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395" yWindow="-105" windowWidth="14850" windowHeight="12735"/>
  </bookViews>
  <sheets>
    <sheet name="BIData" sheetId="2" r:id="rId1"/>
    <sheet name="ReferenceData" sheetId="3" r:id="rId2"/>
    <sheet name="帮助-参考" sheetId="4" r:id="rId3"/>
  </sheets>
  <calcPr calcId="124519"/>
</workbook>
</file>

<file path=xl/calcChain.xml><?xml version="1.0" encoding="utf-8"?>
<calcChain xmlns="http://schemas.openxmlformats.org/spreadsheetml/2006/main">
  <c r="DU363" i="3"/>
  <c r="DT363"/>
  <c r="DS363"/>
  <c r="DR363"/>
  <c r="DQ363"/>
  <c r="DP363"/>
  <c r="DO363"/>
  <c r="DN363"/>
  <c r="DM363"/>
  <c r="DL363"/>
  <c r="DK363"/>
  <c r="DJ363"/>
  <c r="DI363"/>
  <c r="DH363"/>
  <c r="DG363"/>
  <c r="DF363"/>
  <c r="DE363"/>
  <c r="DD363"/>
  <c r="DC363"/>
  <c r="DB363"/>
  <c r="DA363"/>
  <c r="CZ363"/>
  <c r="CY363"/>
  <c r="CX363"/>
  <c r="CW363"/>
  <c r="CV363"/>
  <c r="CU363"/>
  <c r="CT363"/>
  <c r="CS363"/>
  <c r="CR363"/>
  <c r="CQ363"/>
  <c r="CP363"/>
  <c r="CO363"/>
  <c r="CN363"/>
  <c r="CM363"/>
  <c r="CL363"/>
  <c r="CK363"/>
  <c r="CJ363"/>
  <c r="CI363"/>
  <c r="CH363"/>
  <c r="CG363"/>
  <c r="CF363"/>
  <c r="CE363"/>
  <c r="CD363"/>
  <c r="CC363"/>
  <c r="CB363"/>
  <c r="CA363"/>
  <c r="BZ363"/>
  <c r="BY363"/>
  <c r="BX363"/>
  <c r="BW363"/>
  <c r="BV363"/>
  <c r="BU363"/>
  <c r="BT363"/>
  <c r="BS363"/>
  <c r="BR363"/>
  <c r="BQ363"/>
  <c r="BP363"/>
  <c r="BO363"/>
  <c r="BN363"/>
  <c r="E363"/>
  <c r="D363"/>
  <c r="C363"/>
  <c r="B363"/>
  <c r="A363"/>
  <c r="DU362"/>
  <c r="DT362"/>
  <c r="DS362"/>
  <c r="DR362"/>
  <c r="DQ362"/>
  <c r="DP362"/>
  <c r="DO362"/>
  <c r="DN362"/>
  <c r="DM362"/>
  <c r="DL362"/>
  <c r="DK362"/>
  <c r="DJ362"/>
  <c r="DI362"/>
  <c r="DH362"/>
  <c r="DG362"/>
  <c r="DF362"/>
  <c r="DE362"/>
  <c r="DD362"/>
  <c r="DC362"/>
  <c r="DB362"/>
  <c r="DA362"/>
  <c r="CZ362"/>
  <c r="CY362"/>
  <c r="CX362"/>
  <c r="CW362"/>
  <c r="CV362"/>
  <c r="CU362"/>
  <c r="CT362"/>
  <c r="CS362"/>
  <c r="CR362"/>
  <c r="CQ362"/>
  <c r="CP362"/>
  <c r="CO362"/>
  <c r="CN362"/>
  <c r="CM362"/>
  <c r="CL362"/>
  <c r="CK362"/>
  <c r="CJ362"/>
  <c r="CI362"/>
  <c r="CH362"/>
  <c r="CG362"/>
  <c r="CF362"/>
  <c r="CE362"/>
  <c r="CD362"/>
  <c r="CC362"/>
  <c r="CB362"/>
  <c r="CA362"/>
  <c r="BZ362"/>
  <c r="BY362"/>
  <c r="BX362"/>
  <c r="BW362"/>
  <c r="BV362"/>
  <c r="BU362"/>
  <c r="BT362"/>
  <c r="BS362"/>
  <c r="BR362"/>
  <c r="BQ362"/>
  <c r="BP362"/>
  <c r="BO362"/>
  <c r="BN362"/>
  <c r="A362"/>
  <c r="DU361"/>
  <c r="DT361"/>
  <c r="DS361"/>
  <c r="DR361"/>
  <c r="DQ361"/>
  <c r="DP361"/>
  <c r="DO361"/>
  <c r="DN361"/>
  <c r="DM361"/>
  <c r="DL361"/>
  <c r="DK361"/>
  <c r="DJ361"/>
  <c r="DI361"/>
  <c r="DH361"/>
  <c r="DG361"/>
  <c r="DF361"/>
  <c r="DE361"/>
  <c r="DD361"/>
  <c r="DC361"/>
  <c r="DB361"/>
  <c r="DA361"/>
  <c r="CZ361"/>
  <c r="CY361"/>
  <c r="CX361"/>
  <c r="CW361"/>
  <c r="CV361"/>
  <c r="CU361"/>
  <c r="CT361"/>
  <c r="CS361"/>
  <c r="CR361"/>
  <c r="CQ361"/>
  <c r="CP361"/>
  <c r="CO361"/>
  <c r="CN361"/>
  <c r="CM361"/>
  <c r="CL361"/>
  <c r="CK361"/>
  <c r="CJ361"/>
  <c r="CI361"/>
  <c r="CH361"/>
  <c r="CG361"/>
  <c r="CF361"/>
  <c r="CE361"/>
  <c r="CD361"/>
  <c r="CC361"/>
  <c r="CB361"/>
  <c r="CA361"/>
  <c r="BZ361"/>
  <c r="BY361"/>
  <c r="BX361"/>
  <c r="BW361"/>
  <c r="BV361"/>
  <c r="BU361"/>
  <c r="BT361"/>
  <c r="BS361"/>
  <c r="BR361"/>
  <c r="BQ361"/>
  <c r="BP361"/>
  <c r="BO361"/>
  <c r="BN361"/>
  <c r="A361"/>
  <c r="DU360"/>
  <c r="DT360"/>
  <c r="DS360"/>
  <c r="DR360"/>
  <c r="DQ360"/>
  <c r="DP360"/>
  <c r="DO360"/>
  <c r="DN360"/>
  <c r="DM360"/>
  <c r="DL360"/>
  <c r="DK360"/>
  <c r="DJ360"/>
  <c r="DI360"/>
  <c r="DH360"/>
  <c r="DG360"/>
  <c r="DF360"/>
  <c r="DE360"/>
  <c r="DD360"/>
  <c r="DC360"/>
  <c r="DB360"/>
  <c r="DA360"/>
  <c r="CZ360"/>
  <c r="CY360"/>
  <c r="CX360"/>
  <c r="CW360"/>
  <c r="CV360"/>
  <c r="CU360"/>
  <c r="CT360"/>
  <c r="CS360"/>
  <c r="CR360"/>
  <c r="CQ360"/>
  <c r="CP360"/>
  <c r="CO360"/>
  <c r="CN360"/>
  <c r="CM360"/>
  <c r="CL360"/>
  <c r="CK360"/>
  <c r="CJ360"/>
  <c r="CI360"/>
  <c r="CH360"/>
  <c r="CG360"/>
  <c r="CF360"/>
  <c r="CE360"/>
  <c r="CD360"/>
  <c r="CC360"/>
  <c r="CB360"/>
  <c r="CA360"/>
  <c r="BZ360"/>
  <c r="BY360"/>
  <c r="BX360"/>
  <c r="BW360"/>
  <c r="BV360"/>
  <c r="BU360"/>
  <c r="BT360"/>
  <c r="BS360"/>
  <c r="BR360"/>
  <c r="BQ360"/>
  <c r="BP360"/>
  <c r="BO360"/>
  <c r="BN360"/>
  <c r="A360"/>
  <c r="DU359"/>
  <c r="DT359"/>
  <c r="DS359"/>
  <c r="DR359"/>
  <c r="DQ359"/>
  <c r="DP359"/>
  <c r="DO359"/>
  <c r="DN359"/>
  <c r="DM359"/>
  <c r="DL359"/>
  <c r="DK359"/>
  <c r="DJ359"/>
  <c r="DI359"/>
  <c r="DH359"/>
  <c r="DG359"/>
  <c r="DF359"/>
  <c r="DE359"/>
  <c r="DD359"/>
  <c r="DC359"/>
  <c r="DB359"/>
  <c r="DA359"/>
  <c r="CZ359"/>
  <c r="CY359"/>
  <c r="CX359"/>
  <c r="CW359"/>
  <c r="CV359"/>
  <c r="CU359"/>
  <c r="CT359"/>
  <c r="CS359"/>
  <c r="CR359"/>
  <c r="CQ359"/>
  <c r="CP359"/>
  <c r="CO359"/>
  <c r="CN359"/>
  <c r="CM359"/>
  <c r="CL359"/>
  <c r="CK359"/>
  <c r="CJ359"/>
  <c r="CI359"/>
  <c r="CH359"/>
  <c r="CG359"/>
  <c r="CF359"/>
  <c r="CE359"/>
  <c r="CD359"/>
  <c r="CC359"/>
  <c r="CB359"/>
  <c r="CA359"/>
  <c r="BZ359"/>
  <c r="BY359"/>
  <c r="BX359"/>
  <c r="BW359"/>
  <c r="BV359"/>
  <c r="BU359"/>
  <c r="BT359"/>
  <c r="BS359"/>
  <c r="BR359"/>
  <c r="BQ359"/>
  <c r="BP359"/>
  <c r="BO359"/>
  <c r="BN359"/>
  <c r="A359"/>
  <c r="DU358"/>
  <c r="DT358"/>
  <c r="DS358"/>
  <c r="DR358"/>
  <c r="DQ358"/>
  <c r="DP358"/>
  <c r="DO358"/>
  <c r="DN358"/>
  <c r="DM358"/>
  <c r="DL358"/>
  <c r="DK358"/>
  <c r="DJ358"/>
  <c r="DI358"/>
  <c r="DH358"/>
  <c r="DG358"/>
  <c r="DF358"/>
  <c r="DE358"/>
  <c r="DD358"/>
  <c r="DC358"/>
  <c r="DB358"/>
  <c r="DA358"/>
  <c r="CZ358"/>
  <c r="CY358"/>
  <c r="CX358"/>
  <c r="CW358"/>
  <c r="CV358"/>
  <c r="CU358"/>
  <c r="CT358"/>
  <c r="CS358"/>
  <c r="CR358"/>
  <c r="CQ358"/>
  <c r="CP358"/>
  <c r="CO358"/>
  <c r="CN358"/>
  <c r="CM358"/>
  <c r="CL358"/>
  <c r="CK358"/>
  <c r="CJ358"/>
  <c r="CI358"/>
  <c r="CH358"/>
  <c r="CG358"/>
  <c r="CF358"/>
  <c r="CE358"/>
  <c r="CD358"/>
  <c r="CC358"/>
  <c r="CB358"/>
  <c r="CA358"/>
  <c r="BZ358"/>
  <c r="BY358"/>
  <c r="BX358"/>
  <c r="BW358"/>
  <c r="BV358"/>
  <c r="BU358"/>
  <c r="BT358"/>
  <c r="BS358"/>
  <c r="BR358"/>
  <c r="BQ358"/>
  <c r="BP358"/>
  <c r="BO358"/>
  <c r="BN358"/>
  <c r="A358"/>
  <c r="DU357"/>
  <c r="DT357"/>
  <c r="DS357"/>
  <c r="DR357"/>
  <c r="DQ357"/>
  <c r="DP357"/>
  <c r="DO357"/>
  <c r="DN357"/>
  <c r="DM357"/>
  <c r="DL357"/>
  <c r="DK357"/>
  <c r="DJ357"/>
  <c r="DI357"/>
  <c r="DH357"/>
  <c r="DG357"/>
  <c r="DF357"/>
  <c r="DE357"/>
  <c r="DD357"/>
  <c r="DC357"/>
  <c r="DB357"/>
  <c r="DA357"/>
  <c r="CZ357"/>
  <c r="CY357"/>
  <c r="CX357"/>
  <c r="CW357"/>
  <c r="CV357"/>
  <c r="CU357"/>
  <c r="CT357"/>
  <c r="CS357"/>
  <c r="CR357"/>
  <c r="CQ357"/>
  <c r="CP357"/>
  <c r="CO357"/>
  <c r="CN357"/>
  <c r="CM357"/>
  <c r="CL357"/>
  <c r="CK357"/>
  <c r="CJ357"/>
  <c r="CI357"/>
  <c r="CH357"/>
  <c r="CG357"/>
  <c r="CF357"/>
  <c r="CE357"/>
  <c r="CD357"/>
  <c r="CC357"/>
  <c r="CB357"/>
  <c r="CA357"/>
  <c r="BZ357"/>
  <c r="BY357"/>
  <c r="BX357"/>
  <c r="BW357"/>
  <c r="BV357"/>
  <c r="BU357"/>
  <c r="BT357"/>
  <c r="BS357"/>
  <c r="BR357"/>
  <c r="BQ357"/>
  <c r="BP357"/>
  <c r="BO357"/>
  <c r="BN357"/>
  <c r="A357"/>
  <c r="DU356"/>
  <c r="DT356"/>
  <c r="DS356"/>
  <c r="DR356"/>
  <c r="DQ356"/>
  <c r="DP356"/>
  <c r="DO356"/>
  <c r="DN356"/>
  <c r="DM356"/>
  <c r="DL356"/>
  <c r="DK356"/>
  <c r="DJ356"/>
  <c r="DI356"/>
  <c r="DH356"/>
  <c r="DG356"/>
  <c r="DF356"/>
  <c r="DE356"/>
  <c r="DD356"/>
  <c r="DC356"/>
  <c r="DB356"/>
  <c r="DA356"/>
  <c r="CZ356"/>
  <c r="CY356"/>
  <c r="CX356"/>
  <c r="CW356"/>
  <c r="CV356"/>
  <c r="CU356"/>
  <c r="CT356"/>
  <c r="CS356"/>
  <c r="CR356"/>
  <c r="CQ356"/>
  <c r="CP356"/>
  <c r="CO356"/>
  <c r="CN356"/>
  <c r="CM356"/>
  <c r="CL356"/>
  <c r="CK356"/>
  <c r="CJ356"/>
  <c r="CI356"/>
  <c r="CH356"/>
  <c r="CG356"/>
  <c r="CF356"/>
  <c r="CE356"/>
  <c r="CD356"/>
  <c r="CC356"/>
  <c r="CB356"/>
  <c r="CA356"/>
  <c r="BZ356"/>
  <c r="BY356"/>
  <c r="BX356"/>
  <c r="BW356"/>
  <c r="BV356"/>
  <c r="BU356"/>
  <c r="BT356"/>
  <c r="BS356"/>
  <c r="BR356"/>
  <c r="BQ356"/>
  <c r="BP356"/>
  <c r="BO356"/>
  <c r="BN356"/>
  <c r="A356"/>
  <c r="DU355"/>
  <c r="DT355"/>
  <c r="DS355"/>
  <c r="DR355"/>
  <c r="DQ355"/>
  <c r="DP355"/>
  <c r="DO355"/>
  <c r="DN355"/>
  <c r="DM355"/>
  <c r="DL355"/>
  <c r="DK355"/>
  <c r="DJ355"/>
  <c r="DI355"/>
  <c r="DH355"/>
  <c r="DG355"/>
  <c r="DF355"/>
  <c r="DE355"/>
  <c r="DD355"/>
  <c r="DC355"/>
  <c r="DB355"/>
  <c r="DA355"/>
  <c r="CZ355"/>
  <c r="CY355"/>
  <c r="CX355"/>
  <c r="CW355"/>
  <c r="CV355"/>
  <c r="CU355"/>
  <c r="CT355"/>
  <c r="CS355"/>
  <c r="CR355"/>
  <c r="CQ355"/>
  <c r="CP355"/>
  <c r="CO355"/>
  <c r="CN355"/>
  <c r="CM355"/>
  <c r="CL355"/>
  <c r="CK355"/>
  <c r="CJ355"/>
  <c r="CI355"/>
  <c r="CH355"/>
  <c r="CG355"/>
  <c r="CF355"/>
  <c r="CE355"/>
  <c r="CD355"/>
  <c r="CC355"/>
  <c r="CB355"/>
  <c r="CA355"/>
  <c r="BZ355"/>
  <c r="BY355"/>
  <c r="BX355"/>
  <c r="BW355"/>
  <c r="BV355"/>
  <c r="BU355"/>
  <c r="BT355"/>
  <c r="BS355"/>
  <c r="BR355"/>
  <c r="BQ355"/>
  <c r="BP355"/>
  <c r="BO355"/>
  <c r="BN355"/>
  <c r="A355"/>
  <c r="DU354"/>
  <c r="DT354"/>
  <c r="DS354"/>
  <c r="DR354"/>
  <c r="DQ354"/>
  <c r="DP354"/>
  <c r="DO354"/>
  <c r="DN354"/>
  <c r="DM354"/>
  <c r="DL354"/>
  <c r="DK354"/>
  <c r="DJ354"/>
  <c r="DI354"/>
  <c r="DH354"/>
  <c r="DG354"/>
  <c r="DF354"/>
  <c r="DE354"/>
  <c r="DD354"/>
  <c r="DC354"/>
  <c r="DB354"/>
  <c r="DA354"/>
  <c r="CZ354"/>
  <c r="CY354"/>
  <c r="CX354"/>
  <c r="CW354"/>
  <c r="CV354"/>
  <c r="CU354"/>
  <c r="CT354"/>
  <c r="CS354"/>
  <c r="CR354"/>
  <c r="CQ354"/>
  <c r="CP354"/>
  <c r="CO354"/>
  <c r="CN354"/>
  <c r="CM354"/>
  <c r="CL354"/>
  <c r="CK354"/>
  <c r="CJ354"/>
  <c r="CI354"/>
  <c r="CH354"/>
  <c r="CG354"/>
  <c r="CF354"/>
  <c r="CE354"/>
  <c r="CD354"/>
  <c r="CC354"/>
  <c r="CB354"/>
  <c r="CA354"/>
  <c r="BZ354"/>
  <c r="BY354"/>
  <c r="BX354"/>
  <c r="BW354"/>
  <c r="BV354"/>
  <c r="BU354"/>
  <c r="BT354"/>
  <c r="BS354"/>
  <c r="BR354"/>
  <c r="BQ354"/>
  <c r="BP354"/>
  <c r="BO354"/>
  <c r="BN354"/>
  <c r="A354"/>
  <c r="DU353"/>
  <c r="DT353"/>
  <c r="DS353"/>
  <c r="DR353"/>
  <c r="DQ353"/>
  <c r="DP353"/>
  <c r="DO353"/>
  <c r="DN353"/>
  <c r="DM353"/>
  <c r="DL353"/>
  <c r="DK353"/>
  <c r="DJ353"/>
  <c r="DI353"/>
  <c r="DH353"/>
  <c r="DG353"/>
  <c r="DF353"/>
  <c r="DE353"/>
  <c r="DD353"/>
  <c r="DC353"/>
  <c r="DB353"/>
  <c r="DA353"/>
  <c r="CZ353"/>
  <c r="CY353"/>
  <c r="CX353"/>
  <c r="CW353"/>
  <c r="CV353"/>
  <c r="CU353"/>
  <c r="CT353"/>
  <c r="CS353"/>
  <c r="CR353"/>
  <c r="CQ353"/>
  <c r="CP353"/>
  <c r="CO353"/>
  <c r="CN353"/>
  <c r="CM353"/>
  <c r="CL353"/>
  <c r="CK353"/>
  <c r="CJ353"/>
  <c r="CI353"/>
  <c r="CH353"/>
  <c r="CG353"/>
  <c r="CF353"/>
  <c r="CE353"/>
  <c r="CD353"/>
  <c r="CC353"/>
  <c r="CB353"/>
  <c r="CA353"/>
  <c r="BZ353"/>
  <c r="BY353"/>
  <c r="BX353"/>
  <c r="BW353"/>
  <c r="BV353"/>
  <c r="BU353"/>
  <c r="BT353"/>
  <c r="BS353"/>
  <c r="BR353"/>
  <c r="BQ353"/>
  <c r="BP353"/>
  <c r="BO353"/>
  <c r="BN353"/>
  <c r="A353"/>
  <c r="DU352"/>
  <c r="DT352"/>
  <c r="DS352"/>
  <c r="DR352"/>
  <c r="DQ352"/>
  <c r="DP352"/>
  <c r="DO352"/>
  <c r="DN352"/>
  <c r="DM352"/>
  <c r="DL352"/>
  <c r="DK352"/>
  <c r="DJ352"/>
  <c r="DI352"/>
  <c r="DH352"/>
  <c r="DG352"/>
  <c r="DF352"/>
  <c r="DE352"/>
  <c r="DD352"/>
  <c r="DC352"/>
  <c r="DB352"/>
  <c r="DA352"/>
  <c r="CZ352"/>
  <c r="CY352"/>
  <c r="CX352"/>
  <c r="CW352"/>
  <c r="CV352"/>
  <c r="CU352"/>
  <c r="CT352"/>
  <c r="CS352"/>
  <c r="CR352"/>
  <c r="CQ352"/>
  <c r="CP352"/>
  <c r="CO352"/>
  <c r="CN352"/>
  <c r="CM352"/>
  <c r="CL352"/>
  <c r="CK352"/>
  <c r="CJ352"/>
  <c r="CI352"/>
  <c r="CH352"/>
  <c r="CG352"/>
  <c r="CF352"/>
  <c r="CE352"/>
  <c r="CD352"/>
  <c r="CC352"/>
  <c r="CB352"/>
  <c r="CA352"/>
  <c r="BZ352"/>
  <c r="BY352"/>
  <c r="BX352"/>
  <c r="BW352"/>
  <c r="BV352"/>
  <c r="BU352"/>
  <c r="BT352"/>
  <c r="BS352"/>
  <c r="BR352"/>
  <c r="BQ352"/>
  <c r="BP352"/>
  <c r="BO352"/>
  <c r="BN352"/>
  <c r="A352"/>
  <c r="DU351"/>
  <c r="DT351"/>
  <c r="DS351"/>
  <c r="DR351"/>
  <c r="DQ351"/>
  <c r="DP351"/>
  <c r="DO351"/>
  <c r="DN351"/>
  <c r="DM351"/>
  <c r="DL351"/>
  <c r="DK351"/>
  <c r="DJ351"/>
  <c r="DI351"/>
  <c r="DH351"/>
  <c r="DG351"/>
  <c r="DF351"/>
  <c r="DE351"/>
  <c r="DD351"/>
  <c r="DC351"/>
  <c r="DB351"/>
  <c r="DA351"/>
  <c r="CZ351"/>
  <c r="CY351"/>
  <c r="CX351"/>
  <c r="CW351"/>
  <c r="CV351"/>
  <c r="CU351"/>
  <c r="CT351"/>
  <c r="CS351"/>
  <c r="CR351"/>
  <c r="CQ351"/>
  <c r="CP351"/>
  <c r="CO351"/>
  <c r="CN351"/>
  <c r="CM351"/>
  <c r="CL351"/>
  <c r="CK351"/>
  <c r="CJ351"/>
  <c r="CI351"/>
  <c r="CH351"/>
  <c r="CG351"/>
  <c r="CF351"/>
  <c r="CE351"/>
  <c r="CD351"/>
  <c r="CC351"/>
  <c r="CB351"/>
  <c r="CA351"/>
  <c r="BZ351"/>
  <c r="BY351"/>
  <c r="BX351"/>
  <c r="BW351"/>
  <c r="BV351"/>
  <c r="BU351"/>
  <c r="BT351"/>
  <c r="BS351"/>
  <c r="BR351"/>
  <c r="BQ351"/>
  <c r="BP351"/>
  <c r="BO351"/>
  <c r="BN351"/>
  <c r="A351"/>
  <c r="DU350"/>
  <c r="DT350"/>
  <c r="DS350"/>
  <c r="DR350"/>
  <c r="DQ350"/>
  <c r="DP350"/>
  <c r="DO350"/>
  <c r="DN350"/>
  <c r="DM350"/>
  <c r="DL350"/>
  <c r="DK350"/>
  <c r="DJ350"/>
  <c r="DI350"/>
  <c r="DH350"/>
  <c r="DG350"/>
  <c r="DF350"/>
  <c r="DE350"/>
  <c r="DD350"/>
  <c r="DC350"/>
  <c r="DB350"/>
  <c r="DA350"/>
  <c r="CZ350"/>
  <c r="CY350"/>
  <c r="CX350"/>
  <c r="CW350"/>
  <c r="CV350"/>
  <c r="CU350"/>
  <c r="CT350"/>
  <c r="CS350"/>
  <c r="CR350"/>
  <c r="CQ350"/>
  <c r="CP350"/>
  <c r="CO350"/>
  <c r="CN350"/>
  <c r="CM350"/>
  <c r="CL350"/>
  <c r="CK350"/>
  <c r="CJ350"/>
  <c r="CI350"/>
  <c r="CH350"/>
  <c r="CG350"/>
  <c r="CF350"/>
  <c r="CE350"/>
  <c r="CD350"/>
  <c r="CC350"/>
  <c r="CB350"/>
  <c r="CA350"/>
  <c r="BZ350"/>
  <c r="BY350"/>
  <c r="BX350"/>
  <c r="BW350"/>
  <c r="BV350"/>
  <c r="BU350"/>
  <c r="BT350"/>
  <c r="BS350"/>
  <c r="BR350"/>
  <c r="BQ350"/>
  <c r="BP350"/>
  <c r="BO350"/>
  <c r="BN350"/>
  <c r="A350"/>
  <c r="DU349"/>
  <c r="DT349"/>
  <c r="DS349"/>
  <c r="DR349"/>
  <c r="DQ349"/>
  <c r="DP349"/>
  <c r="DO349"/>
  <c r="DN349"/>
  <c r="DM349"/>
  <c r="DL349"/>
  <c r="DK349"/>
  <c r="DJ349"/>
  <c r="DI349"/>
  <c r="DH349"/>
  <c r="DG349"/>
  <c r="DF349"/>
  <c r="DE349"/>
  <c r="DD349"/>
  <c r="DC349"/>
  <c r="DB349"/>
  <c r="DA349"/>
  <c r="CZ349"/>
  <c r="CY349"/>
  <c r="CX349"/>
  <c r="CW349"/>
  <c r="CV349"/>
  <c r="CU349"/>
  <c r="CT349"/>
  <c r="CS349"/>
  <c r="CR349"/>
  <c r="CQ349"/>
  <c r="CP349"/>
  <c r="CO349"/>
  <c r="CN349"/>
  <c r="CM349"/>
  <c r="CL349"/>
  <c r="CK349"/>
  <c r="CJ349"/>
  <c r="CI349"/>
  <c r="CH349"/>
  <c r="CG349"/>
  <c r="CF349"/>
  <c r="CE349"/>
  <c r="CD349"/>
  <c r="CC349"/>
  <c r="CB349"/>
  <c r="CA349"/>
  <c r="BZ349"/>
  <c r="BY349"/>
  <c r="BX349"/>
  <c r="BW349"/>
  <c r="BV349"/>
  <c r="BU349"/>
  <c r="BT349"/>
  <c r="BS349"/>
  <c r="BR349"/>
  <c r="BQ349"/>
  <c r="BP349"/>
  <c r="BO349"/>
  <c r="BN349"/>
  <c r="A349"/>
  <c r="DU348"/>
  <c r="DT348"/>
  <c r="DS348"/>
  <c r="DR348"/>
  <c r="DQ348"/>
  <c r="DP348"/>
  <c r="DO348"/>
  <c r="DN348"/>
  <c r="DM348"/>
  <c r="DL348"/>
  <c r="DK348"/>
  <c r="DJ348"/>
  <c r="DI348"/>
  <c r="DH348"/>
  <c r="DG348"/>
  <c r="DF348"/>
  <c r="DE348"/>
  <c r="DD348"/>
  <c r="DC348"/>
  <c r="DB348"/>
  <c r="DA348"/>
  <c r="CZ348"/>
  <c r="CY348"/>
  <c r="CX348"/>
  <c r="CW348"/>
  <c r="CV348"/>
  <c r="CU348"/>
  <c r="CT348"/>
  <c r="CS348"/>
  <c r="CR348"/>
  <c r="CQ348"/>
  <c r="CP348"/>
  <c r="CO348"/>
  <c r="CN348"/>
  <c r="CM348"/>
  <c r="CL348"/>
  <c r="CK348"/>
  <c r="CJ348"/>
  <c r="CI348"/>
  <c r="CH348"/>
  <c r="CG348"/>
  <c r="CF348"/>
  <c r="CE348"/>
  <c r="CD348"/>
  <c r="CC348"/>
  <c r="CB348"/>
  <c r="CA348"/>
  <c r="BZ348"/>
  <c r="BY348"/>
  <c r="BX348"/>
  <c r="BW348"/>
  <c r="BV348"/>
  <c r="BU348"/>
  <c r="BT348"/>
  <c r="BS348"/>
  <c r="BR348"/>
  <c r="BQ348"/>
  <c r="BP348"/>
  <c r="BO348"/>
  <c r="BN348"/>
  <c r="A348"/>
  <c r="DU347"/>
  <c r="DT347"/>
  <c r="DS347"/>
  <c r="DR347"/>
  <c r="DQ347"/>
  <c r="DP347"/>
  <c r="DO347"/>
  <c r="DN347"/>
  <c r="DM347"/>
  <c r="DL347"/>
  <c r="DK347"/>
  <c r="DJ347"/>
  <c r="DI347"/>
  <c r="DH347"/>
  <c r="DG347"/>
  <c r="DF347"/>
  <c r="DE347"/>
  <c r="DD347"/>
  <c r="DC347"/>
  <c r="DB347"/>
  <c r="DA347"/>
  <c r="CZ347"/>
  <c r="CY347"/>
  <c r="CX347"/>
  <c r="CW347"/>
  <c r="CV347"/>
  <c r="CU347"/>
  <c r="CT347"/>
  <c r="CS347"/>
  <c r="CR347"/>
  <c r="CQ347"/>
  <c r="CP347"/>
  <c r="CO347"/>
  <c r="CN347"/>
  <c r="CM347"/>
  <c r="CL347"/>
  <c r="CK347"/>
  <c r="CJ347"/>
  <c r="CI347"/>
  <c r="CH347"/>
  <c r="CG347"/>
  <c r="CF347"/>
  <c r="CE347"/>
  <c r="CD347"/>
  <c r="CC347"/>
  <c r="CB347"/>
  <c r="CA347"/>
  <c r="BZ347"/>
  <c r="BY347"/>
  <c r="BX347"/>
  <c r="BW347"/>
  <c r="BV347"/>
  <c r="BU347"/>
  <c r="BT347"/>
  <c r="BS347"/>
  <c r="BR347"/>
  <c r="BQ347"/>
  <c r="BP347"/>
  <c r="BO347"/>
  <c r="BN347"/>
  <c r="A347"/>
  <c r="DU346"/>
  <c r="DT346"/>
  <c r="DS346"/>
  <c r="DR346"/>
  <c r="DQ346"/>
  <c r="DP346"/>
  <c r="DO346"/>
  <c r="DN346"/>
  <c r="DM346"/>
  <c r="DL346"/>
  <c r="DK346"/>
  <c r="DJ346"/>
  <c r="DI346"/>
  <c r="DH346"/>
  <c r="DG346"/>
  <c r="DF346"/>
  <c r="DE346"/>
  <c r="DD346"/>
  <c r="DC346"/>
  <c r="DB346"/>
  <c r="DA346"/>
  <c r="CZ346"/>
  <c r="CY346"/>
  <c r="CX346"/>
  <c r="CW346"/>
  <c r="CV346"/>
  <c r="CU346"/>
  <c r="CT346"/>
  <c r="CS346"/>
  <c r="CR346"/>
  <c r="CQ346"/>
  <c r="CP346"/>
  <c r="CO346"/>
  <c r="CN346"/>
  <c r="CM346"/>
  <c r="CL346"/>
  <c r="CK346"/>
  <c r="CJ346"/>
  <c r="CI346"/>
  <c r="CH346"/>
  <c r="CG346"/>
  <c r="CF346"/>
  <c r="CE346"/>
  <c r="CD346"/>
  <c r="CC346"/>
  <c r="CB346"/>
  <c r="CA346"/>
  <c r="BZ346"/>
  <c r="BY346"/>
  <c r="BX346"/>
  <c r="BW346"/>
  <c r="BV346"/>
  <c r="BU346"/>
  <c r="BT346"/>
  <c r="BS346"/>
  <c r="BR346"/>
  <c r="BQ346"/>
  <c r="BP346"/>
  <c r="BO346"/>
  <c r="BN346"/>
  <c r="BJ346"/>
  <c r="BI346"/>
  <c r="BH346"/>
  <c r="BG346"/>
  <c r="BF346"/>
  <c r="BE346"/>
  <c r="BD346"/>
  <c r="BC346"/>
  <c r="BB346"/>
  <c r="BA346"/>
  <c r="AZ346"/>
  <c r="AY346"/>
  <c r="AX346"/>
  <c r="AW346"/>
  <c r="AV346"/>
  <c r="AU346"/>
  <c r="AT346"/>
  <c r="AS346"/>
  <c r="AR346"/>
  <c r="AQ346"/>
  <c r="AP346"/>
  <c r="AO346"/>
  <c r="AN346"/>
  <c r="AM346"/>
  <c r="AL346"/>
  <c r="AK346"/>
  <c r="AJ346"/>
  <c r="AI346"/>
  <c r="AH346"/>
  <c r="AG346"/>
  <c r="AF346"/>
  <c r="AE346"/>
  <c r="AD346"/>
  <c r="AC346"/>
  <c r="AB346"/>
  <c r="AA346"/>
  <c r="Z346"/>
  <c r="Y346"/>
  <c r="X346"/>
  <c r="W346"/>
  <c r="V346"/>
  <c r="U346"/>
  <c r="T346"/>
  <c r="S346"/>
  <c r="R346"/>
  <c r="Q346"/>
  <c r="P346"/>
  <c r="O346"/>
  <c r="N346"/>
  <c r="M346"/>
  <c r="L346"/>
  <c r="K346"/>
  <c r="J346"/>
  <c r="I346"/>
  <c r="H346"/>
  <c r="G346"/>
  <c r="F346"/>
  <c r="E346"/>
  <c r="D346"/>
  <c r="C346"/>
  <c r="B346"/>
  <c r="A346"/>
  <c r="DU345"/>
  <c r="DT345"/>
  <c r="DS345"/>
  <c r="DR345"/>
  <c r="DQ345"/>
  <c r="DP345"/>
  <c r="DO345"/>
  <c r="DN345"/>
  <c r="DM345"/>
  <c r="DL345"/>
  <c r="DK345"/>
  <c r="DJ345"/>
  <c r="DI345"/>
  <c r="DH345"/>
  <c r="DG345"/>
  <c r="DF345"/>
  <c r="DE345"/>
  <c r="DD345"/>
  <c r="DC345"/>
  <c r="DB345"/>
  <c r="DA345"/>
  <c r="CZ345"/>
  <c r="CY345"/>
  <c r="CX345"/>
  <c r="CW345"/>
  <c r="CV345"/>
  <c r="CU345"/>
  <c r="CT345"/>
  <c r="CS345"/>
  <c r="CR345"/>
  <c r="CQ345"/>
  <c r="CP345"/>
  <c r="CO345"/>
  <c r="CN345"/>
  <c r="CM345"/>
  <c r="CL345"/>
  <c r="CK345"/>
  <c r="CJ345"/>
  <c r="CI345"/>
  <c r="CH345"/>
  <c r="CG345"/>
  <c r="CF345"/>
  <c r="CE345"/>
  <c r="CD345"/>
  <c r="CC345"/>
  <c r="CB345"/>
  <c r="CA345"/>
  <c r="BZ345"/>
  <c r="BY345"/>
  <c r="BX345"/>
  <c r="BW345"/>
  <c r="BV345"/>
  <c r="BU345"/>
  <c r="BT345"/>
  <c r="BS345"/>
  <c r="BR345"/>
  <c r="BQ345"/>
  <c r="BP345"/>
  <c r="BO345"/>
  <c r="BN345"/>
  <c r="E345"/>
  <c r="D345"/>
  <c r="C345"/>
  <c r="B345"/>
  <c r="A345"/>
  <c r="DU344"/>
  <c r="DT344"/>
  <c r="DS344"/>
  <c r="DR344"/>
  <c r="DQ344"/>
  <c r="DP344"/>
  <c r="DO344"/>
  <c r="DN344"/>
  <c r="DM344"/>
  <c r="DL344"/>
  <c r="DK344"/>
  <c r="DJ344"/>
  <c r="DI344"/>
  <c r="DH344"/>
  <c r="DG344"/>
  <c r="DF344"/>
  <c r="DE344"/>
  <c r="DD344"/>
  <c r="DC344"/>
  <c r="DB344"/>
  <c r="DA344"/>
  <c r="CZ344"/>
  <c r="CY344"/>
  <c r="CX344"/>
  <c r="CW344"/>
  <c r="CV344"/>
  <c r="CU344"/>
  <c r="CT344"/>
  <c r="CS344"/>
  <c r="CR344"/>
  <c r="CQ344"/>
  <c r="CP344"/>
  <c r="CO344"/>
  <c r="CN344"/>
  <c r="CM344"/>
  <c r="CL344"/>
  <c r="CK344"/>
  <c r="CJ344"/>
  <c r="CI344"/>
  <c r="CH344"/>
  <c r="CG344"/>
  <c r="CF344"/>
  <c r="CE344"/>
  <c r="CD344"/>
  <c r="CC344"/>
  <c r="CB344"/>
  <c r="CA344"/>
  <c r="BZ344"/>
  <c r="BY344"/>
  <c r="BX344"/>
  <c r="BW344"/>
  <c r="BV344"/>
  <c r="BU344"/>
  <c r="BT344"/>
  <c r="BS344"/>
  <c r="BR344"/>
  <c r="BQ344"/>
  <c r="BP344"/>
  <c r="BO344"/>
  <c r="BN344"/>
  <c r="E344"/>
  <c r="D344"/>
  <c r="C344"/>
  <c r="B344"/>
  <c r="A344"/>
  <c r="DU343"/>
  <c r="DT343"/>
  <c r="DS343"/>
  <c r="DR343"/>
  <c r="DQ343"/>
  <c r="DP343"/>
  <c r="DO343"/>
  <c r="DN343"/>
  <c r="DM343"/>
  <c r="DL343"/>
  <c r="DK343"/>
  <c r="DJ343"/>
  <c r="DI343"/>
  <c r="DH343"/>
  <c r="DG343"/>
  <c r="DF343"/>
  <c r="DE343"/>
  <c r="DD343"/>
  <c r="DC343"/>
  <c r="DB343"/>
  <c r="DA343"/>
  <c r="CZ343"/>
  <c r="CY343"/>
  <c r="CX343"/>
  <c r="CW343"/>
  <c r="CV343"/>
  <c r="CU343"/>
  <c r="CT343"/>
  <c r="CS343"/>
  <c r="CR343"/>
  <c r="CQ343"/>
  <c r="CP343"/>
  <c r="CO343"/>
  <c r="CN343"/>
  <c r="CM343"/>
  <c r="CL343"/>
  <c r="CK343"/>
  <c r="CJ343"/>
  <c r="CI343"/>
  <c r="CH343"/>
  <c r="CG343"/>
  <c r="CF343"/>
  <c r="CE343"/>
  <c r="CD343"/>
  <c r="CC343"/>
  <c r="CB343"/>
  <c r="CA343"/>
  <c r="BZ343"/>
  <c r="BY343"/>
  <c r="BX343"/>
  <c r="BW343"/>
  <c r="BV343"/>
  <c r="BU343"/>
  <c r="BT343"/>
  <c r="BS343"/>
  <c r="BR343"/>
  <c r="BQ343"/>
  <c r="BP343"/>
  <c r="BO343"/>
  <c r="BN343"/>
  <c r="E343"/>
  <c r="D343"/>
  <c r="C343"/>
  <c r="A343"/>
  <c r="DU342"/>
  <c r="DT342"/>
  <c r="DS342"/>
  <c r="DR342"/>
  <c r="DQ342"/>
  <c r="DP342"/>
  <c r="DO342"/>
  <c r="DN342"/>
  <c r="DM342"/>
  <c r="DL342"/>
  <c r="DK342"/>
  <c r="DJ342"/>
  <c r="DI342"/>
  <c r="DH342"/>
  <c r="DG342"/>
  <c r="DF342"/>
  <c r="DE342"/>
  <c r="DD342"/>
  <c r="DC342"/>
  <c r="DB342"/>
  <c r="DA342"/>
  <c r="CZ342"/>
  <c r="CY342"/>
  <c r="CX342"/>
  <c r="CW342"/>
  <c r="CV342"/>
  <c r="CU342"/>
  <c r="CT342"/>
  <c r="CS342"/>
  <c r="CR342"/>
  <c r="CQ342"/>
  <c r="CP342"/>
  <c r="CO342"/>
  <c r="CN342"/>
  <c r="CM342"/>
  <c r="CL342"/>
  <c r="CK342"/>
  <c r="CJ342"/>
  <c r="CI342"/>
  <c r="CH342"/>
  <c r="CG342"/>
  <c r="CF342"/>
  <c r="CE342"/>
  <c r="CD342"/>
  <c r="CC342"/>
  <c r="CB342"/>
  <c r="CA342"/>
  <c r="BZ342"/>
  <c r="BY342"/>
  <c r="BX342"/>
  <c r="BW342"/>
  <c r="BV342"/>
  <c r="BU342"/>
  <c r="BT342"/>
  <c r="BS342"/>
  <c r="BR342"/>
  <c r="BQ342"/>
  <c r="BP342"/>
  <c r="BO342"/>
  <c r="BN342"/>
  <c r="E342"/>
  <c r="D342"/>
  <c r="C342"/>
  <c r="B342"/>
  <c r="A342"/>
  <c r="DU341"/>
  <c r="DT341"/>
  <c r="DS341"/>
  <c r="DR341"/>
  <c r="DQ341"/>
  <c r="DP341"/>
  <c r="DO341"/>
  <c r="DN341"/>
  <c r="DM341"/>
  <c r="DL341"/>
  <c r="DK341"/>
  <c r="DJ341"/>
  <c r="DI341"/>
  <c r="DH341"/>
  <c r="DG341"/>
  <c r="DF341"/>
  <c r="DE341"/>
  <c r="DD341"/>
  <c r="DC341"/>
  <c r="DB341"/>
  <c r="DA341"/>
  <c r="CZ341"/>
  <c r="CY341"/>
  <c r="CX341"/>
  <c r="CW341"/>
  <c r="CV341"/>
  <c r="CU341"/>
  <c r="CT341"/>
  <c r="CS341"/>
  <c r="CR341"/>
  <c r="CQ341"/>
  <c r="CP341"/>
  <c r="CO341"/>
  <c r="CN341"/>
  <c r="CM341"/>
  <c r="CL341"/>
  <c r="CK341"/>
  <c r="CJ341"/>
  <c r="CI341"/>
  <c r="CH341"/>
  <c r="CG341"/>
  <c r="CF341"/>
  <c r="CE341"/>
  <c r="CD341"/>
  <c r="CC341"/>
  <c r="CB341"/>
  <c r="CA341"/>
  <c r="BZ341"/>
  <c r="BY341"/>
  <c r="BX341"/>
  <c r="BW341"/>
  <c r="BV341"/>
  <c r="BU341"/>
  <c r="BT341"/>
  <c r="BS341"/>
  <c r="BR341"/>
  <c r="BQ341"/>
  <c r="BP341"/>
  <c r="BO341"/>
  <c r="BN341"/>
  <c r="A341"/>
  <c r="DU340"/>
  <c r="DT340"/>
  <c r="DS340"/>
  <c r="DR340"/>
  <c r="DQ340"/>
  <c r="DP340"/>
  <c r="DO340"/>
  <c r="DN340"/>
  <c r="DM340"/>
  <c r="DL340"/>
  <c r="DK340"/>
  <c r="DJ340"/>
  <c r="DI340"/>
  <c r="DH340"/>
  <c r="DG340"/>
  <c r="DF340"/>
  <c r="DE340"/>
  <c r="DD340"/>
  <c r="DC340"/>
  <c r="DB340"/>
  <c r="DA340"/>
  <c r="CZ340"/>
  <c r="CY340"/>
  <c r="CX340"/>
  <c r="CW340"/>
  <c r="CV340"/>
  <c r="CU340"/>
  <c r="CT340"/>
  <c r="CS340"/>
  <c r="CR340"/>
  <c r="CQ340"/>
  <c r="CP340"/>
  <c r="CO340"/>
  <c r="CN340"/>
  <c r="CM340"/>
  <c r="CL340"/>
  <c r="CK340"/>
  <c r="CJ340"/>
  <c r="CI340"/>
  <c r="CH340"/>
  <c r="CG340"/>
  <c r="CF340"/>
  <c r="CE340"/>
  <c r="CD340"/>
  <c r="CC340"/>
  <c r="CB340"/>
  <c r="CA340"/>
  <c r="BZ340"/>
  <c r="BY340"/>
  <c r="BX340"/>
  <c r="BW340"/>
  <c r="BV340"/>
  <c r="BU340"/>
  <c r="BT340"/>
  <c r="BS340"/>
  <c r="BR340"/>
  <c r="BQ340"/>
  <c r="BP340"/>
  <c r="BO340"/>
  <c r="BN340"/>
  <c r="E340"/>
  <c r="D340"/>
  <c r="C340"/>
  <c r="B340"/>
  <c r="A340"/>
  <c r="DU339"/>
  <c r="DT339"/>
  <c r="DS339"/>
  <c r="DR339"/>
  <c r="DQ339"/>
  <c r="DP339"/>
  <c r="DO339"/>
  <c r="DN339"/>
  <c r="DM339"/>
  <c r="DL339"/>
  <c r="DK339"/>
  <c r="DJ339"/>
  <c r="DI339"/>
  <c r="DH339"/>
  <c r="DG339"/>
  <c r="DF339"/>
  <c r="DE339"/>
  <c r="DD339"/>
  <c r="DC339"/>
  <c r="DB339"/>
  <c r="DA339"/>
  <c r="CZ339"/>
  <c r="CY339"/>
  <c r="CX339"/>
  <c r="CW339"/>
  <c r="CV339"/>
  <c r="CU339"/>
  <c r="CT339"/>
  <c r="CS339"/>
  <c r="CR339"/>
  <c r="CQ339"/>
  <c r="CP339"/>
  <c r="CO339"/>
  <c r="CN339"/>
  <c r="CM339"/>
  <c r="CL339"/>
  <c r="CK339"/>
  <c r="CJ339"/>
  <c r="CI339"/>
  <c r="CH339"/>
  <c r="CG339"/>
  <c r="CF339"/>
  <c r="CE339"/>
  <c r="CD339"/>
  <c r="CC339"/>
  <c r="CB339"/>
  <c r="CA339"/>
  <c r="BZ339"/>
  <c r="BY339"/>
  <c r="BX339"/>
  <c r="BW339"/>
  <c r="BV339"/>
  <c r="BU339"/>
  <c r="BT339"/>
  <c r="BS339"/>
  <c r="BR339"/>
  <c r="BQ339"/>
  <c r="BP339"/>
  <c r="BO339"/>
  <c r="BN339"/>
  <c r="E339"/>
  <c r="D339"/>
  <c r="C339"/>
  <c r="B339"/>
  <c r="A339"/>
  <c r="DU338"/>
  <c r="DT338"/>
  <c r="DS338"/>
  <c r="DR338"/>
  <c r="DQ338"/>
  <c r="DP338"/>
  <c r="DO338"/>
  <c r="DN338"/>
  <c r="DM338"/>
  <c r="DL338"/>
  <c r="DK338"/>
  <c r="DJ338"/>
  <c r="DI338"/>
  <c r="DH338"/>
  <c r="DG338"/>
  <c r="DF338"/>
  <c r="DE338"/>
  <c r="DD338"/>
  <c r="DC338"/>
  <c r="DB338"/>
  <c r="DA338"/>
  <c r="CZ338"/>
  <c r="CY338"/>
  <c r="CX338"/>
  <c r="CW338"/>
  <c r="CV338"/>
  <c r="CU338"/>
  <c r="CT338"/>
  <c r="CS338"/>
  <c r="CR338"/>
  <c r="CQ338"/>
  <c r="CP338"/>
  <c r="CO338"/>
  <c r="CN338"/>
  <c r="CM338"/>
  <c r="CL338"/>
  <c r="CK338"/>
  <c r="CJ338"/>
  <c r="CI338"/>
  <c r="CH338"/>
  <c r="CG338"/>
  <c r="CF338"/>
  <c r="CE338"/>
  <c r="CD338"/>
  <c r="CC338"/>
  <c r="CB338"/>
  <c r="CA338"/>
  <c r="BZ338"/>
  <c r="BY338"/>
  <c r="BX338"/>
  <c r="BW338"/>
  <c r="BV338"/>
  <c r="BU338"/>
  <c r="BT338"/>
  <c r="BS338"/>
  <c r="BR338"/>
  <c r="BQ338"/>
  <c r="BP338"/>
  <c r="BO338"/>
  <c r="BN338"/>
  <c r="E338"/>
  <c r="D338"/>
  <c r="C338"/>
  <c r="B338"/>
  <c r="A338"/>
  <c r="DU337"/>
  <c r="DT337"/>
  <c r="DS337"/>
  <c r="DR337"/>
  <c r="DQ337"/>
  <c r="DP337"/>
  <c r="DO337"/>
  <c r="DN337"/>
  <c r="DM337"/>
  <c r="DL337"/>
  <c r="DK337"/>
  <c r="DJ337"/>
  <c r="DI337"/>
  <c r="DH337"/>
  <c r="DG337"/>
  <c r="DF337"/>
  <c r="DE337"/>
  <c r="DD337"/>
  <c r="DC337"/>
  <c r="DB337"/>
  <c r="DA337"/>
  <c r="CZ337"/>
  <c r="CY337"/>
  <c r="CX337"/>
  <c r="CW337"/>
  <c r="CV337"/>
  <c r="CU337"/>
  <c r="CT337"/>
  <c r="CS337"/>
  <c r="CR337"/>
  <c r="CQ337"/>
  <c r="CP337"/>
  <c r="CO337"/>
  <c r="CN337"/>
  <c r="CM337"/>
  <c r="CL337"/>
  <c r="CK337"/>
  <c r="CJ337"/>
  <c r="CI337"/>
  <c r="CH337"/>
  <c r="CG337"/>
  <c r="CF337"/>
  <c r="CE337"/>
  <c r="CD337"/>
  <c r="CC337"/>
  <c r="CB337"/>
  <c r="CA337"/>
  <c r="BZ337"/>
  <c r="BY337"/>
  <c r="BX337"/>
  <c r="BW337"/>
  <c r="BV337"/>
  <c r="BU337"/>
  <c r="BT337"/>
  <c r="BS337"/>
  <c r="BR337"/>
  <c r="BQ337"/>
  <c r="BP337"/>
  <c r="BO337"/>
  <c r="BN337"/>
  <c r="E337"/>
  <c r="D337"/>
  <c r="C337"/>
  <c r="B337"/>
  <c r="A337"/>
  <c r="DU336"/>
  <c r="DT336"/>
  <c r="DS336"/>
  <c r="DR336"/>
  <c r="DQ336"/>
  <c r="DP336"/>
  <c r="DO336"/>
  <c r="DN336"/>
  <c r="DM336"/>
  <c r="DL336"/>
  <c r="DK336"/>
  <c r="DJ336"/>
  <c r="DI336"/>
  <c r="DH336"/>
  <c r="DG336"/>
  <c r="DF336"/>
  <c r="DE336"/>
  <c r="DD336"/>
  <c r="DC336"/>
  <c r="DB336"/>
  <c r="DA336"/>
  <c r="CZ336"/>
  <c r="CY336"/>
  <c r="CX336"/>
  <c r="CW336"/>
  <c r="CV336"/>
  <c r="CU336"/>
  <c r="CT336"/>
  <c r="CS336"/>
  <c r="CR336"/>
  <c r="CQ336"/>
  <c r="CP336"/>
  <c r="CO336"/>
  <c r="CN336"/>
  <c r="CM336"/>
  <c r="CL336"/>
  <c r="CK336"/>
  <c r="CJ336"/>
  <c r="CI336"/>
  <c r="CH336"/>
  <c r="CG336"/>
  <c r="CF336"/>
  <c r="CE336"/>
  <c r="CD336"/>
  <c r="CC336"/>
  <c r="CB336"/>
  <c r="CA336"/>
  <c r="BZ336"/>
  <c r="BY336"/>
  <c r="BX336"/>
  <c r="BW336"/>
  <c r="BV336"/>
  <c r="BU336"/>
  <c r="BT336"/>
  <c r="BS336"/>
  <c r="BR336"/>
  <c r="BQ336"/>
  <c r="BP336"/>
  <c r="BO336"/>
  <c r="BN336"/>
  <c r="E336"/>
  <c r="D336"/>
  <c r="C336"/>
  <c r="B336"/>
  <c r="A336"/>
  <c r="DU335"/>
  <c r="DT335"/>
  <c r="DS335"/>
  <c r="DR335"/>
  <c r="DQ335"/>
  <c r="DP335"/>
  <c r="DO335"/>
  <c r="DN335"/>
  <c r="DM335"/>
  <c r="DL335"/>
  <c r="DK335"/>
  <c r="DJ335"/>
  <c r="DI335"/>
  <c r="DH335"/>
  <c r="DG335"/>
  <c r="DF335"/>
  <c r="DE335"/>
  <c r="DD335"/>
  <c r="DC335"/>
  <c r="DB335"/>
  <c r="DA335"/>
  <c r="CZ335"/>
  <c r="CY335"/>
  <c r="CX335"/>
  <c r="CW335"/>
  <c r="CV335"/>
  <c r="CU335"/>
  <c r="CT335"/>
  <c r="CS335"/>
  <c r="CR335"/>
  <c r="CQ335"/>
  <c r="CP335"/>
  <c r="CO335"/>
  <c r="CN335"/>
  <c r="CM335"/>
  <c r="CL335"/>
  <c r="CK335"/>
  <c r="CJ335"/>
  <c r="CI335"/>
  <c r="CH335"/>
  <c r="CG335"/>
  <c r="CF335"/>
  <c r="CE335"/>
  <c r="CD335"/>
  <c r="CC335"/>
  <c r="CB335"/>
  <c r="CA335"/>
  <c r="BZ335"/>
  <c r="BY335"/>
  <c r="BX335"/>
  <c r="BW335"/>
  <c r="BV335"/>
  <c r="BU335"/>
  <c r="BT335"/>
  <c r="BS335"/>
  <c r="BR335"/>
  <c r="BQ335"/>
  <c r="BP335"/>
  <c r="BO335"/>
  <c r="BN335"/>
  <c r="E335"/>
  <c r="D335"/>
  <c r="C335"/>
  <c r="B335"/>
  <c r="A335"/>
  <c r="DU334"/>
  <c r="DT334"/>
  <c r="DS334"/>
  <c r="DR334"/>
  <c r="DQ334"/>
  <c r="DP334"/>
  <c r="DO334"/>
  <c r="DN334"/>
  <c r="DM334"/>
  <c r="DL334"/>
  <c r="DK334"/>
  <c r="DJ334"/>
  <c r="DI334"/>
  <c r="DH334"/>
  <c r="DG334"/>
  <c r="DF334"/>
  <c r="DE334"/>
  <c r="DD334"/>
  <c r="DC334"/>
  <c r="DB334"/>
  <c r="DA334"/>
  <c r="CZ334"/>
  <c r="CY334"/>
  <c r="CX334"/>
  <c r="CW334"/>
  <c r="CV334"/>
  <c r="CU334"/>
  <c r="CT334"/>
  <c r="CS334"/>
  <c r="CR334"/>
  <c r="CQ334"/>
  <c r="CP334"/>
  <c r="CO334"/>
  <c r="CN334"/>
  <c r="CM334"/>
  <c r="CL334"/>
  <c r="CK334"/>
  <c r="CJ334"/>
  <c r="CI334"/>
  <c r="CH334"/>
  <c r="CG334"/>
  <c r="CF334"/>
  <c r="CE334"/>
  <c r="CD334"/>
  <c r="CC334"/>
  <c r="CB334"/>
  <c r="CA334"/>
  <c r="BZ334"/>
  <c r="BY334"/>
  <c r="BX334"/>
  <c r="BW334"/>
  <c r="BV334"/>
  <c r="BU334"/>
  <c r="BT334"/>
  <c r="BS334"/>
  <c r="BR334"/>
  <c r="BQ334"/>
  <c r="BP334"/>
  <c r="BO334"/>
  <c r="BN334"/>
  <c r="DU333"/>
  <c r="DT333"/>
  <c r="DS333"/>
  <c r="DR333"/>
  <c r="DQ333"/>
  <c r="DP333"/>
  <c r="DO333"/>
  <c r="DN333"/>
  <c r="DM333"/>
  <c r="DL333"/>
  <c r="DK333"/>
  <c r="DJ333"/>
  <c r="DI333"/>
  <c r="DH333"/>
  <c r="DG333"/>
  <c r="DF333"/>
  <c r="DE333"/>
  <c r="DD333"/>
  <c r="DC333"/>
  <c r="DB333"/>
  <c r="DA333"/>
  <c r="CZ333"/>
  <c r="CY333"/>
  <c r="CX333"/>
  <c r="CW333"/>
  <c r="CV333"/>
  <c r="CU333"/>
  <c r="CT333"/>
  <c r="CS333"/>
  <c r="CR333"/>
  <c r="CQ333"/>
  <c r="CP333"/>
  <c r="CO333"/>
  <c r="CN333"/>
  <c r="CM333"/>
  <c r="CL333"/>
  <c r="CK333"/>
  <c r="CJ333"/>
  <c r="CI333"/>
  <c r="CH333"/>
  <c r="CG333"/>
  <c r="CF333"/>
  <c r="CE333"/>
  <c r="CD333"/>
  <c r="CC333"/>
  <c r="CB333"/>
  <c r="CA333"/>
  <c r="BZ333"/>
  <c r="BY333"/>
  <c r="BX333"/>
  <c r="BW333"/>
  <c r="BV333"/>
  <c r="BU333"/>
  <c r="BT333"/>
  <c r="BS333"/>
  <c r="BR333"/>
  <c r="BQ333"/>
  <c r="BP333"/>
  <c r="BO333"/>
  <c r="BN333"/>
  <c r="DU332"/>
  <c r="DT332"/>
  <c r="DS332"/>
  <c r="DR332"/>
  <c r="DQ332"/>
  <c r="DP332"/>
  <c r="DO332"/>
  <c r="DN332"/>
  <c r="DM332"/>
  <c r="DL332"/>
  <c r="DK332"/>
  <c r="DJ332"/>
  <c r="DI332"/>
  <c r="DH332"/>
  <c r="DG332"/>
  <c r="DF332"/>
  <c r="DE332"/>
  <c r="DD332"/>
  <c r="DC332"/>
  <c r="DB332"/>
  <c r="DA332"/>
  <c r="CZ332"/>
  <c r="CY332"/>
  <c r="CX332"/>
  <c r="CW332"/>
  <c r="CV332"/>
  <c r="CU332"/>
  <c r="CT332"/>
  <c r="CS332"/>
  <c r="CR332"/>
  <c r="CQ332"/>
  <c r="CP332"/>
  <c r="CO332"/>
  <c r="CN332"/>
  <c r="CM332"/>
  <c r="CL332"/>
  <c r="CK332"/>
  <c r="CJ332"/>
  <c r="CI332"/>
  <c r="CH332"/>
  <c r="CG332"/>
  <c r="CF332"/>
  <c r="CE332"/>
  <c r="CD332"/>
  <c r="CC332"/>
  <c r="CB332"/>
  <c r="CA332"/>
  <c r="BZ332"/>
  <c r="BY332"/>
  <c r="BX332"/>
  <c r="BW332"/>
  <c r="BV332"/>
  <c r="BU332"/>
  <c r="BT332"/>
  <c r="BS332"/>
  <c r="BR332"/>
  <c r="BQ332"/>
  <c r="BP332"/>
  <c r="BO332"/>
  <c r="BN332"/>
  <c r="B332"/>
  <c r="DU331"/>
  <c r="DT331"/>
  <c r="DS331"/>
  <c r="DR331"/>
  <c r="DQ331"/>
  <c r="DP331"/>
  <c r="DO331"/>
  <c r="DN331"/>
  <c r="DM331"/>
  <c r="DL331"/>
  <c r="DK331"/>
  <c r="DJ331"/>
  <c r="DI331"/>
  <c r="DH331"/>
  <c r="DG331"/>
  <c r="DF331"/>
  <c r="DE331"/>
  <c r="DD331"/>
  <c r="DC331"/>
  <c r="DB331"/>
  <c r="DA331"/>
  <c r="CZ331"/>
  <c r="CY331"/>
  <c r="CX331"/>
  <c r="CW331"/>
  <c r="CV331"/>
  <c r="CU331"/>
  <c r="CT331"/>
  <c r="CS331"/>
  <c r="CR331"/>
  <c r="CQ331"/>
  <c r="CP331"/>
  <c r="CO331"/>
  <c r="CN331"/>
  <c r="CM331"/>
  <c r="CL331"/>
  <c r="CK331"/>
  <c r="CJ331"/>
  <c r="CI331"/>
  <c r="CH331"/>
  <c r="CG331"/>
  <c r="CF331"/>
  <c r="CE331"/>
  <c r="CD331"/>
  <c r="CC331"/>
  <c r="CB331"/>
  <c r="CA331"/>
  <c r="BZ331"/>
  <c r="BY331"/>
  <c r="BX331"/>
  <c r="BW331"/>
  <c r="BV331"/>
  <c r="BU331"/>
  <c r="BT331"/>
  <c r="BS331"/>
  <c r="BR331"/>
  <c r="BQ331"/>
  <c r="BP331"/>
  <c r="BO331"/>
  <c r="BN331"/>
  <c r="B331"/>
  <c r="DU330"/>
  <c r="DT330"/>
  <c r="DS330"/>
  <c r="DR330"/>
  <c r="DQ330"/>
  <c r="DP330"/>
  <c r="DO330"/>
  <c r="DN330"/>
  <c r="DM330"/>
  <c r="DL330"/>
  <c r="DK330"/>
  <c r="DJ330"/>
  <c r="DI330"/>
  <c r="DH330"/>
  <c r="DG330"/>
  <c r="DF330"/>
  <c r="DE330"/>
  <c r="DD330"/>
  <c r="DC330"/>
  <c r="DB330"/>
  <c r="DA330"/>
  <c r="CZ330"/>
  <c r="CY330"/>
  <c r="CX330"/>
  <c r="CW330"/>
  <c r="CV330"/>
  <c r="CU330"/>
  <c r="CT330"/>
  <c r="CS330"/>
  <c r="CR330"/>
  <c r="CQ330"/>
  <c r="CP330"/>
  <c r="CO330"/>
  <c r="CN330"/>
  <c r="CM330"/>
  <c r="CL330"/>
  <c r="CK330"/>
  <c r="CJ330"/>
  <c r="CI330"/>
  <c r="CH330"/>
  <c r="CG330"/>
  <c r="CF330"/>
  <c r="CE330"/>
  <c r="CD330"/>
  <c r="CC330"/>
  <c r="CB330"/>
  <c r="CA330"/>
  <c r="BZ330"/>
  <c r="BY330"/>
  <c r="BX330"/>
  <c r="BW330"/>
  <c r="BV330"/>
  <c r="BU330"/>
  <c r="BT330"/>
  <c r="BS330"/>
  <c r="BR330"/>
  <c r="BQ330"/>
  <c r="BP330"/>
  <c r="BO330"/>
  <c r="BN330"/>
  <c r="DU329"/>
  <c r="DT329"/>
  <c r="DS329"/>
  <c r="DR329"/>
  <c r="DQ329"/>
  <c r="DP329"/>
  <c r="DO329"/>
  <c r="DN329"/>
  <c r="DM329"/>
  <c r="DL329"/>
  <c r="DK329"/>
  <c r="DJ329"/>
  <c r="DI329"/>
  <c r="DH329"/>
  <c r="DG329"/>
  <c r="DF329"/>
  <c r="DE329"/>
  <c r="DD329"/>
  <c r="DC329"/>
  <c r="DB329"/>
  <c r="DA329"/>
  <c r="CZ329"/>
  <c r="CY329"/>
  <c r="CX329"/>
  <c r="CW329"/>
  <c r="CV329"/>
  <c r="CU329"/>
  <c r="CT329"/>
  <c r="CS329"/>
  <c r="CR329"/>
  <c r="CQ329"/>
  <c r="CP329"/>
  <c r="CO329"/>
  <c r="CN329"/>
  <c r="CM329"/>
  <c r="CL329"/>
  <c r="CK329"/>
  <c r="CJ329"/>
  <c r="CI329"/>
  <c r="CH329"/>
  <c r="CG329"/>
  <c r="CF329"/>
  <c r="CE329"/>
  <c r="CD329"/>
  <c r="CC329"/>
  <c r="CB329"/>
  <c r="CA329"/>
  <c r="BZ329"/>
  <c r="BY329"/>
  <c r="BX329"/>
  <c r="BW329"/>
  <c r="BV329"/>
  <c r="BU329"/>
  <c r="BT329"/>
  <c r="BS329"/>
  <c r="BR329"/>
  <c r="BQ329"/>
  <c r="BP329"/>
  <c r="BO329"/>
  <c r="BN329"/>
  <c r="D329"/>
  <c r="DU328"/>
  <c r="DT328"/>
  <c r="DS328"/>
  <c r="DR328"/>
  <c r="DQ328"/>
  <c r="DP328"/>
  <c r="DO328"/>
  <c r="DN328"/>
  <c r="DM328"/>
  <c r="DL328"/>
  <c r="DK328"/>
  <c r="DJ328"/>
  <c r="DI328"/>
  <c r="DH328"/>
  <c r="DG328"/>
  <c r="DF328"/>
  <c r="DE328"/>
  <c r="DD328"/>
  <c r="DC328"/>
  <c r="DB328"/>
  <c r="DA328"/>
  <c r="CZ328"/>
  <c r="CY328"/>
  <c r="CX328"/>
  <c r="CW328"/>
  <c r="CV328"/>
  <c r="CU328"/>
  <c r="CT328"/>
  <c r="CS328"/>
  <c r="CR328"/>
  <c r="CQ328"/>
  <c r="CP328"/>
  <c r="CO328"/>
  <c r="CN328"/>
  <c r="CM328"/>
  <c r="CL328"/>
  <c r="CK328"/>
  <c r="CJ328"/>
  <c r="CI328"/>
  <c r="CH328"/>
  <c r="CG328"/>
  <c r="CF328"/>
  <c r="CE328"/>
  <c r="CD328"/>
  <c r="CC328"/>
  <c r="CB328"/>
  <c r="CA328"/>
  <c r="BZ328"/>
  <c r="BY328"/>
  <c r="BX328"/>
  <c r="BW328"/>
  <c r="BV328"/>
  <c r="BU328"/>
  <c r="BT328"/>
  <c r="BS328"/>
  <c r="BR328"/>
  <c r="BQ328"/>
  <c r="BP328"/>
  <c r="BO328"/>
  <c r="BN328"/>
  <c r="DU327"/>
  <c r="DT327"/>
  <c r="DS327"/>
  <c r="DR327"/>
  <c r="DQ327"/>
  <c r="DP327"/>
  <c r="DO327"/>
  <c r="DN327"/>
  <c r="DM327"/>
  <c r="DL327"/>
  <c r="DK327"/>
  <c r="DJ327"/>
  <c r="DI327"/>
  <c r="DH327"/>
  <c r="DG327"/>
  <c r="DF327"/>
  <c r="DE327"/>
  <c r="DD327"/>
  <c r="DC327"/>
  <c r="DB327"/>
  <c r="DA327"/>
  <c r="CZ327"/>
  <c r="CY327"/>
  <c r="CX327"/>
  <c r="CW327"/>
  <c r="CV327"/>
  <c r="CU327"/>
  <c r="CT327"/>
  <c r="CS327"/>
  <c r="CR327"/>
  <c r="CQ327"/>
  <c r="CP327"/>
  <c r="CO327"/>
  <c r="CN327"/>
  <c r="CM327"/>
  <c r="CL327"/>
  <c r="CK327"/>
  <c r="CJ327"/>
  <c r="CI327"/>
  <c r="CH327"/>
  <c r="CG327"/>
  <c r="CF327"/>
  <c r="CE327"/>
  <c r="CD327"/>
  <c r="CC327"/>
  <c r="CB327"/>
  <c r="CA327"/>
  <c r="BZ327"/>
  <c r="BY327"/>
  <c r="BX327"/>
  <c r="BW327"/>
  <c r="BV327"/>
  <c r="BU327"/>
  <c r="BT327"/>
  <c r="BS327"/>
  <c r="BR327"/>
  <c r="BQ327"/>
  <c r="BP327"/>
  <c r="BO327"/>
  <c r="BN327"/>
  <c r="DU326"/>
  <c r="DT326"/>
  <c r="DS326"/>
  <c r="DR326"/>
  <c r="DQ326"/>
  <c r="DP326"/>
  <c r="DO326"/>
  <c r="DN326"/>
  <c r="DM326"/>
  <c r="DL326"/>
  <c r="DK326"/>
  <c r="DJ326"/>
  <c r="DI326"/>
  <c r="DH326"/>
  <c r="DG326"/>
  <c r="DF326"/>
  <c r="DE326"/>
  <c r="DD326"/>
  <c r="DC326"/>
  <c r="DB326"/>
  <c r="DA326"/>
  <c r="CZ326"/>
  <c r="CY326"/>
  <c r="CX326"/>
  <c r="CW326"/>
  <c r="CV326"/>
  <c r="CU326"/>
  <c r="CT326"/>
  <c r="CS326"/>
  <c r="CR326"/>
  <c r="CQ326"/>
  <c r="CP326"/>
  <c r="CO326"/>
  <c r="CN326"/>
  <c r="CM326"/>
  <c r="CL326"/>
  <c r="CK326"/>
  <c r="CJ326"/>
  <c r="CI326"/>
  <c r="CH326"/>
  <c r="CG326"/>
  <c r="CF326"/>
  <c r="CE326"/>
  <c r="CD326"/>
  <c r="CC326"/>
  <c r="CB326"/>
  <c r="CA326"/>
  <c r="BZ326"/>
  <c r="BY326"/>
  <c r="BX326"/>
  <c r="BW326"/>
  <c r="BV326"/>
  <c r="BU326"/>
  <c r="BT326"/>
  <c r="BS326"/>
  <c r="BR326"/>
  <c r="BQ326"/>
  <c r="BP326"/>
  <c r="BO326"/>
  <c r="BN326"/>
  <c r="DU325"/>
  <c r="DT325"/>
  <c r="DS325"/>
  <c r="DR325"/>
  <c r="DQ325"/>
  <c r="DP325"/>
  <c r="DO325"/>
  <c r="DN325"/>
  <c r="DM325"/>
  <c r="DL325"/>
  <c r="DK325"/>
  <c r="DJ325"/>
  <c r="DI325"/>
  <c r="DH325"/>
  <c r="DG325"/>
  <c r="DF325"/>
  <c r="DE325"/>
  <c r="DD325"/>
  <c r="DC325"/>
  <c r="DB325"/>
  <c r="DA325"/>
  <c r="CZ325"/>
  <c r="CY325"/>
  <c r="CX325"/>
  <c r="CW325"/>
  <c r="CV325"/>
  <c r="CU325"/>
  <c r="CT325"/>
  <c r="CS325"/>
  <c r="CR325"/>
  <c r="CQ325"/>
  <c r="CP325"/>
  <c r="CO325"/>
  <c r="CN325"/>
  <c r="CM325"/>
  <c r="CL325"/>
  <c r="CK325"/>
  <c r="CJ325"/>
  <c r="CI325"/>
  <c r="CH325"/>
  <c r="CG325"/>
  <c r="CF325"/>
  <c r="CE325"/>
  <c r="CD325"/>
  <c r="CC325"/>
  <c r="CB325"/>
  <c r="CA325"/>
  <c r="BZ325"/>
  <c r="BY325"/>
  <c r="BX325"/>
  <c r="BW325"/>
  <c r="BV325"/>
  <c r="BU325"/>
  <c r="BT325"/>
  <c r="BS325"/>
  <c r="BR325"/>
  <c r="BQ325"/>
  <c r="BP325"/>
  <c r="BO325"/>
  <c r="BN325"/>
  <c r="C325"/>
  <c r="DU324"/>
  <c r="DT324"/>
  <c r="DS324"/>
  <c r="DR324"/>
  <c r="DQ324"/>
  <c r="DP324"/>
  <c r="DO324"/>
  <c r="DN324"/>
  <c r="DM324"/>
  <c r="DL324"/>
  <c r="DK324"/>
  <c r="DJ324"/>
  <c r="DI324"/>
  <c r="DH324"/>
  <c r="DG324"/>
  <c r="DF324"/>
  <c r="DE324"/>
  <c r="DD324"/>
  <c r="DC324"/>
  <c r="DB324"/>
  <c r="DA324"/>
  <c r="CZ324"/>
  <c r="CY324"/>
  <c r="CX324"/>
  <c r="CW324"/>
  <c r="CV324"/>
  <c r="CU324"/>
  <c r="CT324"/>
  <c r="CS324"/>
  <c r="CR324"/>
  <c r="CQ324"/>
  <c r="CP324"/>
  <c r="CO324"/>
  <c r="CN324"/>
  <c r="CM324"/>
  <c r="CL324"/>
  <c r="CK324"/>
  <c r="CJ324"/>
  <c r="CI324"/>
  <c r="CH324"/>
  <c r="CG324"/>
  <c r="CF324"/>
  <c r="CE324"/>
  <c r="CD324"/>
  <c r="CC324"/>
  <c r="CB324"/>
  <c r="CA324"/>
  <c r="BZ324"/>
  <c r="BY324"/>
  <c r="BX324"/>
  <c r="BW324"/>
  <c r="BV324"/>
  <c r="BU324"/>
  <c r="BT324"/>
  <c r="BS324"/>
  <c r="BR324"/>
  <c r="BQ324"/>
  <c r="BP324"/>
  <c r="BO324"/>
  <c r="BN324"/>
  <c r="DU323"/>
  <c r="DT323"/>
  <c r="DS323"/>
  <c r="DR323"/>
  <c r="DQ323"/>
  <c r="DP323"/>
  <c r="DO323"/>
  <c r="DN323"/>
  <c r="DM323"/>
  <c r="DL323"/>
  <c r="DK323"/>
  <c r="DJ323"/>
  <c r="DI323"/>
  <c r="DH323"/>
  <c r="DG323"/>
  <c r="DF323"/>
  <c r="DE323"/>
  <c r="DD323"/>
  <c r="DC323"/>
  <c r="DB323"/>
  <c r="DA323"/>
  <c r="CZ323"/>
  <c r="CY323"/>
  <c r="CX323"/>
  <c r="CW323"/>
  <c r="CV323"/>
  <c r="CU323"/>
  <c r="CT323"/>
  <c r="CS323"/>
  <c r="CR323"/>
  <c r="CQ323"/>
  <c r="CP323"/>
  <c r="CO323"/>
  <c r="CN323"/>
  <c r="CM323"/>
  <c r="CL323"/>
  <c r="CK323"/>
  <c r="CJ323"/>
  <c r="CI323"/>
  <c r="CH323"/>
  <c r="CG323"/>
  <c r="CF323"/>
  <c r="CE323"/>
  <c r="CD323"/>
  <c r="CC323"/>
  <c r="CB323"/>
  <c r="CA323"/>
  <c r="BZ323"/>
  <c r="BY323"/>
  <c r="BX323"/>
  <c r="BW323"/>
  <c r="BV323"/>
  <c r="BU323"/>
  <c r="BT323"/>
  <c r="BS323"/>
  <c r="BR323"/>
  <c r="BQ323"/>
  <c r="BP323"/>
  <c r="BO323"/>
  <c r="BN323"/>
  <c r="DU322"/>
  <c r="DT322"/>
  <c r="DS322"/>
  <c r="DR322"/>
  <c r="DQ322"/>
  <c r="DP322"/>
  <c r="DO322"/>
  <c r="DN322"/>
  <c r="DM322"/>
  <c r="DL322"/>
  <c r="DK322"/>
  <c r="DJ322"/>
  <c r="DI322"/>
  <c r="DH322"/>
  <c r="DG322"/>
  <c r="DF322"/>
  <c r="DE322"/>
  <c r="DD322"/>
  <c r="DC322"/>
  <c r="DB322"/>
  <c r="DA322"/>
  <c r="CZ322"/>
  <c r="CY322"/>
  <c r="CX322"/>
  <c r="CW322"/>
  <c r="CV322"/>
  <c r="CU322"/>
  <c r="CT322"/>
  <c r="CS322"/>
  <c r="CR322"/>
  <c r="CQ322"/>
  <c r="CP322"/>
  <c r="CO322"/>
  <c r="CN322"/>
  <c r="CM322"/>
  <c r="CL322"/>
  <c r="CK322"/>
  <c r="CJ322"/>
  <c r="CI322"/>
  <c r="CH322"/>
  <c r="CG322"/>
  <c r="CF322"/>
  <c r="CE322"/>
  <c r="CD322"/>
  <c r="CC322"/>
  <c r="CB322"/>
  <c r="CA322"/>
  <c r="BZ322"/>
  <c r="BY322"/>
  <c r="BX322"/>
  <c r="BW322"/>
  <c r="BV322"/>
  <c r="BU322"/>
  <c r="BT322"/>
  <c r="BS322"/>
  <c r="BR322"/>
  <c r="BQ322"/>
  <c r="BP322"/>
  <c r="BO322"/>
  <c r="BN322"/>
  <c r="B322"/>
  <c r="DU321"/>
  <c r="DT321"/>
  <c r="DS321"/>
  <c r="DR321"/>
  <c r="DQ321"/>
  <c r="DP321"/>
  <c r="DO321"/>
  <c r="DN321"/>
  <c r="DM321"/>
  <c r="DL321"/>
  <c r="DK321"/>
  <c r="DJ321"/>
  <c r="DI321"/>
  <c r="DH321"/>
  <c r="DG321"/>
  <c r="DF321"/>
  <c r="DE321"/>
  <c r="DD321"/>
  <c r="DC321"/>
  <c r="DB321"/>
  <c r="DA321"/>
  <c r="CZ321"/>
  <c r="CY321"/>
  <c r="CX321"/>
  <c r="CW321"/>
  <c r="CV321"/>
  <c r="CU321"/>
  <c r="CT321"/>
  <c r="CS321"/>
  <c r="CR321"/>
  <c r="CQ321"/>
  <c r="CP321"/>
  <c r="CO321"/>
  <c r="CN321"/>
  <c r="CM321"/>
  <c r="CL321"/>
  <c r="CK321"/>
  <c r="CJ321"/>
  <c r="CI321"/>
  <c r="CH321"/>
  <c r="CG321"/>
  <c r="CF321"/>
  <c r="CE321"/>
  <c r="CD321"/>
  <c r="CC321"/>
  <c r="CB321"/>
  <c r="CA321"/>
  <c r="BZ321"/>
  <c r="BY321"/>
  <c r="BX321"/>
  <c r="BW321"/>
  <c r="BV321"/>
  <c r="BU321"/>
  <c r="BT321"/>
  <c r="BS321"/>
  <c r="BR321"/>
  <c r="BQ321"/>
  <c r="BP321"/>
  <c r="BO321"/>
  <c r="BN321"/>
  <c r="DU320"/>
  <c r="DT320"/>
  <c r="DS320"/>
  <c r="DR320"/>
  <c r="DQ320"/>
  <c r="DP320"/>
  <c r="DO320"/>
  <c r="DN320"/>
  <c r="DM320"/>
  <c r="DL320"/>
  <c r="DK320"/>
  <c r="DJ320"/>
  <c r="DI320"/>
  <c r="DH320"/>
  <c r="DG320"/>
  <c r="DF320"/>
  <c r="DE320"/>
  <c r="DD320"/>
  <c r="DC320"/>
  <c r="DB320"/>
  <c r="DA320"/>
  <c r="CZ320"/>
  <c r="CY320"/>
  <c r="CX320"/>
  <c r="CW320"/>
  <c r="CV320"/>
  <c r="CU320"/>
  <c r="CT320"/>
  <c r="CS320"/>
  <c r="CR320"/>
  <c r="CQ320"/>
  <c r="CP320"/>
  <c r="CO320"/>
  <c r="CN320"/>
  <c r="CM320"/>
  <c r="CL320"/>
  <c r="CK320"/>
  <c r="CJ320"/>
  <c r="CI320"/>
  <c r="CH320"/>
  <c r="CG320"/>
  <c r="CF320"/>
  <c r="CE320"/>
  <c r="CD320"/>
  <c r="CC320"/>
  <c r="CB320"/>
  <c r="CA320"/>
  <c r="BZ320"/>
  <c r="BY320"/>
  <c r="BX320"/>
  <c r="BW320"/>
  <c r="BV320"/>
  <c r="BU320"/>
  <c r="BT320"/>
  <c r="BS320"/>
  <c r="BR320"/>
  <c r="BQ320"/>
  <c r="BP320"/>
  <c r="BO320"/>
  <c r="BN320"/>
  <c r="DU319"/>
  <c r="DT319"/>
  <c r="DS319"/>
  <c r="DR319"/>
  <c r="DQ319"/>
  <c r="DP319"/>
  <c r="DO319"/>
  <c r="DN319"/>
  <c r="DM319"/>
  <c r="DL319"/>
  <c r="DK319"/>
  <c r="DJ319"/>
  <c r="DI319"/>
  <c r="DH319"/>
  <c r="DG319"/>
  <c r="DF319"/>
  <c r="DE319"/>
  <c r="DD319"/>
  <c r="DC319"/>
  <c r="DB319"/>
  <c r="DA319"/>
  <c r="CZ319"/>
  <c r="CY319"/>
  <c r="CX319"/>
  <c r="CW319"/>
  <c r="CV319"/>
  <c r="CU319"/>
  <c r="CT319"/>
  <c r="CS319"/>
  <c r="CR319"/>
  <c r="CQ319"/>
  <c r="CP319"/>
  <c r="CO319"/>
  <c r="CN319"/>
  <c r="CM319"/>
  <c r="CL319"/>
  <c r="CK319"/>
  <c r="CJ319"/>
  <c r="CI319"/>
  <c r="CH319"/>
  <c r="CG319"/>
  <c r="CF319"/>
  <c r="CE319"/>
  <c r="CD319"/>
  <c r="CC319"/>
  <c r="CB319"/>
  <c r="CA319"/>
  <c r="BZ319"/>
  <c r="BY319"/>
  <c r="BX319"/>
  <c r="BW319"/>
  <c r="BV319"/>
  <c r="BU319"/>
  <c r="BT319"/>
  <c r="BS319"/>
  <c r="BR319"/>
  <c r="BQ319"/>
  <c r="BP319"/>
  <c r="BO319"/>
  <c r="BN319"/>
  <c r="A319"/>
  <c r="DU318"/>
  <c r="DT318"/>
  <c r="DS318"/>
  <c r="DR318"/>
  <c r="DQ318"/>
  <c r="DP318"/>
  <c r="DO318"/>
  <c r="DN318"/>
  <c r="DM318"/>
  <c r="DL318"/>
  <c r="DK318"/>
  <c r="DJ318"/>
  <c r="DI318"/>
  <c r="DH318"/>
  <c r="DG318"/>
  <c r="DF318"/>
  <c r="DE318"/>
  <c r="DD318"/>
  <c r="DC318"/>
  <c r="DB318"/>
  <c r="DA318"/>
  <c r="CZ318"/>
  <c r="CY318"/>
  <c r="CX318"/>
  <c r="CW318"/>
  <c r="CV318"/>
  <c r="CU318"/>
  <c r="CT318"/>
  <c r="CS318"/>
  <c r="CR318"/>
  <c r="CQ318"/>
  <c r="CP318"/>
  <c r="CO318"/>
  <c r="CN318"/>
  <c r="CM318"/>
  <c r="CL318"/>
  <c r="CK318"/>
  <c r="CJ318"/>
  <c r="CI318"/>
  <c r="CH318"/>
  <c r="CG318"/>
  <c r="CF318"/>
  <c r="CE318"/>
  <c r="CD318"/>
  <c r="CC318"/>
  <c r="CB318"/>
  <c r="CA318"/>
  <c r="BZ318"/>
  <c r="BY318"/>
  <c r="BX318"/>
  <c r="BW318"/>
  <c r="BV318"/>
  <c r="BU318"/>
  <c r="BT318"/>
  <c r="BS318"/>
  <c r="BR318"/>
  <c r="BQ318"/>
  <c r="BP318"/>
  <c r="BO318"/>
  <c r="BN318"/>
  <c r="DU317"/>
  <c r="DT317"/>
  <c r="DS317"/>
  <c r="DR317"/>
  <c r="DQ317"/>
  <c r="DP317"/>
  <c r="DO317"/>
  <c r="DN317"/>
  <c r="DM317"/>
  <c r="DL317"/>
  <c r="DK317"/>
  <c r="DJ317"/>
  <c r="DI317"/>
  <c r="DH317"/>
  <c r="DG317"/>
  <c r="DF317"/>
  <c r="DE317"/>
  <c r="DD317"/>
  <c r="DC317"/>
  <c r="DB317"/>
  <c r="DA317"/>
  <c r="CZ317"/>
  <c r="CY317"/>
  <c r="CX317"/>
  <c r="CW317"/>
  <c r="CV317"/>
  <c r="CU317"/>
  <c r="CT317"/>
  <c r="CS317"/>
  <c r="CR317"/>
  <c r="CQ317"/>
  <c r="CP317"/>
  <c r="CO317"/>
  <c r="CN317"/>
  <c r="CM317"/>
  <c r="CL317"/>
  <c r="CK317"/>
  <c r="CJ317"/>
  <c r="CI317"/>
  <c r="CH317"/>
  <c r="CG317"/>
  <c r="CF317"/>
  <c r="CE317"/>
  <c r="CD317"/>
  <c r="CC317"/>
  <c r="CB317"/>
  <c r="CA317"/>
  <c r="BZ317"/>
  <c r="BY317"/>
  <c r="BX317"/>
  <c r="BW317"/>
  <c r="BV317"/>
  <c r="BU317"/>
  <c r="BT317"/>
  <c r="BS317"/>
  <c r="BR317"/>
  <c r="BQ317"/>
  <c r="BP317"/>
  <c r="BO317"/>
  <c r="BN317"/>
  <c r="DU316"/>
  <c r="DT316"/>
  <c r="DS316"/>
  <c r="DR316"/>
  <c r="DQ316"/>
  <c r="DP316"/>
  <c r="DO316"/>
  <c r="DN316"/>
  <c r="DM316"/>
  <c r="DL316"/>
  <c r="DK316"/>
  <c r="DJ316"/>
  <c r="DI316"/>
  <c r="DH316"/>
  <c r="DG316"/>
  <c r="DF316"/>
  <c r="DE316"/>
  <c r="DD316"/>
  <c r="DC316"/>
  <c r="DB316"/>
  <c r="DA316"/>
  <c r="CZ316"/>
  <c r="CY316"/>
  <c r="CX316"/>
  <c r="CW316"/>
  <c r="CV316"/>
  <c r="CU316"/>
  <c r="CT316"/>
  <c r="CS316"/>
  <c r="CR316"/>
  <c r="CQ316"/>
  <c r="CP316"/>
  <c r="CO316"/>
  <c r="CN316"/>
  <c r="CM316"/>
  <c r="CL316"/>
  <c r="CK316"/>
  <c r="CJ316"/>
  <c r="CI316"/>
  <c r="CH316"/>
  <c r="CG316"/>
  <c r="CF316"/>
  <c r="CE316"/>
  <c r="CD316"/>
  <c r="CC316"/>
  <c r="CB316"/>
  <c r="CA316"/>
  <c r="BZ316"/>
  <c r="BY316"/>
  <c r="BX316"/>
  <c r="BW316"/>
  <c r="BV316"/>
  <c r="BU316"/>
  <c r="BT316"/>
  <c r="BS316"/>
  <c r="BR316"/>
  <c r="BQ316"/>
  <c r="BP316"/>
  <c r="BO316"/>
  <c r="BN316"/>
  <c r="E316"/>
  <c r="DU315"/>
  <c r="DT315"/>
  <c r="DS315"/>
  <c r="DR315"/>
  <c r="DQ315"/>
  <c r="DP315"/>
  <c r="DO315"/>
  <c r="DN315"/>
  <c r="DM315"/>
  <c r="DL315"/>
  <c r="DK315"/>
  <c r="DJ315"/>
  <c r="DI315"/>
  <c r="DH315"/>
  <c r="DG315"/>
  <c r="DF315"/>
  <c r="DE315"/>
  <c r="DD315"/>
  <c r="DC315"/>
  <c r="DB315"/>
  <c r="DA315"/>
  <c r="CZ315"/>
  <c r="CY315"/>
  <c r="CX315"/>
  <c r="CW315"/>
  <c r="CV315"/>
  <c r="CU315"/>
  <c r="CT315"/>
  <c r="CS315"/>
  <c r="CR315"/>
  <c r="CQ315"/>
  <c r="CP315"/>
  <c r="CO315"/>
  <c r="CN315"/>
  <c r="CM315"/>
  <c r="CL315"/>
  <c r="CK315"/>
  <c r="CJ315"/>
  <c r="CI315"/>
  <c r="CH315"/>
  <c r="CG315"/>
  <c r="CF315"/>
  <c r="CE315"/>
  <c r="CD315"/>
  <c r="CC315"/>
  <c r="CB315"/>
  <c r="CA315"/>
  <c r="BZ315"/>
  <c r="BY315"/>
  <c r="BX315"/>
  <c r="BW315"/>
  <c r="BV315"/>
  <c r="BU315"/>
  <c r="BT315"/>
  <c r="BS315"/>
  <c r="BR315"/>
  <c r="BQ315"/>
  <c r="BP315"/>
  <c r="BO315"/>
  <c r="BN315"/>
  <c r="B315"/>
  <c r="DU314"/>
  <c r="DT314"/>
  <c r="DS314"/>
  <c r="DR314"/>
  <c r="DQ314"/>
  <c r="DP314"/>
  <c r="DO314"/>
  <c r="DN314"/>
  <c r="DM314"/>
  <c r="DL314"/>
  <c r="DK314"/>
  <c r="DJ314"/>
  <c r="DI314"/>
  <c r="DH314"/>
  <c r="DG314"/>
  <c r="DF314"/>
  <c r="DE314"/>
  <c r="DD314"/>
  <c r="DC314"/>
  <c r="DB314"/>
  <c r="DA314"/>
  <c r="CZ314"/>
  <c r="CY314"/>
  <c r="CX314"/>
  <c r="CW314"/>
  <c r="CV314"/>
  <c r="CU314"/>
  <c r="CT314"/>
  <c r="CS314"/>
  <c r="CR314"/>
  <c r="CQ314"/>
  <c r="CP314"/>
  <c r="CO314"/>
  <c r="CN314"/>
  <c r="CM314"/>
  <c r="CL314"/>
  <c r="CK314"/>
  <c r="CJ314"/>
  <c r="CI314"/>
  <c r="CH314"/>
  <c r="CG314"/>
  <c r="CF314"/>
  <c r="CE314"/>
  <c r="CD314"/>
  <c r="CC314"/>
  <c r="CB314"/>
  <c r="CA314"/>
  <c r="BZ314"/>
  <c r="BY314"/>
  <c r="BX314"/>
  <c r="BW314"/>
  <c r="BV314"/>
  <c r="BU314"/>
  <c r="BT314"/>
  <c r="BS314"/>
  <c r="BR314"/>
  <c r="BQ314"/>
  <c r="BP314"/>
  <c r="BO314"/>
  <c r="BN314"/>
  <c r="B314"/>
  <c r="DU313"/>
  <c r="DT313"/>
  <c r="DS313"/>
  <c r="DR313"/>
  <c r="DQ313"/>
  <c r="DP313"/>
  <c r="DO313"/>
  <c r="DN313"/>
  <c r="DM313"/>
  <c r="DL313"/>
  <c r="DK313"/>
  <c r="DJ313"/>
  <c r="DI313"/>
  <c r="DH313"/>
  <c r="DG313"/>
  <c r="DF313"/>
  <c r="DE313"/>
  <c r="DD313"/>
  <c r="DC313"/>
  <c r="DB313"/>
  <c r="DA313"/>
  <c r="CZ313"/>
  <c r="CY313"/>
  <c r="CX313"/>
  <c r="CW313"/>
  <c r="CV313"/>
  <c r="CU313"/>
  <c r="CT313"/>
  <c r="CS313"/>
  <c r="CR313"/>
  <c r="CQ313"/>
  <c r="CP313"/>
  <c r="CO313"/>
  <c r="CN313"/>
  <c r="CM313"/>
  <c r="CL313"/>
  <c r="CK313"/>
  <c r="CJ313"/>
  <c r="CI313"/>
  <c r="CH313"/>
  <c r="CG313"/>
  <c r="CF313"/>
  <c r="CE313"/>
  <c r="CD313"/>
  <c r="CC313"/>
  <c r="CB313"/>
  <c r="CA313"/>
  <c r="BZ313"/>
  <c r="BY313"/>
  <c r="BX313"/>
  <c r="BW313"/>
  <c r="BV313"/>
  <c r="BU313"/>
  <c r="BT313"/>
  <c r="BS313"/>
  <c r="BR313"/>
  <c r="BQ313"/>
  <c r="BP313"/>
  <c r="BO313"/>
  <c r="BN313"/>
  <c r="DU312"/>
  <c r="DT312"/>
  <c r="DS312"/>
  <c r="DR312"/>
  <c r="DQ312"/>
  <c r="DP312"/>
  <c r="DO312"/>
  <c r="DN312"/>
  <c r="DM312"/>
  <c r="DL312"/>
  <c r="DK312"/>
  <c r="DJ312"/>
  <c r="DI312"/>
  <c r="DH312"/>
  <c r="DG312"/>
  <c r="DF312"/>
  <c r="DE312"/>
  <c r="DD312"/>
  <c r="DC312"/>
  <c r="DB312"/>
  <c r="DA312"/>
  <c r="CZ312"/>
  <c r="CY312"/>
  <c r="CX312"/>
  <c r="CW312"/>
  <c r="CV312"/>
  <c r="CU312"/>
  <c r="CT312"/>
  <c r="CS312"/>
  <c r="CR312"/>
  <c r="CQ312"/>
  <c r="CP312"/>
  <c r="CO312"/>
  <c r="CN312"/>
  <c r="CM312"/>
  <c r="CL312"/>
  <c r="CK312"/>
  <c r="CJ312"/>
  <c r="CI312"/>
  <c r="CH312"/>
  <c r="CG312"/>
  <c r="CF312"/>
  <c r="CE312"/>
  <c r="CD312"/>
  <c r="CC312"/>
  <c r="CB312"/>
  <c r="CA312"/>
  <c r="BZ312"/>
  <c r="BY312"/>
  <c r="BX312"/>
  <c r="BW312"/>
  <c r="BV312"/>
  <c r="BU312"/>
  <c r="BT312"/>
  <c r="BS312"/>
  <c r="BR312"/>
  <c r="BQ312"/>
  <c r="BP312"/>
  <c r="BO312"/>
  <c r="BN312"/>
  <c r="DU311"/>
  <c r="DT311"/>
  <c r="DS311"/>
  <c r="DR311"/>
  <c r="DQ311"/>
  <c r="DP311"/>
  <c r="DO311"/>
  <c r="DN311"/>
  <c r="DM311"/>
  <c r="DL311"/>
  <c r="DK311"/>
  <c r="DJ311"/>
  <c r="DI311"/>
  <c r="DH311"/>
  <c r="DG311"/>
  <c r="DF311"/>
  <c r="DE311"/>
  <c r="DD311"/>
  <c r="DC311"/>
  <c r="DB311"/>
  <c r="DA311"/>
  <c r="CZ311"/>
  <c r="CY311"/>
  <c r="CX311"/>
  <c r="CW311"/>
  <c r="CV311"/>
  <c r="CU311"/>
  <c r="CT311"/>
  <c r="CS311"/>
  <c r="CR311"/>
  <c r="CQ311"/>
  <c r="CP311"/>
  <c r="CO311"/>
  <c r="CN311"/>
  <c r="CM311"/>
  <c r="CL311"/>
  <c r="CK311"/>
  <c r="CJ311"/>
  <c r="CI311"/>
  <c r="CH311"/>
  <c r="CG311"/>
  <c r="CF311"/>
  <c r="CE311"/>
  <c r="CD311"/>
  <c r="CC311"/>
  <c r="CB311"/>
  <c r="CA311"/>
  <c r="BZ311"/>
  <c r="BY311"/>
  <c r="BX311"/>
  <c r="BW311"/>
  <c r="BV311"/>
  <c r="BU311"/>
  <c r="BT311"/>
  <c r="BS311"/>
  <c r="BR311"/>
  <c r="BQ311"/>
  <c r="BP311"/>
  <c r="BO311"/>
  <c r="BN311"/>
  <c r="A311"/>
  <c r="DU310"/>
  <c r="DT310"/>
  <c r="DS310"/>
  <c r="DR310"/>
  <c r="DQ310"/>
  <c r="DP310"/>
  <c r="DO310"/>
  <c r="DN310"/>
  <c r="DM310"/>
  <c r="DL310"/>
  <c r="DK310"/>
  <c r="DJ310"/>
  <c r="DI310"/>
  <c r="DH310"/>
  <c r="DG310"/>
  <c r="DF310"/>
  <c r="DE310"/>
  <c r="DD310"/>
  <c r="DC310"/>
  <c r="DB310"/>
  <c r="DA310"/>
  <c r="CZ310"/>
  <c r="CY310"/>
  <c r="CX310"/>
  <c r="CW310"/>
  <c r="CV310"/>
  <c r="CU310"/>
  <c r="CT310"/>
  <c r="CS310"/>
  <c r="CR310"/>
  <c r="CQ310"/>
  <c r="CP310"/>
  <c r="CO310"/>
  <c r="CN310"/>
  <c r="CM310"/>
  <c r="CL310"/>
  <c r="CK310"/>
  <c r="CJ310"/>
  <c r="CI310"/>
  <c r="CH310"/>
  <c r="CG310"/>
  <c r="CF310"/>
  <c r="CE310"/>
  <c r="CD310"/>
  <c r="CC310"/>
  <c r="CB310"/>
  <c r="CA310"/>
  <c r="BZ310"/>
  <c r="BY310"/>
  <c r="BX310"/>
  <c r="BW310"/>
  <c r="BV310"/>
  <c r="BU310"/>
  <c r="BT310"/>
  <c r="BS310"/>
  <c r="BR310"/>
  <c r="BQ310"/>
  <c r="BP310"/>
  <c r="BO310"/>
  <c r="BN310"/>
  <c r="DU309"/>
  <c r="DT309"/>
  <c r="DS309"/>
  <c r="DR309"/>
  <c r="DQ309"/>
  <c r="DP309"/>
  <c r="DO309"/>
  <c r="DN309"/>
  <c r="DM309"/>
  <c r="DL309"/>
  <c r="DK309"/>
  <c r="DJ309"/>
  <c r="DI309"/>
  <c r="DH309"/>
  <c r="DG309"/>
  <c r="DF309"/>
  <c r="DE309"/>
  <c r="DD309"/>
  <c r="DC309"/>
  <c r="DB309"/>
  <c r="DA309"/>
  <c r="CZ309"/>
  <c r="CY309"/>
  <c r="CX309"/>
  <c r="CW309"/>
  <c r="CV309"/>
  <c r="CU309"/>
  <c r="CT309"/>
  <c r="CS309"/>
  <c r="CR309"/>
  <c r="CQ309"/>
  <c r="CP309"/>
  <c r="CO309"/>
  <c r="CN309"/>
  <c r="CM309"/>
  <c r="CL309"/>
  <c r="CK309"/>
  <c r="CJ309"/>
  <c r="CI309"/>
  <c r="CH309"/>
  <c r="CG309"/>
  <c r="CF309"/>
  <c r="CE309"/>
  <c r="CD309"/>
  <c r="CC309"/>
  <c r="CB309"/>
  <c r="CA309"/>
  <c r="BZ309"/>
  <c r="BY309"/>
  <c r="BX309"/>
  <c r="BW309"/>
  <c r="BV309"/>
  <c r="BU309"/>
  <c r="BT309"/>
  <c r="BS309"/>
  <c r="BR309"/>
  <c r="BQ309"/>
  <c r="BP309"/>
  <c r="BO309"/>
  <c r="BN309"/>
  <c r="C309"/>
  <c r="DU308"/>
  <c r="DT308"/>
  <c r="DS308"/>
  <c r="DR308"/>
  <c r="DQ308"/>
  <c r="DP308"/>
  <c r="DO308"/>
  <c r="DN308"/>
  <c r="DM308"/>
  <c r="DL308"/>
  <c r="DK308"/>
  <c r="DJ308"/>
  <c r="DI308"/>
  <c r="DH308"/>
  <c r="DG308"/>
  <c r="DF308"/>
  <c r="DE308"/>
  <c r="DD308"/>
  <c r="DC308"/>
  <c r="DB308"/>
  <c r="DA308"/>
  <c r="CZ308"/>
  <c r="CY308"/>
  <c r="CX308"/>
  <c r="CW308"/>
  <c r="CV308"/>
  <c r="CU308"/>
  <c r="CT308"/>
  <c r="CS308"/>
  <c r="CR308"/>
  <c r="CQ308"/>
  <c r="CP308"/>
  <c r="CO308"/>
  <c r="CN308"/>
  <c r="CM308"/>
  <c r="CL308"/>
  <c r="CK308"/>
  <c r="CJ308"/>
  <c r="CI308"/>
  <c r="CH308"/>
  <c r="CG308"/>
  <c r="CF308"/>
  <c r="CE308"/>
  <c r="CD308"/>
  <c r="CC308"/>
  <c r="CB308"/>
  <c r="CA308"/>
  <c r="BZ308"/>
  <c r="BY308"/>
  <c r="BX308"/>
  <c r="BW308"/>
  <c r="BV308"/>
  <c r="BU308"/>
  <c r="BT308"/>
  <c r="BS308"/>
  <c r="BR308"/>
  <c r="BQ308"/>
  <c r="BP308"/>
  <c r="BO308"/>
  <c r="BN308"/>
  <c r="DU307"/>
  <c r="DT307"/>
  <c r="DS307"/>
  <c r="DR307"/>
  <c r="DQ307"/>
  <c r="DP307"/>
  <c r="DO307"/>
  <c r="DN307"/>
  <c r="DM307"/>
  <c r="DL307"/>
  <c r="DK307"/>
  <c r="DJ307"/>
  <c r="DI307"/>
  <c r="DH307"/>
  <c r="DG307"/>
  <c r="DF307"/>
  <c r="DE307"/>
  <c r="DD307"/>
  <c r="DC307"/>
  <c r="DB307"/>
  <c r="DA307"/>
  <c r="CZ307"/>
  <c r="CY307"/>
  <c r="CX307"/>
  <c r="CW307"/>
  <c r="CV307"/>
  <c r="CU307"/>
  <c r="CT307"/>
  <c r="CS307"/>
  <c r="CR307"/>
  <c r="CQ307"/>
  <c r="CP307"/>
  <c r="CO307"/>
  <c r="CN307"/>
  <c r="CM307"/>
  <c r="CL307"/>
  <c r="CK307"/>
  <c r="CJ307"/>
  <c r="CI307"/>
  <c r="CH307"/>
  <c r="CG307"/>
  <c r="CF307"/>
  <c r="CE307"/>
  <c r="CD307"/>
  <c r="CC307"/>
  <c r="CB307"/>
  <c r="CA307"/>
  <c r="BZ307"/>
  <c r="BY307"/>
  <c r="BX307"/>
  <c r="BW307"/>
  <c r="BV307"/>
  <c r="BU307"/>
  <c r="BT307"/>
  <c r="BS307"/>
  <c r="BR307"/>
  <c r="BQ307"/>
  <c r="BP307"/>
  <c r="BO307"/>
  <c r="BN307"/>
  <c r="DU306"/>
  <c r="DT306"/>
  <c r="DS306"/>
  <c r="DR306"/>
  <c r="DQ306"/>
  <c r="DP306"/>
  <c r="DO306"/>
  <c r="DN306"/>
  <c r="DM306"/>
  <c r="DL306"/>
  <c r="DK306"/>
  <c r="DJ306"/>
  <c r="DI306"/>
  <c r="DH306"/>
  <c r="DG306"/>
  <c r="DF306"/>
  <c r="DE306"/>
  <c r="DD306"/>
  <c r="DC306"/>
  <c r="DB306"/>
  <c r="DA306"/>
  <c r="CZ306"/>
  <c r="CY306"/>
  <c r="CX306"/>
  <c r="CW306"/>
  <c r="CV306"/>
  <c r="CU306"/>
  <c r="CT306"/>
  <c r="CS306"/>
  <c r="CR306"/>
  <c r="CQ306"/>
  <c r="CP306"/>
  <c r="CO306"/>
  <c r="CN306"/>
  <c r="CM306"/>
  <c r="CL306"/>
  <c r="CK306"/>
  <c r="CJ306"/>
  <c r="CI306"/>
  <c r="CH306"/>
  <c r="CG306"/>
  <c r="CF306"/>
  <c r="CE306"/>
  <c r="CD306"/>
  <c r="CC306"/>
  <c r="CB306"/>
  <c r="CA306"/>
  <c r="BZ306"/>
  <c r="BY306"/>
  <c r="BX306"/>
  <c r="BW306"/>
  <c r="BV306"/>
  <c r="BU306"/>
  <c r="BT306"/>
  <c r="BS306"/>
  <c r="BR306"/>
  <c r="BQ306"/>
  <c r="BP306"/>
  <c r="BO306"/>
  <c r="BN306"/>
  <c r="DU305"/>
  <c r="DT305"/>
  <c r="DS305"/>
  <c r="DR305"/>
  <c r="DQ305"/>
  <c r="DP305"/>
  <c r="DO305"/>
  <c r="DN305"/>
  <c r="DM305"/>
  <c r="DL305"/>
  <c r="DK305"/>
  <c r="DJ305"/>
  <c r="DI305"/>
  <c r="DH305"/>
  <c r="DG305"/>
  <c r="DF305"/>
  <c r="DE305"/>
  <c r="DD305"/>
  <c r="DC305"/>
  <c r="DB305"/>
  <c r="DA305"/>
  <c r="CZ305"/>
  <c r="CY305"/>
  <c r="CX305"/>
  <c r="CW305"/>
  <c r="CV305"/>
  <c r="CU305"/>
  <c r="CT305"/>
  <c r="CS305"/>
  <c r="CR305"/>
  <c r="CQ305"/>
  <c r="CP305"/>
  <c r="CO305"/>
  <c r="CN305"/>
  <c r="CM305"/>
  <c r="CL305"/>
  <c r="CK305"/>
  <c r="CJ305"/>
  <c r="CI305"/>
  <c r="CH305"/>
  <c r="CG305"/>
  <c r="CF305"/>
  <c r="CE305"/>
  <c r="CD305"/>
  <c r="CC305"/>
  <c r="CB305"/>
  <c r="CA305"/>
  <c r="BZ305"/>
  <c r="BY305"/>
  <c r="BX305"/>
  <c r="BW305"/>
  <c r="BV305"/>
  <c r="BU305"/>
  <c r="BT305"/>
  <c r="BS305"/>
  <c r="BR305"/>
  <c r="BQ305"/>
  <c r="BP305"/>
  <c r="BO305"/>
  <c r="BN305"/>
  <c r="DU304"/>
  <c r="DT304"/>
  <c r="DS304"/>
  <c r="DR304"/>
  <c r="DQ304"/>
  <c r="DP304"/>
  <c r="DO304"/>
  <c r="DN304"/>
  <c r="DM304"/>
  <c r="DL304"/>
  <c r="DK304"/>
  <c r="DJ304"/>
  <c r="DI304"/>
  <c r="DH304"/>
  <c r="DG304"/>
  <c r="DF304"/>
  <c r="DE304"/>
  <c r="DD304"/>
  <c r="DC304"/>
  <c r="DB304"/>
  <c r="DA304"/>
  <c r="CZ304"/>
  <c r="CY304"/>
  <c r="CX304"/>
  <c r="CW304"/>
  <c r="CV304"/>
  <c r="CU304"/>
  <c r="CT304"/>
  <c r="CS304"/>
  <c r="CR304"/>
  <c r="CQ304"/>
  <c r="CP304"/>
  <c r="CO304"/>
  <c r="CN304"/>
  <c r="CM304"/>
  <c r="CL304"/>
  <c r="CK304"/>
  <c r="CJ304"/>
  <c r="CI304"/>
  <c r="CH304"/>
  <c r="CG304"/>
  <c r="CF304"/>
  <c r="CE304"/>
  <c r="CD304"/>
  <c r="CC304"/>
  <c r="CB304"/>
  <c r="CA304"/>
  <c r="BZ304"/>
  <c r="BY304"/>
  <c r="BX304"/>
  <c r="BW304"/>
  <c r="BV304"/>
  <c r="BU304"/>
  <c r="BT304"/>
  <c r="BS304"/>
  <c r="BR304"/>
  <c r="BQ304"/>
  <c r="BP304"/>
  <c r="BO304"/>
  <c r="BN304"/>
  <c r="DU303"/>
  <c r="DT303"/>
  <c r="DS303"/>
  <c r="DR303"/>
  <c r="DQ303"/>
  <c r="DP303"/>
  <c r="DO303"/>
  <c r="DN303"/>
  <c r="DM303"/>
  <c r="DL303"/>
  <c r="DK303"/>
  <c r="DJ303"/>
  <c r="DI303"/>
  <c r="DH303"/>
  <c r="DG303"/>
  <c r="DF303"/>
  <c r="DE303"/>
  <c r="DD303"/>
  <c r="DC303"/>
  <c r="DB303"/>
  <c r="DA303"/>
  <c r="CZ303"/>
  <c r="CY303"/>
  <c r="CX303"/>
  <c r="CW303"/>
  <c r="CV303"/>
  <c r="CU303"/>
  <c r="CT303"/>
  <c r="CS303"/>
  <c r="CR303"/>
  <c r="CQ303"/>
  <c r="CP303"/>
  <c r="CO303"/>
  <c r="CN303"/>
  <c r="CM303"/>
  <c r="CL303"/>
  <c r="CK303"/>
  <c r="CJ303"/>
  <c r="CI303"/>
  <c r="CH303"/>
  <c r="CG303"/>
  <c r="CF303"/>
  <c r="CE303"/>
  <c r="CD303"/>
  <c r="CC303"/>
  <c r="CB303"/>
  <c r="CA303"/>
  <c r="BZ303"/>
  <c r="BY303"/>
  <c r="BX303"/>
  <c r="BW303"/>
  <c r="BV303"/>
  <c r="BU303"/>
  <c r="BT303"/>
  <c r="BS303"/>
  <c r="BR303"/>
  <c r="BQ303"/>
  <c r="BP303"/>
  <c r="BO303"/>
  <c r="BN303"/>
  <c r="DU302"/>
  <c r="DT302"/>
  <c r="DS302"/>
  <c r="DR302"/>
  <c r="DQ302"/>
  <c r="DP302"/>
  <c r="DO302"/>
  <c r="DN302"/>
  <c r="DM302"/>
  <c r="DL302"/>
  <c r="DK302"/>
  <c r="DJ302"/>
  <c r="DI302"/>
  <c r="DH302"/>
  <c r="DG302"/>
  <c r="DF302"/>
  <c r="DE302"/>
  <c r="DD302"/>
  <c r="DC302"/>
  <c r="DB302"/>
  <c r="DA302"/>
  <c r="CZ302"/>
  <c r="CY302"/>
  <c r="CX302"/>
  <c r="CW302"/>
  <c r="CV302"/>
  <c r="CU302"/>
  <c r="CT302"/>
  <c r="CS302"/>
  <c r="CR302"/>
  <c r="CQ302"/>
  <c r="CP302"/>
  <c r="CO302"/>
  <c r="CN302"/>
  <c r="CM302"/>
  <c r="CL302"/>
  <c r="CK302"/>
  <c r="CJ302"/>
  <c r="CI302"/>
  <c r="CH302"/>
  <c r="CG302"/>
  <c r="CF302"/>
  <c r="CE302"/>
  <c r="CD302"/>
  <c r="CC302"/>
  <c r="CB302"/>
  <c r="CA302"/>
  <c r="BZ302"/>
  <c r="BY302"/>
  <c r="BX302"/>
  <c r="BW302"/>
  <c r="BV302"/>
  <c r="BU302"/>
  <c r="BT302"/>
  <c r="BS302"/>
  <c r="BR302"/>
  <c r="BQ302"/>
  <c r="BP302"/>
  <c r="BO302"/>
  <c r="BN302"/>
  <c r="C302"/>
  <c r="DU301"/>
  <c r="DT301"/>
  <c r="DS301"/>
  <c r="DR301"/>
  <c r="DQ301"/>
  <c r="DP301"/>
  <c r="DO301"/>
  <c r="DN301"/>
  <c r="DM301"/>
  <c r="DL301"/>
  <c r="DK301"/>
  <c r="DJ301"/>
  <c r="DI301"/>
  <c r="DH301"/>
  <c r="DG301"/>
  <c r="DF301"/>
  <c r="DE301"/>
  <c r="DD301"/>
  <c r="DC301"/>
  <c r="DB301"/>
  <c r="DA301"/>
  <c r="CZ301"/>
  <c r="CY301"/>
  <c r="CX301"/>
  <c r="CW301"/>
  <c r="CV301"/>
  <c r="CU301"/>
  <c r="CT301"/>
  <c r="CS301"/>
  <c r="CR301"/>
  <c r="CQ301"/>
  <c r="CP301"/>
  <c r="CO301"/>
  <c r="CN301"/>
  <c r="CM301"/>
  <c r="CL301"/>
  <c r="CK301"/>
  <c r="CJ301"/>
  <c r="CI301"/>
  <c r="CH301"/>
  <c r="CG301"/>
  <c r="CF301"/>
  <c r="CE301"/>
  <c r="CD301"/>
  <c r="CC301"/>
  <c r="CB301"/>
  <c r="CA301"/>
  <c r="BZ301"/>
  <c r="BY301"/>
  <c r="BX301"/>
  <c r="BW301"/>
  <c r="BV301"/>
  <c r="BU301"/>
  <c r="BT301"/>
  <c r="BS301"/>
  <c r="BR301"/>
  <c r="BQ301"/>
  <c r="BP301"/>
  <c r="BO301"/>
  <c r="BN301"/>
  <c r="DU300"/>
  <c r="DT300"/>
  <c r="DS300"/>
  <c r="DR300"/>
  <c r="DQ300"/>
  <c r="DP300"/>
  <c r="DO300"/>
  <c r="DN300"/>
  <c r="DM300"/>
  <c r="DL300"/>
  <c r="DK300"/>
  <c r="DJ300"/>
  <c r="DI300"/>
  <c r="DH300"/>
  <c r="DG300"/>
  <c r="DF300"/>
  <c r="DE300"/>
  <c r="DD300"/>
  <c r="DC300"/>
  <c r="DB300"/>
  <c r="DA300"/>
  <c r="CZ300"/>
  <c r="CY300"/>
  <c r="CX300"/>
  <c r="CW300"/>
  <c r="CV300"/>
  <c r="CU300"/>
  <c r="CT300"/>
  <c r="CS300"/>
  <c r="CR300"/>
  <c r="CQ300"/>
  <c r="CP300"/>
  <c r="CO300"/>
  <c r="CN300"/>
  <c r="CM300"/>
  <c r="CL300"/>
  <c r="CK300"/>
  <c r="CJ300"/>
  <c r="CI300"/>
  <c r="CH300"/>
  <c r="CG300"/>
  <c r="CF300"/>
  <c r="CE300"/>
  <c r="CD300"/>
  <c r="CC300"/>
  <c r="CB300"/>
  <c r="CA300"/>
  <c r="BZ300"/>
  <c r="BY300"/>
  <c r="BX300"/>
  <c r="BW300"/>
  <c r="BV300"/>
  <c r="BU300"/>
  <c r="BT300"/>
  <c r="BS300"/>
  <c r="BR300"/>
  <c r="BQ300"/>
  <c r="BP300"/>
  <c r="BO300"/>
  <c r="BN300"/>
  <c r="DU299"/>
  <c r="DT299"/>
  <c r="DS299"/>
  <c r="DR299"/>
  <c r="DQ299"/>
  <c r="DP299"/>
  <c r="DO299"/>
  <c r="DN299"/>
  <c r="DM299"/>
  <c r="DL299"/>
  <c r="DK299"/>
  <c r="DJ299"/>
  <c r="DI299"/>
  <c r="DH299"/>
  <c r="DG299"/>
  <c r="DF299"/>
  <c r="DE299"/>
  <c r="DD299"/>
  <c r="DC299"/>
  <c r="DB299"/>
  <c r="DA299"/>
  <c r="CZ299"/>
  <c r="CY299"/>
  <c r="CX299"/>
  <c r="CW299"/>
  <c r="CV299"/>
  <c r="CU299"/>
  <c r="CT299"/>
  <c r="CS299"/>
  <c r="CR299"/>
  <c r="CQ299"/>
  <c r="CP299"/>
  <c r="CO299"/>
  <c r="CN299"/>
  <c r="CM299"/>
  <c r="CL299"/>
  <c r="CK299"/>
  <c r="CJ299"/>
  <c r="CI299"/>
  <c r="CH299"/>
  <c r="CG299"/>
  <c r="CF299"/>
  <c r="CE299"/>
  <c r="CD299"/>
  <c r="CC299"/>
  <c r="CB299"/>
  <c r="CA299"/>
  <c r="BZ299"/>
  <c r="BY299"/>
  <c r="BX299"/>
  <c r="BW299"/>
  <c r="BV299"/>
  <c r="BU299"/>
  <c r="BT299"/>
  <c r="BS299"/>
  <c r="BR299"/>
  <c r="BQ299"/>
  <c r="BP299"/>
  <c r="BO299"/>
  <c r="BN299"/>
  <c r="DU298"/>
  <c r="DT298"/>
  <c r="DS298"/>
  <c r="DR298"/>
  <c r="DQ298"/>
  <c r="DP298"/>
  <c r="DO298"/>
  <c r="DN298"/>
  <c r="DM298"/>
  <c r="DL298"/>
  <c r="DK298"/>
  <c r="DJ298"/>
  <c r="DI298"/>
  <c r="DH298"/>
  <c r="DG298"/>
  <c r="DF298"/>
  <c r="DE298"/>
  <c r="DD298"/>
  <c r="DC298"/>
  <c r="DB298"/>
  <c r="DA298"/>
  <c r="CZ298"/>
  <c r="CY298"/>
  <c r="CX298"/>
  <c r="CW298"/>
  <c r="CV298"/>
  <c r="CU298"/>
  <c r="CT298"/>
  <c r="CS298"/>
  <c r="CR298"/>
  <c r="CQ298"/>
  <c r="CP298"/>
  <c r="CO298"/>
  <c r="CN298"/>
  <c r="CM298"/>
  <c r="CL298"/>
  <c r="CK298"/>
  <c r="CJ298"/>
  <c r="CI298"/>
  <c r="CH298"/>
  <c r="CG298"/>
  <c r="CF298"/>
  <c r="CE298"/>
  <c r="CD298"/>
  <c r="CC298"/>
  <c r="CB298"/>
  <c r="CA298"/>
  <c r="BZ298"/>
  <c r="BY298"/>
  <c r="BX298"/>
  <c r="BW298"/>
  <c r="BV298"/>
  <c r="BU298"/>
  <c r="BT298"/>
  <c r="BS298"/>
  <c r="BR298"/>
  <c r="BQ298"/>
  <c r="BP298"/>
  <c r="BO298"/>
  <c r="BN298"/>
  <c r="DU297"/>
  <c r="DT297"/>
  <c r="DS297"/>
  <c r="DR297"/>
  <c r="DQ297"/>
  <c r="DP297"/>
  <c r="DO297"/>
  <c r="DN297"/>
  <c r="DM297"/>
  <c r="DL297"/>
  <c r="DK297"/>
  <c r="DJ297"/>
  <c r="DI297"/>
  <c r="DH297"/>
  <c r="DG297"/>
  <c r="DF297"/>
  <c r="DE297"/>
  <c r="DD297"/>
  <c r="DC297"/>
  <c r="DB297"/>
  <c r="DA297"/>
  <c r="CZ297"/>
  <c r="CY297"/>
  <c r="CX297"/>
  <c r="CW297"/>
  <c r="CV297"/>
  <c r="CU297"/>
  <c r="CT297"/>
  <c r="CS297"/>
  <c r="CR297"/>
  <c r="CQ297"/>
  <c r="CP297"/>
  <c r="CO297"/>
  <c r="CN297"/>
  <c r="CM297"/>
  <c r="CL297"/>
  <c r="CK297"/>
  <c r="CJ297"/>
  <c r="CI297"/>
  <c r="CH297"/>
  <c r="CG297"/>
  <c r="CF297"/>
  <c r="CE297"/>
  <c r="CD297"/>
  <c r="CC297"/>
  <c r="CB297"/>
  <c r="CA297"/>
  <c r="BZ297"/>
  <c r="BY297"/>
  <c r="BX297"/>
  <c r="BW297"/>
  <c r="BV297"/>
  <c r="BU297"/>
  <c r="BT297"/>
  <c r="BS297"/>
  <c r="BR297"/>
  <c r="BQ297"/>
  <c r="BP297"/>
  <c r="BO297"/>
  <c r="BN297"/>
  <c r="DU296"/>
  <c r="DT296"/>
  <c r="DS296"/>
  <c r="DR296"/>
  <c r="DQ296"/>
  <c r="DP296"/>
  <c r="DO296"/>
  <c r="DN296"/>
  <c r="DM296"/>
  <c r="DL296"/>
  <c r="DK296"/>
  <c r="DJ296"/>
  <c r="DI296"/>
  <c r="DH296"/>
  <c r="DG296"/>
  <c r="DF296"/>
  <c r="DE296"/>
  <c r="DD296"/>
  <c r="DC296"/>
  <c r="DB296"/>
  <c r="DA296"/>
  <c r="CZ296"/>
  <c r="CY296"/>
  <c r="CX296"/>
  <c r="CW296"/>
  <c r="CV296"/>
  <c r="CU296"/>
  <c r="CT296"/>
  <c r="CS296"/>
  <c r="CR296"/>
  <c r="CQ296"/>
  <c r="CP296"/>
  <c r="CO296"/>
  <c r="CN296"/>
  <c r="CM296"/>
  <c r="CL296"/>
  <c r="CK296"/>
  <c r="CJ296"/>
  <c r="CI296"/>
  <c r="CH296"/>
  <c r="CG296"/>
  <c r="CF296"/>
  <c r="CE296"/>
  <c r="CD296"/>
  <c r="CC296"/>
  <c r="CB296"/>
  <c r="CA296"/>
  <c r="BZ296"/>
  <c r="BY296"/>
  <c r="BX296"/>
  <c r="BW296"/>
  <c r="BV296"/>
  <c r="BU296"/>
  <c r="BT296"/>
  <c r="BS296"/>
  <c r="BR296"/>
  <c r="BQ296"/>
  <c r="BP296"/>
  <c r="BO296"/>
  <c r="BN296"/>
  <c r="DU295"/>
  <c r="DT295"/>
  <c r="DS295"/>
  <c r="DR295"/>
  <c r="DQ295"/>
  <c r="DP295"/>
  <c r="DO295"/>
  <c r="DN295"/>
  <c r="DM295"/>
  <c r="DL295"/>
  <c r="DK295"/>
  <c r="DJ295"/>
  <c r="DI295"/>
  <c r="DH295"/>
  <c r="DG295"/>
  <c r="DF295"/>
  <c r="DE295"/>
  <c r="DD295"/>
  <c r="DC295"/>
  <c r="DB295"/>
  <c r="DA295"/>
  <c r="CZ295"/>
  <c r="CY295"/>
  <c r="CX295"/>
  <c r="CW295"/>
  <c r="CV295"/>
  <c r="CU295"/>
  <c r="CT295"/>
  <c r="CS295"/>
  <c r="CR295"/>
  <c r="CQ295"/>
  <c r="CP295"/>
  <c r="CO295"/>
  <c r="CN295"/>
  <c r="CM295"/>
  <c r="CL295"/>
  <c r="CK295"/>
  <c r="CJ295"/>
  <c r="CI295"/>
  <c r="CH295"/>
  <c r="CG295"/>
  <c r="CF295"/>
  <c r="CE295"/>
  <c r="CD295"/>
  <c r="CC295"/>
  <c r="CB295"/>
  <c r="CA295"/>
  <c r="BZ295"/>
  <c r="BY295"/>
  <c r="BX295"/>
  <c r="BW295"/>
  <c r="BV295"/>
  <c r="BU295"/>
  <c r="BT295"/>
  <c r="BS295"/>
  <c r="BR295"/>
  <c r="BQ295"/>
  <c r="BP295"/>
  <c r="BO295"/>
  <c r="BN295"/>
  <c r="DU294"/>
  <c r="DT294"/>
  <c r="DS294"/>
  <c r="DR294"/>
  <c r="DQ294"/>
  <c r="DP294"/>
  <c r="DO294"/>
  <c r="DN294"/>
  <c r="DM294"/>
  <c r="DL294"/>
  <c r="DK294"/>
  <c r="DJ294"/>
  <c r="DI294"/>
  <c r="DH294"/>
  <c r="DG294"/>
  <c r="DF294"/>
  <c r="DE294"/>
  <c r="DD294"/>
  <c r="DC294"/>
  <c r="DB294"/>
  <c r="DA294"/>
  <c r="CZ294"/>
  <c r="CY294"/>
  <c r="CX294"/>
  <c r="CW294"/>
  <c r="CV294"/>
  <c r="CU294"/>
  <c r="CT294"/>
  <c r="CS294"/>
  <c r="CR294"/>
  <c r="CQ294"/>
  <c r="CP294"/>
  <c r="CO294"/>
  <c r="CN294"/>
  <c r="CM294"/>
  <c r="CL294"/>
  <c r="CK294"/>
  <c r="CJ294"/>
  <c r="CI294"/>
  <c r="CH294"/>
  <c r="CG294"/>
  <c r="CF294"/>
  <c r="CE294"/>
  <c r="CD294"/>
  <c r="CC294"/>
  <c r="CB294"/>
  <c r="CA294"/>
  <c r="BZ294"/>
  <c r="BY294"/>
  <c r="BX294"/>
  <c r="BW294"/>
  <c r="BV294"/>
  <c r="BU294"/>
  <c r="BT294"/>
  <c r="BS294"/>
  <c r="BR294"/>
  <c r="BQ294"/>
  <c r="BP294"/>
  <c r="BO294"/>
  <c r="BN294"/>
  <c r="DU293"/>
  <c r="DT293"/>
  <c r="DS293"/>
  <c r="DR293"/>
  <c r="DQ293"/>
  <c r="DP293"/>
  <c r="DO293"/>
  <c r="DN293"/>
  <c r="DM293"/>
  <c r="DL293"/>
  <c r="DK293"/>
  <c r="DJ293"/>
  <c r="DI293"/>
  <c r="DH293"/>
  <c r="DG293"/>
  <c r="DF293"/>
  <c r="DE293"/>
  <c r="DD293"/>
  <c r="DC293"/>
  <c r="DB293"/>
  <c r="DA293"/>
  <c r="CZ293"/>
  <c r="CY293"/>
  <c r="CX293"/>
  <c r="CW293"/>
  <c r="CV293"/>
  <c r="CU293"/>
  <c r="CT293"/>
  <c r="CS293"/>
  <c r="CR293"/>
  <c r="CQ293"/>
  <c r="CP293"/>
  <c r="CO293"/>
  <c r="CN293"/>
  <c r="CM293"/>
  <c r="CL293"/>
  <c r="CK293"/>
  <c r="CJ293"/>
  <c r="CI293"/>
  <c r="CH293"/>
  <c r="CG293"/>
  <c r="CF293"/>
  <c r="CE293"/>
  <c r="CD293"/>
  <c r="CC293"/>
  <c r="CB293"/>
  <c r="CA293"/>
  <c r="BZ293"/>
  <c r="BY293"/>
  <c r="BX293"/>
  <c r="BW293"/>
  <c r="BV293"/>
  <c r="BU293"/>
  <c r="BT293"/>
  <c r="BS293"/>
  <c r="BR293"/>
  <c r="BQ293"/>
  <c r="BP293"/>
  <c r="BO293"/>
  <c r="BN293"/>
  <c r="DU292"/>
  <c r="DT292"/>
  <c r="DS292"/>
  <c r="DR292"/>
  <c r="DQ292"/>
  <c r="DP292"/>
  <c r="DO292"/>
  <c r="DN292"/>
  <c r="DM292"/>
  <c r="DL292"/>
  <c r="DK292"/>
  <c r="DJ292"/>
  <c r="DI292"/>
  <c r="DH292"/>
  <c r="DG292"/>
  <c r="DF292"/>
  <c r="DE292"/>
  <c r="DD292"/>
  <c r="DC292"/>
  <c r="DB292"/>
  <c r="DA292"/>
  <c r="CZ292"/>
  <c r="CY292"/>
  <c r="CX292"/>
  <c r="CW292"/>
  <c r="CV292"/>
  <c r="CU292"/>
  <c r="CT292"/>
  <c r="CS292"/>
  <c r="CR292"/>
  <c r="CQ292"/>
  <c r="CP292"/>
  <c r="CO292"/>
  <c r="CN292"/>
  <c r="CM292"/>
  <c r="CL292"/>
  <c r="CK292"/>
  <c r="CJ292"/>
  <c r="CI292"/>
  <c r="CH292"/>
  <c r="CG292"/>
  <c r="CF292"/>
  <c r="CE292"/>
  <c r="CD292"/>
  <c r="CC292"/>
  <c r="CB292"/>
  <c r="CA292"/>
  <c r="BZ292"/>
  <c r="BY292"/>
  <c r="BX292"/>
  <c r="BW292"/>
  <c r="BV292"/>
  <c r="BU292"/>
  <c r="BT292"/>
  <c r="BS292"/>
  <c r="BR292"/>
  <c r="BQ292"/>
  <c r="BP292"/>
  <c r="BO292"/>
  <c r="BN292"/>
  <c r="DU291"/>
  <c r="DT291"/>
  <c r="DS291"/>
  <c r="DR291"/>
  <c r="DQ291"/>
  <c r="DP291"/>
  <c r="DO291"/>
  <c r="DN291"/>
  <c r="DM291"/>
  <c r="DL291"/>
  <c r="DK291"/>
  <c r="DJ291"/>
  <c r="DI291"/>
  <c r="DH291"/>
  <c r="DG291"/>
  <c r="DF291"/>
  <c r="DE291"/>
  <c r="DD291"/>
  <c r="DC291"/>
  <c r="DB291"/>
  <c r="DA291"/>
  <c r="CZ291"/>
  <c r="CY291"/>
  <c r="CX291"/>
  <c r="CW291"/>
  <c r="CV291"/>
  <c r="CU291"/>
  <c r="CT291"/>
  <c r="CS291"/>
  <c r="CR291"/>
  <c r="CQ291"/>
  <c r="CP291"/>
  <c r="CO291"/>
  <c r="CN291"/>
  <c r="CM291"/>
  <c r="CL291"/>
  <c r="CK291"/>
  <c r="CJ291"/>
  <c r="CI291"/>
  <c r="CH291"/>
  <c r="CG291"/>
  <c r="CF291"/>
  <c r="CE291"/>
  <c r="CD291"/>
  <c r="CC291"/>
  <c r="CB291"/>
  <c r="CA291"/>
  <c r="BZ291"/>
  <c r="BY291"/>
  <c r="BX291"/>
  <c r="BW291"/>
  <c r="BV291"/>
  <c r="BU291"/>
  <c r="BT291"/>
  <c r="BS291"/>
  <c r="BR291"/>
  <c r="BQ291"/>
  <c r="BP291"/>
  <c r="BO291"/>
  <c r="BN291"/>
  <c r="DU290"/>
  <c r="DT290"/>
  <c r="DS290"/>
  <c r="DR290"/>
  <c r="DQ290"/>
  <c r="DP290"/>
  <c r="DO290"/>
  <c r="DN290"/>
  <c r="DM290"/>
  <c r="DL290"/>
  <c r="DK290"/>
  <c r="DJ290"/>
  <c r="DI290"/>
  <c r="DH290"/>
  <c r="DG290"/>
  <c r="DF290"/>
  <c r="DE290"/>
  <c r="DD290"/>
  <c r="DC290"/>
  <c r="DB290"/>
  <c r="DA290"/>
  <c r="CZ290"/>
  <c r="CY290"/>
  <c r="CX290"/>
  <c r="CW290"/>
  <c r="CV290"/>
  <c r="CU290"/>
  <c r="CT290"/>
  <c r="CS290"/>
  <c r="CR290"/>
  <c r="CQ290"/>
  <c r="CP290"/>
  <c r="CO290"/>
  <c r="CN290"/>
  <c r="CM290"/>
  <c r="CL290"/>
  <c r="CK290"/>
  <c r="CJ290"/>
  <c r="CI290"/>
  <c r="CH290"/>
  <c r="CG290"/>
  <c r="CF290"/>
  <c r="CE290"/>
  <c r="CD290"/>
  <c r="CC290"/>
  <c r="CB290"/>
  <c r="CA290"/>
  <c r="BZ290"/>
  <c r="BY290"/>
  <c r="BX290"/>
  <c r="BW290"/>
  <c r="BV290"/>
  <c r="BU290"/>
  <c r="BT290"/>
  <c r="BS290"/>
  <c r="BR290"/>
  <c r="BQ290"/>
  <c r="BP290"/>
  <c r="BO290"/>
  <c r="BN290"/>
  <c r="DU289"/>
  <c r="DT289"/>
  <c r="DS289"/>
  <c r="DR289"/>
  <c r="DQ289"/>
  <c r="DP289"/>
  <c r="DO289"/>
  <c r="DN289"/>
  <c r="DM289"/>
  <c r="DL289"/>
  <c r="DK289"/>
  <c r="DJ289"/>
  <c r="DI289"/>
  <c r="DH289"/>
  <c r="DG289"/>
  <c r="DF289"/>
  <c r="DE289"/>
  <c r="DD289"/>
  <c r="DC289"/>
  <c r="DB289"/>
  <c r="DA289"/>
  <c r="CZ289"/>
  <c r="CY289"/>
  <c r="CX289"/>
  <c r="CW289"/>
  <c r="CV289"/>
  <c r="CU289"/>
  <c r="CT289"/>
  <c r="CS289"/>
  <c r="CR289"/>
  <c r="CQ289"/>
  <c r="CP289"/>
  <c r="CO289"/>
  <c r="CN289"/>
  <c r="CM289"/>
  <c r="CL289"/>
  <c r="CK289"/>
  <c r="CJ289"/>
  <c r="CI289"/>
  <c r="CH289"/>
  <c r="CG289"/>
  <c r="CF289"/>
  <c r="CE289"/>
  <c r="CD289"/>
  <c r="CC289"/>
  <c r="CB289"/>
  <c r="CA289"/>
  <c r="BZ289"/>
  <c r="BY289"/>
  <c r="BX289"/>
  <c r="BW289"/>
  <c r="BV289"/>
  <c r="BU289"/>
  <c r="BT289"/>
  <c r="BS289"/>
  <c r="BR289"/>
  <c r="BQ289"/>
  <c r="BP289"/>
  <c r="BO289"/>
  <c r="BN289"/>
  <c r="DU288"/>
  <c r="DT288"/>
  <c r="DS288"/>
  <c r="DR288"/>
  <c r="DQ288"/>
  <c r="DP288"/>
  <c r="DO288"/>
  <c r="DN288"/>
  <c r="DM288"/>
  <c r="DL288"/>
  <c r="DK288"/>
  <c r="DJ288"/>
  <c r="DI288"/>
  <c r="DH288"/>
  <c r="DG288"/>
  <c r="DF288"/>
  <c r="DE288"/>
  <c r="DD288"/>
  <c r="DC288"/>
  <c r="DB288"/>
  <c r="DA288"/>
  <c r="CZ288"/>
  <c r="CY288"/>
  <c r="CX288"/>
  <c r="CW288"/>
  <c r="CV288"/>
  <c r="CU288"/>
  <c r="CT288"/>
  <c r="CS288"/>
  <c r="CR288"/>
  <c r="CQ288"/>
  <c r="CP288"/>
  <c r="CO288"/>
  <c r="CN288"/>
  <c r="CM288"/>
  <c r="CL288"/>
  <c r="CK288"/>
  <c r="CJ288"/>
  <c r="CI288"/>
  <c r="CH288"/>
  <c r="CG288"/>
  <c r="CF288"/>
  <c r="CE288"/>
  <c r="CD288"/>
  <c r="CC288"/>
  <c r="CB288"/>
  <c r="CA288"/>
  <c r="BZ288"/>
  <c r="BY288"/>
  <c r="BX288"/>
  <c r="BW288"/>
  <c r="BV288"/>
  <c r="BU288"/>
  <c r="BT288"/>
  <c r="BS288"/>
  <c r="BR288"/>
  <c r="BQ288"/>
  <c r="BP288"/>
  <c r="BO288"/>
  <c r="BN288"/>
  <c r="DU287"/>
  <c r="DT287"/>
  <c r="DS287"/>
  <c r="DR287"/>
  <c r="DQ287"/>
  <c r="DP287"/>
  <c r="DO287"/>
  <c r="DN287"/>
  <c r="DM287"/>
  <c r="DL287"/>
  <c r="DK287"/>
  <c r="DJ287"/>
  <c r="DI287"/>
  <c r="DH287"/>
  <c r="DG287"/>
  <c r="DF287"/>
  <c r="DE287"/>
  <c r="DD287"/>
  <c r="DC287"/>
  <c r="DB287"/>
  <c r="DA287"/>
  <c r="CZ287"/>
  <c r="CY287"/>
  <c r="CX287"/>
  <c r="CW287"/>
  <c r="CV287"/>
  <c r="CU287"/>
  <c r="CT287"/>
  <c r="CS287"/>
  <c r="CR287"/>
  <c r="CQ287"/>
  <c r="CP287"/>
  <c r="CO287"/>
  <c r="CN287"/>
  <c r="CM287"/>
  <c r="CL287"/>
  <c r="CK287"/>
  <c r="CJ287"/>
  <c r="CI287"/>
  <c r="CH287"/>
  <c r="CG287"/>
  <c r="CF287"/>
  <c r="CE287"/>
  <c r="CD287"/>
  <c r="CC287"/>
  <c r="CB287"/>
  <c r="CA287"/>
  <c r="BZ287"/>
  <c r="BY287"/>
  <c r="BX287"/>
  <c r="BW287"/>
  <c r="BV287"/>
  <c r="BU287"/>
  <c r="BT287"/>
  <c r="BS287"/>
  <c r="BR287"/>
  <c r="BQ287"/>
  <c r="BP287"/>
  <c r="BO287"/>
  <c r="BN287"/>
  <c r="DU286"/>
  <c r="DT286"/>
  <c r="DS286"/>
  <c r="DR286"/>
  <c r="DQ286"/>
  <c r="DP286"/>
  <c r="DO286"/>
  <c r="DN286"/>
  <c r="DM286"/>
  <c r="DL286"/>
  <c r="DK286"/>
  <c r="DJ286"/>
  <c r="DI286"/>
  <c r="DH286"/>
  <c r="DG286"/>
  <c r="DF286"/>
  <c r="DE286"/>
  <c r="DD286"/>
  <c r="DC286"/>
  <c r="DB286"/>
  <c r="DA286"/>
  <c r="CZ286"/>
  <c r="CY286"/>
  <c r="CX286"/>
  <c r="CW286"/>
  <c r="CV286"/>
  <c r="CU286"/>
  <c r="CT286"/>
  <c r="CS286"/>
  <c r="CR286"/>
  <c r="CQ286"/>
  <c r="CP286"/>
  <c r="CO286"/>
  <c r="CN286"/>
  <c r="CM286"/>
  <c r="CL286"/>
  <c r="CK286"/>
  <c r="CJ286"/>
  <c r="CI286"/>
  <c r="CH286"/>
  <c r="CG286"/>
  <c r="CF286"/>
  <c r="CE286"/>
  <c r="CD286"/>
  <c r="CC286"/>
  <c r="CB286"/>
  <c r="CA286"/>
  <c r="BZ286"/>
  <c r="BY286"/>
  <c r="BX286"/>
  <c r="BW286"/>
  <c r="BV286"/>
  <c r="BU286"/>
  <c r="BT286"/>
  <c r="BS286"/>
  <c r="BR286"/>
  <c r="BQ286"/>
  <c r="BP286"/>
  <c r="BO286"/>
  <c r="BN286"/>
  <c r="DU285"/>
  <c r="DT285"/>
  <c r="DS285"/>
  <c r="DR285"/>
  <c r="DQ285"/>
  <c r="DP285"/>
  <c r="DO285"/>
  <c r="DN285"/>
  <c r="DM285"/>
  <c r="DL285"/>
  <c r="DK285"/>
  <c r="DJ285"/>
  <c r="DI285"/>
  <c r="DH285"/>
  <c r="DG285"/>
  <c r="DF285"/>
  <c r="DE285"/>
  <c r="DD285"/>
  <c r="DC285"/>
  <c r="DB285"/>
  <c r="DA285"/>
  <c r="CZ285"/>
  <c r="CY285"/>
  <c r="CX285"/>
  <c r="CW285"/>
  <c r="CV285"/>
  <c r="CU285"/>
  <c r="CT285"/>
  <c r="CS285"/>
  <c r="CR285"/>
  <c r="CQ285"/>
  <c r="CP285"/>
  <c r="CO285"/>
  <c r="CN285"/>
  <c r="CM285"/>
  <c r="CL285"/>
  <c r="CK285"/>
  <c r="CJ285"/>
  <c r="CI285"/>
  <c r="CH285"/>
  <c r="CG285"/>
  <c r="CF285"/>
  <c r="CE285"/>
  <c r="CD285"/>
  <c r="CC285"/>
  <c r="CB285"/>
  <c r="CA285"/>
  <c r="BZ285"/>
  <c r="BY285"/>
  <c r="BX285"/>
  <c r="BW285"/>
  <c r="BV285"/>
  <c r="BU285"/>
  <c r="BT285"/>
  <c r="BS285"/>
  <c r="BR285"/>
  <c r="BQ285"/>
  <c r="BP285"/>
  <c r="BO285"/>
  <c r="BN285"/>
  <c r="DU284"/>
  <c r="DT284"/>
  <c r="DS284"/>
  <c r="DR284"/>
  <c r="DQ284"/>
  <c r="DP284"/>
  <c r="DO284"/>
  <c r="DN284"/>
  <c r="DM284"/>
  <c r="DL284"/>
  <c r="DK284"/>
  <c r="DJ284"/>
  <c r="DI284"/>
  <c r="DH284"/>
  <c r="DG284"/>
  <c r="DF284"/>
  <c r="DE284"/>
  <c r="DD284"/>
  <c r="DC284"/>
  <c r="DB284"/>
  <c r="DA284"/>
  <c r="CZ284"/>
  <c r="CY284"/>
  <c r="CX284"/>
  <c r="CW284"/>
  <c r="CV284"/>
  <c r="CU284"/>
  <c r="CT284"/>
  <c r="CS284"/>
  <c r="CR284"/>
  <c r="CQ284"/>
  <c r="CP284"/>
  <c r="CO284"/>
  <c r="CN284"/>
  <c r="CM284"/>
  <c r="CL284"/>
  <c r="CK284"/>
  <c r="CJ284"/>
  <c r="CI284"/>
  <c r="CH284"/>
  <c r="CG284"/>
  <c r="CF284"/>
  <c r="CE284"/>
  <c r="CD284"/>
  <c r="CC284"/>
  <c r="CB284"/>
  <c r="CA284"/>
  <c r="BZ284"/>
  <c r="BY284"/>
  <c r="BX284"/>
  <c r="BW284"/>
  <c r="BV284"/>
  <c r="BU284"/>
  <c r="BT284"/>
  <c r="BS284"/>
  <c r="BR284"/>
  <c r="BQ284"/>
  <c r="BP284"/>
  <c r="BO284"/>
  <c r="BN284"/>
  <c r="DU283"/>
  <c r="DT283"/>
  <c r="DS283"/>
  <c r="DR283"/>
  <c r="DQ283"/>
  <c r="DP283"/>
  <c r="DO283"/>
  <c r="DN283"/>
  <c r="DM283"/>
  <c r="DL283"/>
  <c r="DK283"/>
  <c r="DJ283"/>
  <c r="DI283"/>
  <c r="DH283"/>
  <c r="DG283"/>
  <c r="DF283"/>
  <c r="DE283"/>
  <c r="DD283"/>
  <c r="DC283"/>
  <c r="DB283"/>
  <c r="DA283"/>
  <c r="CZ283"/>
  <c r="CY283"/>
  <c r="CX283"/>
  <c r="CW283"/>
  <c r="CV283"/>
  <c r="CU283"/>
  <c r="CT283"/>
  <c r="CS283"/>
  <c r="CR283"/>
  <c r="CQ283"/>
  <c r="CP283"/>
  <c r="CO283"/>
  <c r="CN283"/>
  <c r="CM283"/>
  <c r="CL283"/>
  <c r="CK283"/>
  <c r="CJ283"/>
  <c r="CI283"/>
  <c r="CH283"/>
  <c r="CG283"/>
  <c r="CF283"/>
  <c r="CE283"/>
  <c r="CD283"/>
  <c r="CC283"/>
  <c r="CB283"/>
  <c r="CA283"/>
  <c r="BZ283"/>
  <c r="BY283"/>
  <c r="BX283"/>
  <c r="BW283"/>
  <c r="BV283"/>
  <c r="BU283"/>
  <c r="BT283"/>
  <c r="BS283"/>
  <c r="BR283"/>
  <c r="BQ283"/>
  <c r="BP283"/>
  <c r="BO283"/>
  <c r="BN283"/>
  <c r="DU282"/>
  <c r="DT282"/>
  <c r="DS282"/>
  <c r="DR282"/>
  <c r="DQ282"/>
  <c r="DP282"/>
  <c r="DO282"/>
  <c r="DN282"/>
  <c r="DM282"/>
  <c r="DL282"/>
  <c r="DK282"/>
  <c r="DJ282"/>
  <c r="DI282"/>
  <c r="DH282"/>
  <c r="DG282"/>
  <c r="DF282"/>
  <c r="DE282"/>
  <c r="DD282"/>
  <c r="DC282"/>
  <c r="DB282"/>
  <c r="DA282"/>
  <c r="CZ282"/>
  <c r="CY282"/>
  <c r="CX282"/>
  <c r="CW282"/>
  <c r="CV282"/>
  <c r="CU282"/>
  <c r="CT282"/>
  <c r="CS282"/>
  <c r="CR282"/>
  <c r="CQ282"/>
  <c r="CP282"/>
  <c r="CO282"/>
  <c r="CN282"/>
  <c r="CM282"/>
  <c r="CL282"/>
  <c r="CK282"/>
  <c r="CJ282"/>
  <c r="CI282"/>
  <c r="CH282"/>
  <c r="CG282"/>
  <c r="CF282"/>
  <c r="CE282"/>
  <c r="CD282"/>
  <c r="CC282"/>
  <c r="CB282"/>
  <c r="CA282"/>
  <c r="BZ282"/>
  <c r="BY282"/>
  <c r="BX282"/>
  <c r="BW282"/>
  <c r="BV282"/>
  <c r="BU282"/>
  <c r="BT282"/>
  <c r="BS282"/>
  <c r="BR282"/>
  <c r="BQ282"/>
  <c r="BP282"/>
  <c r="BO282"/>
  <c r="BN282"/>
  <c r="DU281"/>
  <c r="DT281"/>
  <c r="DS281"/>
  <c r="DR281"/>
  <c r="DQ281"/>
  <c r="DP281"/>
  <c r="DO281"/>
  <c r="DN281"/>
  <c r="DM281"/>
  <c r="DL281"/>
  <c r="DK281"/>
  <c r="DJ281"/>
  <c r="DI281"/>
  <c r="DH281"/>
  <c r="DG281"/>
  <c r="DF281"/>
  <c r="DE281"/>
  <c r="DD281"/>
  <c r="DC281"/>
  <c r="DB281"/>
  <c r="DA281"/>
  <c r="CZ281"/>
  <c r="CY281"/>
  <c r="CX281"/>
  <c r="CW281"/>
  <c r="CV281"/>
  <c r="CU281"/>
  <c r="CT281"/>
  <c r="CS281"/>
  <c r="CR281"/>
  <c r="CQ281"/>
  <c r="CP281"/>
  <c r="CO281"/>
  <c r="CN281"/>
  <c r="CM281"/>
  <c r="CL281"/>
  <c r="CK281"/>
  <c r="CJ281"/>
  <c r="CI281"/>
  <c r="CH281"/>
  <c r="CG281"/>
  <c r="CF281"/>
  <c r="CE281"/>
  <c r="CD281"/>
  <c r="CC281"/>
  <c r="CB281"/>
  <c r="CA281"/>
  <c r="BZ281"/>
  <c r="BY281"/>
  <c r="BX281"/>
  <c r="BW281"/>
  <c r="BV281"/>
  <c r="BU281"/>
  <c r="BT281"/>
  <c r="BS281"/>
  <c r="BR281"/>
  <c r="BQ281"/>
  <c r="BP281"/>
  <c r="BO281"/>
  <c r="BN281"/>
  <c r="E281"/>
  <c r="DU280"/>
  <c r="DT280"/>
  <c r="DS280"/>
  <c r="DR280"/>
  <c r="DQ280"/>
  <c r="DP280"/>
  <c r="DO280"/>
  <c r="DN280"/>
  <c r="DM280"/>
  <c r="DL280"/>
  <c r="DK280"/>
  <c r="DJ280"/>
  <c r="DI280"/>
  <c r="DH280"/>
  <c r="DG280"/>
  <c r="DF280"/>
  <c r="DE280"/>
  <c r="DD280"/>
  <c r="DC280"/>
  <c r="DB280"/>
  <c r="DA280"/>
  <c r="CZ280"/>
  <c r="CY280"/>
  <c r="CX280"/>
  <c r="CW280"/>
  <c r="CV280"/>
  <c r="CU280"/>
  <c r="CT280"/>
  <c r="CS280"/>
  <c r="CR280"/>
  <c r="CQ280"/>
  <c r="CP280"/>
  <c r="CO280"/>
  <c r="CN280"/>
  <c r="CM280"/>
  <c r="CL280"/>
  <c r="CK280"/>
  <c r="CJ280"/>
  <c r="CI280"/>
  <c r="CH280"/>
  <c r="CG280"/>
  <c r="CF280"/>
  <c r="CE280"/>
  <c r="CD280"/>
  <c r="CC280"/>
  <c r="CB280"/>
  <c r="CA280"/>
  <c r="BZ280"/>
  <c r="BY280"/>
  <c r="BX280"/>
  <c r="BW280"/>
  <c r="BV280"/>
  <c r="BU280"/>
  <c r="BT280"/>
  <c r="BS280"/>
  <c r="BR280"/>
  <c r="BQ280"/>
  <c r="BP280"/>
  <c r="BO280"/>
  <c r="BN280"/>
  <c r="DU279"/>
  <c r="DT279"/>
  <c r="DS279"/>
  <c r="DR279"/>
  <c r="DQ279"/>
  <c r="DP279"/>
  <c r="DO279"/>
  <c r="DN279"/>
  <c r="DM279"/>
  <c r="DL279"/>
  <c r="DK279"/>
  <c r="DJ279"/>
  <c r="DI279"/>
  <c r="DH279"/>
  <c r="DG279"/>
  <c r="DF279"/>
  <c r="DE279"/>
  <c r="DD279"/>
  <c r="DC279"/>
  <c r="DB279"/>
  <c r="DA279"/>
  <c r="CZ279"/>
  <c r="CY279"/>
  <c r="CX279"/>
  <c r="CW279"/>
  <c r="CV279"/>
  <c r="CU279"/>
  <c r="CT279"/>
  <c r="CS279"/>
  <c r="CR279"/>
  <c r="CQ279"/>
  <c r="CP279"/>
  <c r="CO279"/>
  <c r="CN279"/>
  <c r="CM279"/>
  <c r="CL279"/>
  <c r="CK279"/>
  <c r="CJ279"/>
  <c r="CI279"/>
  <c r="CH279"/>
  <c r="CG279"/>
  <c r="CF279"/>
  <c r="CE279"/>
  <c r="CD279"/>
  <c r="CC279"/>
  <c r="CB279"/>
  <c r="CA279"/>
  <c r="BZ279"/>
  <c r="BY279"/>
  <c r="BX279"/>
  <c r="BW279"/>
  <c r="BV279"/>
  <c r="BU279"/>
  <c r="BT279"/>
  <c r="BS279"/>
  <c r="BR279"/>
  <c r="BQ279"/>
  <c r="BP279"/>
  <c r="BO279"/>
  <c r="BN279"/>
  <c r="DU278"/>
  <c r="DT278"/>
  <c r="DS278"/>
  <c r="DR278"/>
  <c r="DQ278"/>
  <c r="DP278"/>
  <c r="DO278"/>
  <c r="DN278"/>
  <c r="DM278"/>
  <c r="DL278"/>
  <c r="DK278"/>
  <c r="DJ278"/>
  <c r="DI278"/>
  <c r="DH278"/>
  <c r="DG278"/>
  <c r="DF278"/>
  <c r="DE278"/>
  <c r="DD278"/>
  <c r="DC278"/>
  <c r="DB278"/>
  <c r="DA278"/>
  <c r="CZ278"/>
  <c r="CY278"/>
  <c r="CX278"/>
  <c r="CW278"/>
  <c r="CV278"/>
  <c r="CU278"/>
  <c r="CT278"/>
  <c r="CS278"/>
  <c r="CR278"/>
  <c r="CQ278"/>
  <c r="CP278"/>
  <c r="CO278"/>
  <c r="CN278"/>
  <c r="CM278"/>
  <c r="CL278"/>
  <c r="CK278"/>
  <c r="CJ278"/>
  <c r="CI278"/>
  <c r="CH278"/>
  <c r="CG278"/>
  <c r="CF278"/>
  <c r="CE278"/>
  <c r="CD278"/>
  <c r="CC278"/>
  <c r="CB278"/>
  <c r="CA278"/>
  <c r="BZ278"/>
  <c r="BY278"/>
  <c r="BX278"/>
  <c r="BW278"/>
  <c r="BV278"/>
  <c r="BU278"/>
  <c r="BT278"/>
  <c r="BS278"/>
  <c r="BR278"/>
  <c r="BQ278"/>
  <c r="BP278"/>
  <c r="BO278"/>
  <c r="BN278"/>
  <c r="DU277"/>
  <c r="DT277"/>
  <c r="DS277"/>
  <c r="DR277"/>
  <c r="DQ277"/>
  <c r="DP277"/>
  <c r="DO277"/>
  <c r="DN277"/>
  <c r="DM277"/>
  <c r="DL277"/>
  <c r="DK277"/>
  <c r="DJ277"/>
  <c r="DI277"/>
  <c r="DH277"/>
  <c r="DG277"/>
  <c r="DF277"/>
  <c r="DE277"/>
  <c r="DD277"/>
  <c r="DC277"/>
  <c r="DB277"/>
  <c r="DA277"/>
  <c r="CZ277"/>
  <c r="CY277"/>
  <c r="CX277"/>
  <c r="CW277"/>
  <c r="CV277"/>
  <c r="CU277"/>
  <c r="CT277"/>
  <c r="CS277"/>
  <c r="CR277"/>
  <c r="CQ277"/>
  <c r="CP277"/>
  <c r="CO277"/>
  <c r="CN277"/>
  <c r="CM277"/>
  <c r="CL277"/>
  <c r="CK277"/>
  <c r="CJ277"/>
  <c r="CI277"/>
  <c r="CH277"/>
  <c r="CG277"/>
  <c r="CF277"/>
  <c r="CE277"/>
  <c r="CD277"/>
  <c r="CC277"/>
  <c r="CB277"/>
  <c r="CA277"/>
  <c r="BZ277"/>
  <c r="BY277"/>
  <c r="BX277"/>
  <c r="BW277"/>
  <c r="BV277"/>
  <c r="BU277"/>
  <c r="BT277"/>
  <c r="BS277"/>
  <c r="BR277"/>
  <c r="BQ277"/>
  <c r="BP277"/>
  <c r="BO277"/>
  <c r="BN277"/>
  <c r="DU276"/>
  <c r="DT276"/>
  <c r="DS276"/>
  <c r="DR276"/>
  <c r="DQ276"/>
  <c r="DP276"/>
  <c r="DO276"/>
  <c r="DN276"/>
  <c r="DM276"/>
  <c r="DL276"/>
  <c r="DK276"/>
  <c r="DJ276"/>
  <c r="DI276"/>
  <c r="DH276"/>
  <c r="DG276"/>
  <c r="DF276"/>
  <c r="DE276"/>
  <c r="DD276"/>
  <c r="DC276"/>
  <c r="DB276"/>
  <c r="DA276"/>
  <c r="CZ276"/>
  <c r="CY276"/>
  <c r="CX276"/>
  <c r="CW276"/>
  <c r="CV276"/>
  <c r="CU276"/>
  <c r="CT276"/>
  <c r="CS276"/>
  <c r="CR276"/>
  <c r="CQ276"/>
  <c r="CP276"/>
  <c r="CO276"/>
  <c r="CN276"/>
  <c r="CM276"/>
  <c r="CL276"/>
  <c r="CK276"/>
  <c r="CJ276"/>
  <c r="CI276"/>
  <c r="CH276"/>
  <c r="CG276"/>
  <c r="CF276"/>
  <c r="CE276"/>
  <c r="CD276"/>
  <c r="CC276"/>
  <c r="CB276"/>
  <c r="CA276"/>
  <c r="BZ276"/>
  <c r="BY276"/>
  <c r="BX276"/>
  <c r="BW276"/>
  <c r="BV276"/>
  <c r="BU276"/>
  <c r="BT276"/>
  <c r="BS276"/>
  <c r="BR276"/>
  <c r="BQ276"/>
  <c r="BP276"/>
  <c r="BO276"/>
  <c r="BN276"/>
  <c r="DU275"/>
  <c r="DT275"/>
  <c r="DS275"/>
  <c r="DR275"/>
  <c r="DQ275"/>
  <c r="DP275"/>
  <c r="DO275"/>
  <c r="DN275"/>
  <c r="DM275"/>
  <c r="DL275"/>
  <c r="DK275"/>
  <c r="DJ275"/>
  <c r="DI275"/>
  <c r="DH275"/>
  <c r="DG275"/>
  <c r="DF275"/>
  <c r="DE275"/>
  <c r="DD275"/>
  <c r="DC275"/>
  <c r="DB275"/>
  <c r="DA275"/>
  <c r="CZ275"/>
  <c r="CY275"/>
  <c r="CX275"/>
  <c r="CW275"/>
  <c r="CV275"/>
  <c r="CU275"/>
  <c r="CT275"/>
  <c r="CS275"/>
  <c r="CR275"/>
  <c r="CQ275"/>
  <c r="CP275"/>
  <c r="CO275"/>
  <c r="CN275"/>
  <c r="CM275"/>
  <c r="CL275"/>
  <c r="CK275"/>
  <c r="CJ275"/>
  <c r="CI275"/>
  <c r="CH275"/>
  <c r="CG275"/>
  <c r="CF275"/>
  <c r="CE275"/>
  <c r="CD275"/>
  <c r="CC275"/>
  <c r="CB275"/>
  <c r="CA275"/>
  <c r="BZ275"/>
  <c r="BY275"/>
  <c r="BX275"/>
  <c r="BW275"/>
  <c r="BV275"/>
  <c r="BU275"/>
  <c r="BT275"/>
  <c r="BS275"/>
  <c r="BR275"/>
  <c r="BQ275"/>
  <c r="BP275"/>
  <c r="BO275"/>
  <c r="BN275"/>
  <c r="DU274"/>
  <c r="DT274"/>
  <c r="DS274"/>
  <c r="DR274"/>
  <c r="DQ274"/>
  <c r="DP274"/>
  <c r="DO274"/>
  <c r="DN274"/>
  <c r="DM274"/>
  <c r="DL274"/>
  <c r="DK274"/>
  <c r="DJ274"/>
  <c r="DI274"/>
  <c r="DH274"/>
  <c r="DG274"/>
  <c r="DF274"/>
  <c r="DE274"/>
  <c r="DD274"/>
  <c r="DC274"/>
  <c r="DB274"/>
  <c r="DA274"/>
  <c r="CZ274"/>
  <c r="CY274"/>
  <c r="CX274"/>
  <c r="CW274"/>
  <c r="CV274"/>
  <c r="CU274"/>
  <c r="CT274"/>
  <c r="CS274"/>
  <c r="CR274"/>
  <c r="CQ274"/>
  <c r="CP274"/>
  <c r="CO274"/>
  <c r="CN274"/>
  <c r="CM274"/>
  <c r="CL274"/>
  <c r="CK274"/>
  <c r="CJ274"/>
  <c r="CI274"/>
  <c r="CH274"/>
  <c r="CG274"/>
  <c r="CF274"/>
  <c r="CE274"/>
  <c r="CD274"/>
  <c r="CC274"/>
  <c r="CB274"/>
  <c r="CA274"/>
  <c r="BZ274"/>
  <c r="BY274"/>
  <c r="BX274"/>
  <c r="BW274"/>
  <c r="BV274"/>
  <c r="BU274"/>
  <c r="BT274"/>
  <c r="BS274"/>
  <c r="BR274"/>
  <c r="BQ274"/>
  <c r="BP274"/>
  <c r="BO274"/>
  <c r="BN274"/>
  <c r="DU273"/>
  <c r="DT273"/>
  <c r="DS273"/>
  <c r="DR273"/>
  <c r="DQ273"/>
  <c r="DP273"/>
  <c r="DO273"/>
  <c r="DN273"/>
  <c r="DM273"/>
  <c r="DL273"/>
  <c r="DK273"/>
  <c r="DJ273"/>
  <c r="DI273"/>
  <c r="DH273"/>
  <c r="DG273"/>
  <c r="DF273"/>
  <c r="DE273"/>
  <c r="DD273"/>
  <c r="DC273"/>
  <c r="DB273"/>
  <c r="DA273"/>
  <c r="CZ273"/>
  <c r="CY273"/>
  <c r="CX273"/>
  <c r="CW273"/>
  <c r="CV273"/>
  <c r="CU273"/>
  <c r="CT273"/>
  <c r="CS273"/>
  <c r="CR273"/>
  <c r="CQ273"/>
  <c r="CP273"/>
  <c r="CO273"/>
  <c r="CN273"/>
  <c r="CM273"/>
  <c r="CL273"/>
  <c r="CK273"/>
  <c r="CJ273"/>
  <c r="CI273"/>
  <c r="CH273"/>
  <c r="CG273"/>
  <c r="CF273"/>
  <c r="CE273"/>
  <c r="CD273"/>
  <c r="CC273"/>
  <c r="CB273"/>
  <c r="CA273"/>
  <c r="BZ273"/>
  <c r="BY273"/>
  <c r="BX273"/>
  <c r="BW273"/>
  <c r="BV273"/>
  <c r="BU273"/>
  <c r="BT273"/>
  <c r="BS273"/>
  <c r="BR273"/>
  <c r="BQ273"/>
  <c r="BP273"/>
  <c r="BO273"/>
  <c r="BN273"/>
  <c r="E273"/>
  <c r="DU272"/>
  <c r="DT272"/>
  <c r="DS272"/>
  <c r="DR272"/>
  <c r="DQ272"/>
  <c r="DP272"/>
  <c r="DO272"/>
  <c r="DN272"/>
  <c r="DM272"/>
  <c r="DL272"/>
  <c r="DK272"/>
  <c r="DJ272"/>
  <c r="DI272"/>
  <c r="DH272"/>
  <c r="DG272"/>
  <c r="DF272"/>
  <c r="DE272"/>
  <c r="DD272"/>
  <c r="DC272"/>
  <c r="DB272"/>
  <c r="DA272"/>
  <c r="CZ272"/>
  <c r="CY272"/>
  <c r="CX272"/>
  <c r="CW272"/>
  <c r="CV272"/>
  <c r="CU272"/>
  <c r="CT272"/>
  <c r="CS272"/>
  <c r="CR272"/>
  <c r="CQ272"/>
  <c r="CP272"/>
  <c r="CO272"/>
  <c r="CN272"/>
  <c r="CM272"/>
  <c r="CL272"/>
  <c r="CK272"/>
  <c r="CJ272"/>
  <c r="CI272"/>
  <c r="CH272"/>
  <c r="CG272"/>
  <c r="CF272"/>
  <c r="CE272"/>
  <c r="CD272"/>
  <c r="CC272"/>
  <c r="CB272"/>
  <c r="CA272"/>
  <c r="BZ272"/>
  <c r="BY272"/>
  <c r="BX272"/>
  <c r="BW272"/>
  <c r="BV272"/>
  <c r="BU272"/>
  <c r="BT272"/>
  <c r="BS272"/>
  <c r="BR272"/>
  <c r="BQ272"/>
  <c r="BP272"/>
  <c r="BO272"/>
  <c r="BN272"/>
  <c r="B272"/>
  <c r="DU271"/>
  <c r="DT271"/>
  <c r="DS271"/>
  <c r="DR271"/>
  <c r="DQ271"/>
  <c r="DP271"/>
  <c r="DO271"/>
  <c r="DN271"/>
  <c r="DM271"/>
  <c r="DL271"/>
  <c r="DK271"/>
  <c r="DJ271"/>
  <c r="DI271"/>
  <c r="DH271"/>
  <c r="DG271"/>
  <c r="DF271"/>
  <c r="DE271"/>
  <c r="DD271"/>
  <c r="DC271"/>
  <c r="DB271"/>
  <c r="DA271"/>
  <c r="CZ271"/>
  <c r="CY271"/>
  <c r="CX271"/>
  <c r="CW271"/>
  <c r="CV271"/>
  <c r="CU271"/>
  <c r="CT271"/>
  <c r="CS271"/>
  <c r="CR271"/>
  <c r="CQ271"/>
  <c r="CP271"/>
  <c r="CO271"/>
  <c r="CN271"/>
  <c r="CM271"/>
  <c r="CL271"/>
  <c r="CK271"/>
  <c r="CJ271"/>
  <c r="CI271"/>
  <c r="CH271"/>
  <c r="CG271"/>
  <c r="CF271"/>
  <c r="CE271"/>
  <c r="CD271"/>
  <c r="CC271"/>
  <c r="CB271"/>
  <c r="CA271"/>
  <c r="BZ271"/>
  <c r="BY271"/>
  <c r="BX271"/>
  <c r="BW271"/>
  <c r="BV271"/>
  <c r="BU271"/>
  <c r="BT271"/>
  <c r="BS271"/>
  <c r="BR271"/>
  <c r="BQ271"/>
  <c r="BP271"/>
  <c r="BO271"/>
  <c r="BN271"/>
  <c r="DU270"/>
  <c r="DT270"/>
  <c r="DS270"/>
  <c r="DR270"/>
  <c r="DQ270"/>
  <c r="DP270"/>
  <c r="DO270"/>
  <c r="DN270"/>
  <c r="DM270"/>
  <c r="DL270"/>
  <c r="DK270"/>
  <c r="DJ270"/>
  <c r="DI270"/>
  <c r="DH270"/>
  <c r="DG270"/>
  <c r="DF270"/>
  <c r="DE270"/>
  <c r="DD270"/>
  <c r="DC270"/>
  <c r="DB270"/>
  <c r="DA270"/>
  <c r="CZ270"/>
  <c r="CY270"/>
  <c r="CX270"/>
  <c r="CW270"/>
  <c r="CV270"/>
  <c r="CU270"/>
  <c r="CT270"/>
  <c r="CS270"/>
  <c r="CR270"/>
  <c r="CQ270"/>
  <c r="CP270"/>
  <c r="CO270"/>
  <c r="CN270"/>
  <c r="CM270"/>
  <c r="CL270"/>
  <c r="CK270"/>
  <c r="CJ270"/>
  <c r="CI270"/>
  <c r="CH270"/>
  <c r="CG270"/>
  <c r="CF270"/>
  <c r="CE270"/>
  <c r="CD270"/>
  <c r="CC270"/>
  <c r="CB270"/>
  <c r="CA270"/>
  <c r="BZ270"/>
  <c r="BY270"/>
  <c r="BX270"/>
  <c r="BW270"/>
  <c r="BV270"/>
  <c r="BU270"/>
  <c r="BT270"/>
  <c r="BS270"/>
  <c r="BR270"/>
  <c r="BQ270"/>
  <c r="BP270"/>
  <c r="BO270"/>
  <c r="BN270"/>
  <c r="DU269"/>
  <c r="DT269"/>
  <c r="DS269"/>
  <c r="DR269"/>
  <c r="DQ269"/>
  <c r="DP269"/>
  <c r="DO269"/>
  <c r="DN269"/>
  <c r="DM269"/>
  <c r="DL269"/>
  <c r="DK269"/>
  <c r="DJ269"/>
  <c r="DI269"/>
  <c r="DH269"/>
  <c r="DG269"/>
  <c r="DF269"/>
  <c r="DE269"/>
  <c r="DD269"/>
  <c r="DC269"/>
  <c r="DB269"/>
  <c r="DA269"/>
  <c r="CZ269"/>
  <c r="CY269"/>
  <c r="CX269"/>
  <c r="CW269"/>
  <c r="CV269"/>
  <c r="CU269"/>
  <c r="CT269"/>
  <c r="CS269"/>
  <c r="CR269"/>
  <c r="CQ269"/>
  <c r="CP269"/>
  <c r="CO269"/>
  <c r="CN269"/>
  <c r="CM269"/>
  <c r="CL269"/>
  <c r="CK269"/>
  <c r="CJ269"/>
  <c r="CI269"/>
  <c r="CH269"/>
  <c r="CG269"/>
  <c r="CF269"/>
  <c r="CE269"/>
  <c r="CD269"/>
  <c r="CC269"/>
  <c r="CB269"/>
  <c r="CA269"/>
  <c r="BZ269"/>
  <c r="BY269"/>
  <c r="BX269"/>
  <c r="BW269"/>
  <c r="BV269"/>
  <c r="BU269"/>
  <c r="BT269"/>
  <c r="BS269"/>
  <c r="BR269"/>
  <c r="BQ269"/>
  <c r="BP269"/>
  <c r="BO269"/>
  <c r="BN269"/>
  <c r="DU268"/>
  <c r="DT268"/>
  <c r="DS268"/>
  <c r="DR268"/>
  <c r="DQ268"/>
  <c r="DP268"/>
  <c r="DO268"/>
  <c r="DN268"/>
  <c r="DM268"/>
  <c r="DL268"/>
  <c r="DK268"/>
  <c r="DJ268"/>
  <c r="DI268"/>
  <c r="DH268"/>
  <c r="DG268"/>
  <c r="DF268"/>
  <c r="DE268"/>
  <c r="DD268"/>
  <c r="DC268"/>
  <c r="DB268"/>
  <c r="DA268"/>
  <c r="CZ268"/>
  <c r="CY268"/>
  <c r="CX268"/>
  <c r="CW268"/>
  <c r="CV268"/>
  <c r="CU268"/>
  <c r="CT268"/>
  <c r="CS268"/>
  <c r="CR268"/>
  <c r="CQ268"/>
  <c r="CP268"/>
  <c r="CO268"/>
  <c r="CN268"/>
  <c r="CM268"/>
  <c r="CL268"/>
  <c r="CK268"/>
  <c r="CJ268"/>
  <c r="CI268"/>
  <c r="CH268"/>
  <c r="CG268"/>
  <c r="CF268"/>
  <c r="CE268"/>
  <c r="CD268"/>
  <c r="CC268"/>
  <c r="CB268"/>
  <c r="CA268"/>
  <c r="BZ268"/>
  <c r="BY268"/>
  <c r="BX268"/>
  <c r="BW268"/>
  <c r="BV268"/>
  <c r="BU268"/>
  <c r="BT268"/>
  <c r="BS268"/>
  <c r="BR268"/>
  <c r="BQ268"/>
  <c r="BP268"/>
  <c r="BO268"/>
  <c r="BN268"/>
  <c r="DU267"/>
  <c r="DT267"/>
  <c r="DS267"/>
  <c r="DR267"/>
  <c r="DQ267"/>
  <c r="DP267"/>
  <c r="DO267"/>
  <c r="DN267"/>
  <c r="DM267"/>
  <c r="DL267"/>
  <c r="DK267"/>
  <c r="DJ267"/>
  <c r="DI267"/>
  <c r="DH267"/>
  <c r="DG267"/>
  <c r="DF267"/>
  <c r="DE267"/>
  <c r="DD267"/>
  <c r="DC267"/>
  <c r="DB267"/>
  <c r="DA267"/>
  <c r="CZ267"/>
  <c r="CY267"/>
  <c r="CX267"/>
  <c r="CW267"/>
  <c r="CV267"/>
  <c r="CU267"/>
  <c r="CT267"/>
  <c r="CS267"/>
  <c r="CR267"/>
  <c r="CQ267"/>
  <c r="CP267"/>
  <c r="CO267"/>
  <c r="CN267"/>
  <c r="CM267"/>
  <c r="CL267"/>
  <c r="CK267"/>
  <c r="CJ267"/>
  <c r="CI267"/>
  <c r="CH267"/>
  <c r="CG267"/>
  <c r="CF267"/>
  <c r="CE267"/>
  <c r="CD267"/>
  <c r="CC267"/>
  <c r="CB267"/>
  <c r="CA267"/>
  <c r="BZ267"/>
  <c r="BY267"/>
  <c r="BX267"/>
  <c r="BW267"/>
  <c r="BV267"/>
  <c r="BU267"/>
  <c r="BT267"/>
  <c r="BS267"/>
  <c r="BR267"/>
  <c r="BQ267"/>
  <c r="BP267"/>
  <c r="BO267"/>
  <c r="BN267"/>
  <c r="DU266"/>
  <c r="DT266"/>
  <c r="DS266"/>
  <c r="DR266"/>
  <c r="DQ266"/>
  <c r="DP266"/>
  <c r="DO266"/>
  <c r="DN266"/>
  <c r="DM266"/>
  <c r="DL266"/>
  <c r="DK266"/>
  <c r="DJ266"/>
  <c r="DI266"/>
  <c r="DH266"/>
  <c r="DG266"/>
  <c r="DF266"/>
  <c r="DE266"/>
  <c r="DD266"/>
  <c r="DC266"/>
  <c r="DB266"/>
  <c r="DA266"/>
  <c r="CZ266"/>
  <c r="CY266"/>
  <c r="CX266"/>
  <c r="CW266"/>
  <c r="CV266"/>
  <c r="CU266"/>
  <c r="CT266"/>
  <c r="CS266"/>
  <c r="CR266"/>
  <c r="CQ266"/>
  <c r="CP266"/>
  <c r="CO266"/>
  <c r="CN266"/>
  <c r="CM266"/>
  <c r="CL266"/>
  <c r="CK266"/>
  <c r="CJ266"/>
  <c r="CI266"/>
  <c r="CH266"/>
  <c r="CG266"/>
  <c r="CF266"/>
  <c r="CE266"/>
  <c r="CD266"/>
  <c r="CC266"/>
  <c r="CB266"/>
  <c r="CA266"/>
  <c r="BZ266"/>
  <c r="BY266"/>
  <c r="BX266"/>
  <c r="BW266"/>
  <c r="BV266"/>
  <c r="BU266"/>
  <c r="BT266"/>
  <c r="BS266"/>
  <c r="BR266"/>
  <c r="BQ266"/>
  <c r="BP266"/>
  <c r="BO266"/>
  <c r="BN266"/>
  <c r="DU265"/>
  <c r="DT265"/>
  <c r="DS265"/>
  <c r="DR265"/>
  <c r="DQ265"/>
  <c r="DP265"/>
  <c r="DO265"/>
  <c r="DN265"/>
  <c r="DM265"/>
  <c r="DL265"/>
  <c r="DK265"/>
  <c r="DJ265"/>
  <c r="DI265"/>
  <c r="DH265"/>
  <c r="DG265"/>
  <c r="DF265"/>
  <c r="DE265"/>
  <c r="DD265"/>
  <c r="DC265"/>
  <c r="DB265"/>
  <c r="DA265"/>
  <c r="CZ265"/>
  <c r="CY265"/>
  <c r="CX265"/>
  <c r="CW265"/>
  <c r="CV265"/>
  <c r="CU265"/>
  <c r="CT265"/>
  <c r="CS265"/>
  <c r="CR265"/>
  <c r="CQ265"/>
  <c r="CP265"/>
  <c r="CO265"/>
  <c r="CN265"/>
  <c r="CM265"/>
  <c r="CL265"/>
  <c r="CK265"/>
  <c r="CJ265"/>
  <c r="CI265"/>
  <c r="CH265"/>
  <c r="CG265"/>
  <c r="CF265"/>
  <c r="CE265"/>
  <c r="CD265"/>
  <c r="CC265"/>
  <c r="CB265"/>
  <c r="CA265"/>
  <c r="BZ265"/>
  <c r="BY265"/>
  <c r="BX265"/>
  <c r="BW265"/>
  <c r="BV265"/>
  <c r="BU265"/>
  <c r="BT265"/>
  <c r="BS265"/>
  <c r="BR265"/>
  <c r="BQ265"/>
  <c r="BP265"/>
  <c r="BO265"/>
  <c r="BN265"/>
  <c r="DU264"/>
  <c r="DT264"/>
  <c r="DS264"/>
  <c r="DR264"/>
  <c r="DQ264"/>
  <c r="DP264"/>
  <c r="DO264"/>
  <c r="DN264"/>
  <c r="DM264"/>
  <c r="DL264"/>
  <c r="DK264"/>
  <c r="DJ264"/>
  <c r="DI264"/>
  <c r="DH264"/>
  <c r="DG264"/>
  <c r="DF264"/>
  <c r="DE264"/>
  <c r="DD264"/>
  <c r="DC264"/>
  <c r="DB264"/>
  <c r="DA264"/>
  <c r="CZ264"/>
  <c r="CY264"/>
  <c r="CX264"/>
  <c r="CW264"/>
  <c r="CV264"/>
  <c r="CU264"/>
  <c r="CT264"/>
  <c r="CS264"/>
  <c r="CR264"/>
  <c r="CQ264"/>
  <c r="CP264"/>
  <c r="CO264"/>
  <c r="CN264"/>
  <c r="CM264"/>
  <c r="CL264"/>
  <c r="CK264"/>
  <c r="CJ264"/>
  <c r="CI264"/>
  <c r="CH264"/>
  <c r="CG264"/>
  <c r="CF264"/>
  <c r="CE264"/>
  <c r="CD264"/>
  <c r="CC264"/>
  <c r="CB264"/>
  <c r="CA264"/>
  <c r="BZ264"/>
  <c r="BY264"/>
  <c r="BX264"/>
  <c r="BW264"/>
  <c r="BV264"/>
  <c r="BU264"/>
  <c r="BT264"/>
  <c r="BS264"/>
  <c r="BR264"/>
  <c r="BQ264"/>
  <c r="BP264"/>
  <c r="BO264"/>
  <c r="BN264"/>
  <c r="DU263"/>
  <c r="DT263"/>
  <c r="DS263"/>
  <c r="DR263"/>
  <c r="DQ263"/>
  <c r="DP263"/>
  <c r="DO263"/>
  <c r="DN263"/>
  <c r="DM263"/>
  <c r="DL263"/>
  <c r="DK263"/>
  <c r="DJ263"/>
  <c r="DI263"/>
  <c r="DH263"/>
  <c r="DG263"/>
  <c r="DF263"/>
  <c r="DE263"/>
  <c r="DD263"/>
  <c r="DC263"/>
  <c r="DB263"/>
  <c r="DA263"/>
  <c r="CZ263"/>
  <c r="CY263"/>
  <c r="CX263"/>
  <c r="CW263"/>
  <c r="CV263"/>
  <c r="CU263"/>
  <c r="CT263"/>
  <c r="CS263"/>
  <c r="CR263"/>
  <c r="CQ263"/>
  <c r="CP263"/>
  <c r="CO263"/>
  <c r="CN263"/>
  <c r="CM263"/>
  <c r="CL263"/>
  <c r="CK263"/>
  <c r="CJ263"/>
  <c r="CI263"/>
  <c r="CH263"/>
  <c r="CG263"/>
  <c r="CF263"/>
  <c r="CE263"/>
  <c r="CD263"/>
  <c r="CC263"/>
  <c r="CB263"/>
  <c r="CA263"/>
  <c r="BZ263"/>
  <c r="BY263"/>
  <c r="BX263"/>
  <c r="BW263"/>
  <c r="BV263"/>
  <c r="BU263"/>
  <c r="BT263"/>
  <c r="BS263"/>
  <c r="BR263"/>
  <c r="BQ263"/>
  <c r="BP263"/>
  <c r="BO263"/>
  <c r="BN263"/>
  <c r="DU262"/>
  <c r="DT262"/>
  <c r="DS262"/>
  <c r="DR262"/>
  <c r="DQ262"/>
  <c r="DP262"/>
  <c r="DO262"/>
  <c r="DN262"/>
  <c r="DM262"/>
  <c r="DL262"/>
  <c r="DK262"/>
  <c r="DJ262"/>
  <c r="DI262"/>
  <c r="DH262"/>
  <c r="DG262"/>
  <c r="DF262"/>
  <c r="DE262"/>
  <c r="DD262"/>
  <c r="DC262"/>
  <c r="DB262"/>
  <c r="DA262"/>
  <c r="CZ262"/>
  <c r="CY262"/>
  <c r="CX262"/>
  <c r="CW262"/>
  <c r="CV262"/>
  <c r="CU262"/>
  <c r="CT262"/>
  <c r="CS262"/>
  <c r="CR262"/>
  <c r="CQ262"/>
  <c r="CP262"/>
  <c r="CO262"/>
  <c r="CN262"/>
  <c r="CM262"/>
  <c r="CL262"/>
  <c r="CK262"/>
  <c r="CJ262"/>
  <c r="CI262"/>
  <c r="CH262"/>
  <c r="CG262"/>
  <c r="CF262"/>
  <c r="CE262"/>
  <c r="CD262"/>
  <c r="CC262"/>
  <c r="CB262"/>
  <c r="CA262"/>
  <c r="BZ262"/>
  <c r="BY262"/>
  <c r="BX262"/>
  <c r="BW262"/>
  <c r="BV262"/>
  <c r="BU262"/>
  <c r="BT262"/>
  <c r="BS262"/>
  <c r="BR262"/>
  <c r="BQ262"/>
  <c r="BP262"/>
  <c r="BO262"/>
  <c r="BN262"/>
  <c r="DU261"/>
  <c r="DT261"/>
  <c r="DS261"/>
  <c r="DR261"/>
  <c r="DQ261"/>
  <c r="DP261"/>
  <c r="DO261"/>
  <c r="DN261"/>
  <c r="DM261"/>
  <c r="DL261"/>
  <c r="DK261"/>
  <c r="DJ261"/>
  <c r="DI261"/>
  <c r="DH261"/>
  <c r="DG261"/>
  <c r="DF261"/>
  <c r="DE261"/>
  <c r="DD261"/>
  <c r="DC261"/>
  <c r="DB261"/>
  <c r="DA261"/>
  <c r="CZ261"/>
  <c r="CY261"/>
  <c r="CX261"/>
  <c r="CW261"/>
  <c r="CV261"/>
  <c r="CU261"/>
  <c r="CT261"/>
  <c r="CS261"/>
  <c r="CR261"/>
  <c r="CQ261"/>
  <c r="CP261"/>
  <c r="CO261"/>
  <c r="CN261"/>
  <c r="CM261"/>
  <c r="CL261"/>
  <c r="CK261"/>
  <c r="CJ261"/>
  <c r="CI261"/>
  <c r="CH261"/>
  <c r="CG261"/>
  <c r="CF261"/>
  <c r="CE261"/>
  <c r="CD261"/>
  <c r="CC261"/>
  <c r="CB261"/>
  <c r="CA261"/>
  <c r="BZ261"/>
  <c r="BY261"/>
  <c r="BX261"/>
  <c r="BW261"/>
  <c r="BV261"/>
  <c r="BU261"/>
  <c r="BT261"/>
  <c r="BS261"/>
  <c r="BR261"/>
  <c r="BQ261"/>
  <c r="BP261"/>
  <c r="BO261"/>
  <c r="BN261"/>
  <c r="DU260"/>
  <c r="DT260"/>
  <c r="DS260"/>
  <c r="DR260"/>
  <c r="DQ260"/>
  <c r="DP260"/>
  <c r="DO260"/>
  <c r="DN260"/>
  <c r="DM260"/>
  <c r="DL260"/>
  <c r="DK260"/>
  <c r="DJ260"/>
  <c r="DI260"/>
  <c r="DH260"/>
  <c r="DG260"/>
  <c r="DF260"/>
  <c r="DE260"/>
  <c r="DD260"/>
  <c r="DC260"/>
  <c r="DB260"/>
  <c r="DA260"/>
  <c r="CZ260"/>
  <c r="CY260"/>
  <c r="CX260"/>
  <c r="CW260"/>
  <c r="CV260"/>
  <c r="CU260"/>
  <c r="CT260"/>
  <c r="CS260"/>
  <c r="CR260"/>
  <c r="CQ260"/>
  <c r="CP260"/>
  <c r="CO260"/>
  <c r="CN260"/>
  <c r="CM260"/>
  <c r="CL260"/>
  <c r="CK260"/>
  <c r="CJ260"/>
  <c r="CI260"/>
  <c r="CH260"/>
  <c r="CG260"/>
  <c r="CF260"/>
  <c r="CE260"/>
  <c r="CD260"/>
  <c r="CC260"/>
  <c r="CB260"/>
  <c r="CA260"/>
  <c r="BZ260"/>
  <c r="BY260"/>
  <c r="BX260"/>
  <c r="BW260"/>
  <c r="BV260"/>
  <c r="BU260"/>
  <c r="BT260"/>
  <c r="BS260"/>
  <c r="BR260"/>
  <c r="BQ260"/>
  <c r="BP260"/>
  <c r="BO260"/>
  <c r="BN260"/>
  <c r="DU259"/>
  <c r="DT259"/>
  <c r="DS259"/>
  <c r="DR259"/>
  <c r="DQ259"/>
  <c r="DP259"/>
  <c r="DO259"/>
  <c r="DN259"/>
  <c r="DM259"/>
  <c r="DL259"/>
  <c r="DK259"/>
  <c r="DJ259"/>
  <c r="DI259"/>
  <c r="DH259"/>
  <c r="DG259"/>
  <c r="DF259"/>
  <c r="DE259"/>
  <c r="DD259"/>
  <c r="DC259"/>
  <c r="DB259"/>
  <c r="DA259"/>
  <c r="CZ259"/>
  <c r="CY259"/>
  <c r="CX259"/>
  <c r="CW259"/>
  <c r="CV259"/>
  <c r="CU259"/>
  <c r="CT259"/>
  <c r="CS259"/>
  <c r="CR259"/>
  <c r="CQ259"/>
  <c r="CP259"/>
  <c r="CO259"/>
  <c r="CN259"/>
  <c r="CM259"/>
  <c r="CL259"/>
  <c r="CK259"/>
  <c r="CJ259"/>
  <c r="CI259"/>
  <c r="CH259"/>
  <c r="CG259"/>
  <c r="CF259"/>
  <c r="CE259"/>
  <c r="CD259"/>
  <c r="CC259"/>
  <c r="CB259"/>
  <c r="CA259"/>
  <c r="BZ259"/>
  <c r="BY259"/>
  <c r="BX259"/>
  <c r="BW259"/>
  <c r="BV259"/>
  <c r="BU259"/>
  <c r="BT259"/>
  <c r="BS259"/>
  <c r="BR259"/>
  <c r="BQ259"/>
  <c r="BP259"/>
  <c r="BO259"/>
  <c r="BN259"/>
  <c r="DU258"/>
  <c r="DT258"/>
  <c r="DS258"/>
  <c r="DR258"/>
  <c r="DQ258"/>
  <c r="DP258"/>
  <c r="DO258"/>
  <c r="DN258"/>
  <c r="DM258"/>
  <c r="DL258"/>
  <c r="DK258"/>
  <c r="DJ258"/>
  <c r="DI258"/>
  <c r="DH258"/>
  <c r="DG258"/>
  <c r="DF258"/>
  <c r="DE258"/>
  <c r="DD258"/>
  <c r="DC258"/>
  <c r="DB258"/>
  <c r="DA258"/>
  <c r="CZ258"/>
  <c r="CY258"/>
  <c r="CX258"/>
  <c r="CW258"/>
  <c r="CV258"/>
  <c r="CU258"/>
  <c r="CT258"/>
  <c r="CS258"/>
  <c r="CR258"/>
  <c r="CQ258"/>
  <c r="CP258"/>
  <c r="CO258"/>
  <c r="CN258"/>
  <c r="CM258"/>
  <c r="CL258"/>
  <c r="CK258"/>
  <c r="CJ258"/>
  <c r="CI258"/>
  <c r="CH258"/>
  <c r="CG258"/>
  <c r="CF258"/>
  <c r="CE258"/>
  <c r="CD258"/>
  <c r="CC258"/>
  <c r="CB258"/>
  <c r="CA258"/>
  <c r="BZ258"/>
  <c r="BY258"/>
  <c r="BX258"/>
  <c r="BW258"/>
  <c r="BV258"/>
  <c r="BU258"/>
  <c r="BT258"/>
  <c r="BS258"/>
  <c r="BR258"/>
  <c r="BQ258"/>
  <c r="BP258"/>
  <c r="BO258"/>
  <c r="BN258"/>
  <c r="DU257"/>
  <c r="DT257"/>
  <c r="DS257"/>
  <c r="DR257"/>
  <c r="DQ257"/>
  <c r="DP257"/>
  <c r="DO257"/>
  <c r="DN257"/>
  <c r="DM257"/>
  <c r="DL257"/>
  <c r="DK257"/>
  <c r="DJ257"/>
  <c r="DI257"/>
  <c r="DH257"/>
  <c r="DG257"/>
  <c r="DF257"/>
  <c r="DE257"/>
  <c r="DD257"/>
  <c r="DC257"/>
  <c r="DB257"/>
  <c r="DA257"/>
  <c r="CZ257"/>
  <c r="CY257"/>
  <c r="CX257"/>
  <c r="CW257"/>
  <c r="CV257"/>
  <c r="CU257"/>
  <c r="CT257"/>
  <c r="CS257"/>
  <c r="CR257"/>
  <c r="CQ257"/>
  <c r="CP257"/>
  <c r="CO257"/>
  <c r="CN257"/>
  <c r="CM257"/>
  <c r="CL257"/>
  <c r="CK257"/>
  <c r="CJ257"/>
  <c r="CI257"/>
  <c r="CH257"/>
  <c r="CG257"/>
  <c r="CF257"/>
  <c r="CE257"/>
  <c r="CD257"/>
  <c r="CC257"/>
  <c r="CB257"/>
  <c r="CA257"/>
  <c r="BZ257"/>
  <c r="BY257"/>
  <c r="BX257"/>
  <c r="BW257"/>
  <c r="BV257"/>
  <c r="BU257"/>
  <c r="BT257"/>
  <c r="BS257"/>
  <c r="BR257"/>
  <c r="BQ257"/>
  <c r="BP257"/>
  <c r="BO257"/>
  <c r="BN257"/>
  <c r="DU256"/>
  <c r="DT256"/>
  <c r="DS256"/>
  <c r="DR256"/>
  <c r="DQ256"/>
  <c r="DP256"/>
  <c r="DO256"/>
  <c r="DN256"/>
  <c r="DM256"/>
  <c r="DL256"/>
  <c r="DK256"/>
  <c r="DJ256"/>
  <c r="DI256"/>
  <c r="DH256"/>
  <c r="DG256"/>
  <c r="DF256"/>
  <c r="DE256"/>
  <c r="DD256"/>
  <c r="DC256"/>
  <c r="DB256"/>
  <c r="DA256"/>
  <c r="CZ256"/>
  <c r="CY256"/>
  <c r="CX256"/>
  <c r="CW256"/>
  <c r="CV256"/>
  <c r="CU256"/>
  <c r="CT256"/>
  <c r="CS256"/>
  <c r="CR256"/>
  <c r="CQ256"/>
  <c r="CP256"/>
  <c r="CO256"/>
  <c r="CN256"/>
  <c r="CM256"/>
  <c r="CL256"/>
  <c r="CK256"/>
  <c r="CJ256"/>
  <c r="CI256"/>
  <c r="CH256"/>
  <c r="CG256"/>
  <c r="CF256"/>
  <c r="CE256"/>
  <c r="CD256"/>
  <c r="CC256"/>
  <c r="CB256"/>
  <c r="CA256"/>
  <c r="BZ256"/>
  <c r="BY256"/>
  <c r="BX256"/>
  <c r="BW256"/>
  <c r="BV256"/>
  <c r="BU256"/>
  <c r="BT256"/>
  <c r="BS256"/>
  <c r="BR256"/>
  <c r="BQ256"/>
  <c r="BP256"/>
  <c r="BO256"/>
  <c r="BN256"/>
  <c r="DU255"/>
  <c r="DT255"/>
  <c r="DS255"/>
  <c r="DR255"/>
  <c r="DQ255"/>
  <c r="DP255"/>
  <c r="DO255"/>
  <c r="DN255"/>
  <c r="DM255"/>
  <c r="DL255"/>
  <c r="DK255"/>
  <c r="DJ255"/>
  <c r="DI255"/>
  <c r="DH255"/>
  <c r="DG255"/>
  <c r="DF255"/>
  <c r="DE255"/>
  <c r="DD255"/>
  <c r="DC255"/>
  <c r="DB255"/>
  <c r="DA255"/>
  <c r="CZ255"/>
  <c r="CY255"/>
  <c r="CX255"/>
  <c r="CW255"/>
  <c r="CV255"/>
  <c r="CU255"/>
  <c r="CT255"/>
  <c r="CS255"/>
  <c r="CR255"/>
  <c r="CQ255"/>
  <c r="CP255"/>
  <c r="CO255"/>
  <c r="CN255"/>
  <c r="CM255"/>
  <c r="CL255"/>
  <c r="CK255"/>
  <c r="CJ255"/>
  <c r="CI255"/>
  <c r="CH255"/>
  <c r="CG255"/>
  <c r="CF255"/>
  <c r="CE255"/>
  <c r="CD255"/>
  <c r="CC255"/>
  <c r="CB255"/>
  <c r="CA255"/>
  <c r="BZ255"/>
  <c r="BY255"/>
  <c r="BX255"/>
  <c r="BW255"/>
  <c r="BV255"/>
  <c r="BU255"/>
  <c r="BT255"/>
  <c r="BS255"/>
  <c r="BR255"/>
  <c r="BQ255"/>
  <c r="BP255"/>
  <c r="BO255"/>
  <c r="BN255"/>
  <c r="DU254"/>
  <c r="DT254"/>
  <c r="DS254"/>
  <c r="DR254"/>
  <c r="DQ254"/>
  <c r="DP254"/>
  <c r="DO254"/>
  <c r="DN254"/>
  <c r="DM254"/>
  <c r="DL254"/>
  <c r="DK254"/>
  <c r="DJ254"/>
  <c r="DI254"/>
  <c r="DH254"/>
  <c r="DG254"/>
  <c r="DF254"/>
  <c r="DE254"/>
  <c r="DD254"/>
  <c r="DC254"/>
  <c r="DB254"/>
  <c r="DA254"/>
  <c r="CZ254"/>
  <c r="CY254"/>
  <c r="CX254"/>
  <c r="CW254"/>
  <c r="CV254"/>
  <c r="CU254"/>
  <c r="CT254"/>
  <c r="CS254"/>
  <c r="CR254"/>
  <c r="CQ254"/>
  <c r="CP254"/>
  <c r="CO254"/>
  <c r="CN254"/>
  <c r="CM254"/>
  <c r="CL254"/>
  <c r="CK254"/>
  <c r="CJ254"/>
  <c r="CI254"/>
  <c r="CH254"/>
  <c r="CG254"/>
  <c r="CF254"/>
  <c r="CE254"/>
  <c r="CD254"/>
  <c r="CC254"/>
  <c r="CB254"/>
  <c r="CA254"/>
  <c r="BZ254"/>
  <c r="BY254"/>
  <c r="BX254"/>
  <c r="BW254"/>
  <c r="BV254"/>
  <c r="BU254"/>
  <c r="BT254"/>
  <c r="BS254"/>
  <c r="BR254"/>
  <c r="BQ254"/>
  <c r="BP254"/>
  <c r="BO254"/>
  <c r="BN254"/>
  <c r="DU253"/>
  <c r="DT253"/>
  <c r="DS253"/>
  <c r="DR253"/>
  <c r="DQ253"/>
  <c r="DP253"/>
  <c r="DO253"/>
  <c r="DN253"/>
  <c r="DM253"/>
  <c r="DL253"/>
  <c r="DK253"/>
  <c r="DJ253"/>
  <c r="DI253"/>
  <c r="DH253"/>
  <c r="DG253"/>
  <c r="DF253"/>
  <c r="DE253"/>
  <c r="DD253"/>
  <c r="DC253"/>
  <c r="DB253"/>
  <c r="DA253"/>
  <c r="CZ253"/>
  <c r="CY253"/>
  <c r="CX253"/>
  <c r="CW253"/>
  <c r="CV253"/>
  <c r="CU253"/>
  <c r="CT253"/>
  <c r="CS253"/>
  <c r="CR253"/>
  <c r="CQ253"/>
  <c r="CP253"/>
  <c r="CO253"/>
  <c r="CN253"/>
  <c r="CM253"/>
  <c r="CL253"/>
  <c r="CK253"/>
  <c r="CJ253"/>
  <c r="CI253"/>
  <c r="CH253"/>
  <c r="CG253"/>
  <c r="CF253"/>
  <c r="CE253"/>
  <c r="CD253"/>
  <c r="CC253"/>
  <c r="CB253"/>
  <c r="CA253"/>
  <c r="BZ253"/>
  <c r="BY253"/>
  <c r="BX253"/>
  <c r="BW253"/>
  <c r="BV253"/>
  <c r="BU253"/>
  <c r="BT253"/>
  <c r="BS253"/>
  <c r="BR253"/>
  <c r="BQ253"/>
  <c r="BP253"/>
  <c r="BO253"/>
  <c r="BN253"/>
  <c r="DU252"/>
  <c r="DT252"/>
  <c r="DS252"/>
  <c r="DR252"/>
  <c r="DQ252"/>
  <c r="DP252"/>
  <c r="DO252"/>
  <c r="DN252"/>
  <c r="DM252"/>
  <c r="DL252"/>
  <c r="DK252"/>
  <c r="DJ252"/>
  <c r="DI252"/>
  <c r="DH252"/>
  <c r="DG252"/>
  <c r="DF252"/>
  <c r="DE252"/>
  <c r="DD252"/>
  <c r="DC252"/>
  <c r="DB252"/>
  <c r="DA252"/>
  <c r="CZ252"/>
  <c r="CY252"/>
  <c r="CX252"/>
  <c r="CW252"/>
  <c r="CV252"/>
  <c r="CU252"/>
  <c r="CT252"/>
  <c r="CS252"/>
  <c r="CR252"/>
  <c r="CQ252"/>
  <c r="CP252"/>
  <c r="CO252"/>
  <c r="CN252"/>
  <c r="CM252"/>
  <c r="CL252"/>
  <c r="CK252"/>
  <c r="CJ252"/>
  <c r="CI252"/>
  <c r="CH252"/>
  <c r="CG252"/>
  <c r="CF252"/>
  <c r="CE252"/>
  <c r="CD252"/>
  <c r="CC252"/>
  <c r="CB252"/>
  <c r="CA252"/>
  <c r="BZ252"/>
  <c r="BY252"/>
  <c r="BX252"/>
  <c r="BW252"/>
  <c r="BV252"/>
  <c r="BU252"/>
  <c r="BT252"/>
  <c r="BS252"/>
  <c r="BR252"/>
  <c r="BQ252"/>
  <c r="BP252"/>
  <c r="BO252"/>
  <c r="BN252"/>
  <c r="DU251"/>
  <c r="DT251"/>
  <c r="DS251"/>
  <c r="DR251"/>
  <c r="DQ251"/>
  <c r="DP251"/>
  <c r="DO251"/>
  <c r="DN251"/>
  <c r="DM251"/>
  <c r="DL251"/>
  <c r="DK251"/>
  <c r="DJ251"/>
  <c r="DI251"/>
  <c r="DH251"/>
  <c r="DG251"/>
  <c r="DF251"/>
  <c r="DE251"/>
  <c r="DD251"/>
  <c r="DC251"/>
  <c r="DB251"/>
  <c r="DA251"/>
  <c r="CZ251"/>
  <c r="CY251"/>
  <c r="CX251"/>
  <c r="CW251"/>
  <c r="CV251"/>
  <c r="CU251"/>
  <c r="CT251"/>
  <c r="CS251"/>
  <c r="CR251"/>
  <c r="CQ251"/>
  <c r="CP251"/>
  <c r="CO251"/>
  <c r="CN251"/>
  <c r="CM251"/>
  <c r="CL251"/>
  <c r="CK251"/>
  <c r="CJ251"/>
  <c r="CI251"/>
  <c r="CH251"/>
  <c r="CG251"/>
  <c r="CF251"/>
  <c r="CE251"/>
  <c r="CD251"/>
  <c r="CC251"/>
  <c r="CB251"/>
  <c r="CA251"/>
  <c r="BZ251"/>
  <c r="BY251"/>
  <c r="BX251"/>
  <c r="BW251"/>
  <c r="BV251"/>
  <c r="BU251"/>
  <c r="BT251"/>
  <c r="BS251"/>
  <c r="BR251"/>
  <c r="BQ251"/>
  <c r="BP251"/>
  <c r="BO251"/>
  <c r="BN251"/>
  <c r="DU250"/>
  <c r="DT250"/>
  <c r="DS250"/>
  <c r="DR250"/>
  <c r="DQ250"/>
  <c r="DP250"/>
  <c r="DO250"/>
  <c r="DN250"/>
  <c r="DM250"/>
  <c r="DL250"/>
  <c r="DK250"/>
  <c r="DJ250"/>
  <c r="DI250"/>
  <c r="DH250"/>
  <c r="DG250"/>
  <c r="DF250"/>
  <c r="DE250"/>
  <c r="DD250"/>
  <c r="DC250"/>
  <c r="DB250"/>
  <c r="DA250"/>
  <c r="CZ250"/>
  <c r="CY250"/>
  <c r="CX250"/>
  <c r="CW250"/>
  <c r="CV250"/>
  <c r="CU250"/>
  <c r="CT250"/>
  <c r="CS250"/>
  <c r="CR250"/>
  <c r="CQ250"/>
  <c r="CP250"/>
  <c r="CO250"/>
  <c r="CN250"/>
  <c r="CM250"/>
  <c r="CL250"/>
  <c r="CK250"/>
  <c r="CJ250"/>
  <c r="CI250"/>
  <c r="CH250"/>
  <c r="CG250"/>
  <c r="CF250"/>
  <c r="CE250"/>
  <c r="CD250"/>
  <c r="CC250"/>
  <c r="CB250"/>
  <c r="CA250"/>
  <c r="BZ250"/>
  <c r="BY250"/>
  <c r="BX250"/>
  <c r="BW250"/>
  <c r="BV250"/>
  <c r="BU250"/>
  <c r="BT250"/>
  <c r="BS250"/>
  <c r="BR250"/>
  <c r="BQ250"/>
  <c r="BP250"/>
  <c r="BO250"/>
  <c r="BN250"/>
  <c r="DU249"/>
  <c r="DT249"/>
  <c r="DS249"/>
  <c r="DR249"/>
  <c r="DQ249"/>
  <c r="DP249"/>
  <c r="DO249"/>
  <c r="DN249"/>
  <c r="DM249"/>
  <c r="DL249"/>
  <c r="DK249"/>
  <c r="DJ249"/>
  <c r="DI249"/>
  <c r="DH249"/>
  <c r="DG249"/>
  <c r="DF249"/>
  <c r="DE249"/>
  <c r="DD249"/>
  <c r="DC249"/>
  <c r="DB249"/>
  <c r="DA249"/>
  <c r="CZ249"/>
  <c r="CY249"/>
  <c r="CX249"/>
  <c r="CW249"/>
  <c r="CV249"/>
  <c r="CU249"/>
  <c r="CT249"/>
  <c r="CS249"/>
  <c r="CR249"/>
  <c r="CQ249"/>
  <c r="CP249"/>
  <c r="CO249"/>
  <c r="CN249"/>
  <c r="CM249"/>
  <c r="CL249"/>
  <c r="CK249"/>
  <c r="CJ249"/>
  <c r="CI249"/>
  <c r="CH249"/>
  <c r="CG249"/>
  <c r="CF249"/>
  <c r="CE249"/>
  <c r="CD249"/>
  <c r="CC249"/>
  <c r="CB249"/>
  <c r="CA249"/>
  <c r="BZ249"/>
  <c r="BY249"/>
  <c r="BX249"/>
  <c r="BW249"/>
  <c r="BV249"/>
  <c r="BU249"/>
  <c r="BT249"/>
  <c r="BS249"/>
  <c r="BR249"/>
  <c r="BQ249"/>
  <c r="BP249"/>
  <c r="BO249"/>
  <c r="BN249"/>
  <c r="DU248"/>
  <c r="DT248"/>
  <c r="DS248"/>
  <c r="DR248"/>
  <c r="DQ248"/>
  <c r="DP248"/>
  <c r="DO248"/>
  <c r="DN248"/>
  <c r="DM248"/>
  <c r="DL248"/>
  <c r="DK248"/>
  <c r="DJ248"/>
  <c r="DI248"/>
  <c r="DH248"/>
  <c r="DG248"/>
  <c r="DF248"/>
  <c r="DE248"/>
  <c r="DD248"/>
  <c r="DC248"/>
  <c r="DB248"/>
  <c r="DA248"/>
  <c r="CZ248"/>
  <c r="CY248"/>
  <c r="CX248"/>
  <c r="CW248"/>
  <c r="CV248"/>
  <c r="CU248"/>
  <c r="CT248"/>
  <c r="CS248"/>
  <c r="CR248"/>
  <c r="CQ248"/>
  <c r="CP248"/>
  <c r="CO248"/>
  <c r="CN248"/>
  <c r="CM248"/>
  <c r="CL248"/>
  <c r="CK248"/>
  <c r="CJ248"/>
  <c r="CI248"/>
  <c r="CH248"/>
  <c r="CG248"/>
  <c r="CF248"/>
  <c r="CE248"/>
  <c r="CD248"/>
  <c r="CC248"/>
  <c r="CB248"/>
  <c r="CA248"/>
  <c r="BZ248"/>
  <c r="BY248"/>
  <c r="BX248"/>
  <c r="BW248"/>
  <c r="BV248"/>
  <c r="BU248"/>
  <c r="BT248"/>
  <c r="BS248"/>
  <c r="BR248"/>
  <c r="BQ248"/>
  <c r="BP248"/>
  <c r="BO248"/>
  <c r="BN248"/>
  <c r="DU247"/>
  <c r="DT247"/>
  <c r="DS247"/>
  <c r="DR247"/>
  <c r="DQ247"/>
  <c r="DP247"/>
  <c r="DO247"/>
  <c r="DN247"/>
  <c r="DM247"/>
  <c r="DL247"/>
  <c r="DK247"/>
  <c r="DJ247"/>
  <c r="DI247"/>
  <c r="DH247"/>
  <c r="DG247"/>
  <c r="DF247"/>
  <c r="DE247"/>
  <c r="DD247"/>
  <c r="DC247"/>
  <c r="DB247"/>
  <c r="DA247"/>
  <c r="CZ247"/>
  <c r="CY247"/>
  <c r="CX247"/>
  <c r="CW247"/>
  <c r="CV247"/>
  <c r="CU247"/>
  <c r="CT247"/>
  <c r="CS247"/>
  <c r="CR247"/>
  <c r="CQ247"/>
  <c r="CP247"/>
  <c r="CO247"/>
  <c r="CN247"/>
  <c r="CM247"/>
  <c r="CL247"/>
  <c r="CK247"/>
  <c r="CJ247"/>
  <c r="CI247"/>
  <c r="CH247"/>
  <c r="CG247"/>
  <c r="CF247"/>
  <c r="CE247"/>
  <c r="CD247"/>
  <c r="CC247"/>
  <c r="CB247"/>
  <c r="CA247"/>
  <c r="BZ247"/>
  <c r="BY247"/>
  <c r="BX247"/>
  <c r="BW247"/>
  <c r="BV247"/>
  <c r="BU247"/>
  <c r="BT247"/>
  <c r="BS247"/>
  <c r="BR247"/>
  <c r="BQ247"/>
  <c r="BP247"/>
  <c r="BO247"/>
  <c r="BN247"/>
  <c r="DU246"/>
  <c r="DT246"/>
  <c r="DS246"/>
  <c r="DR246"/>
  <c r="DQ246"/>
  <c r="DP246"/>
  <c r="DO246"/>
  <c r="DN246"/>
  <c r="DM246"/>
  <c r="DL246"/>
  <c r="DK246"/>
  <c r="DJ246"/>
  <c r="DI246"/>
  <c r="DH246"/>
  <c r="DG246"/>
  <c r="DF246"/>
  <c r="DE246"/>
  <c r="DD246"/>
  <c r="DC246"/>
  <c r="DB246"/>
  <c r="DA246"/>
  <c r="CZ246"/>
  <c r="CY246"/>
  <c r="CX246"/>
  <c r="CW246"/>
  <c r="CV246"/>
  <c r="CU246"/>
  <c r="CT246"/>
  <c r="CS246"/>
  <c r="CR246"/>
  <c r="CQ246"/>
  <c r="CP246"/>
  <c r="CO246"/>
  <c r="CN246"/>
  <c r="CM246"/>
  <c r="CL246"/>
  <c r="CK246"/>
  <c r="CJ246"/>
  <c r="CI246"/>
  <c r="CH246"/>
  <c r="CG246"/>
  <c r="CF246"/>
  <c r="CE246"/>
  <c r="CD246"/>
  <c r="CC246"/>
  <c r="CB246"/>
  <c r="CA246"/>
  <c r="BZ246"/>
  <c r="BY246"/>
  <c r="BX246"/>
  <c r="BW246"/>
  <c r="BV246"/>
  <c r="BU246"/>
  <c r="BT246"/>
  <c r="BS246"/>
  <c r="BR246"/>
  <c r="BQ246"/>
  <c r="BP246"/>
  <c r="BO246"/>
  <c r="BN246"/>
  <c r="DU245"/>
  <c r="DT245"/>
  <c r="DS245"/>
  <c r="DR245"/>
  <c r="DQ245"/>
  <c r="DP245"/>
  <c r="DO245"/>
  <c r="DN245"/>
  <c r="DM245"/>
  <c r="DL245"/>
  <c r="DK245"/>
  <c r="DJ245"/>
  <c r="DI245"/>
  <c r="DH245"/>
  <c r="DG245"/>
  <c r="DF245"/>
  <c r="DE245"/>
  <c r="DD245"/>
  <c r="DC245"/>
  <c r="DB245"/>
  <c r="DA245"/>
  <c r="CZ245"/>
  <c r="CY245"/>
  <c r="CX245"/>
  <c r="CW245"/>
  <c r="CV245"/>
  <c r="CU245"/>
  <c r="CT245"/>
  <c r="CS245"/>
  <c r="CR245"/>
  <c r="CQ245"/>
  <c r="CP245"/>
  <c r="CO245"/>
  <c r="CN245"/>
  <c r="CM245"/>
  <c r="CL245"/>
  <c r="CK245"/>
  <c r="CJ245"/>
  <c r="CI245"/>
  <c r="CH245"/>
  <c r="CG245"/>
  <c r="CF245"/>
  <c r="CE245"/>
  <c r="CD245"/>
  <c r="CC245"/>
  <c r="CB245"/>
  <c r="CA245"/>
  <c r="BZ245"/>
  <c r="BY245"/>
  <c r="BX245"/>
  <c r="BW245"/>
  <c r="BV245"/>
  <c r="BU245"/>
  <c r="BT245"/>
  <c r="BS245"/>
  <c r="BR245"/>
  <c r="BQ245"/>
  <c r="BP245"/>
  <c r="BO245"/>
  <c r="BN245"/>
  <c r="DU244"/>
  <c r="DT244"/>
  <c r="DS244"/>
  <c r="DR244"/>
  <c r="DQ244"/>
  <c r="DP244"/>
  <c r="DO244"/>
  <c r="DN244"/>
  <c r="DM244"/>
  <c r="DL244"/>
  <c r="DK244"/>
  <c r="DJ244"/>
  <c r="DI244"/>
  <c r="DH244"/>
  <c r="DG244"/>
  <c r="DF244"/>
  <c r="DE244"/>
  <c r="DD244"/>
  <c r="DC244"/>
  <c r="DB244"/>
  <c r="DA244"/>
  <c r="CZ244"/>
  <c r="CY244"/>
  <c r="CX244"/>
  <c r="CW244"/>
  <c r="CV244"/>
  <c r="CU244"/>
  <c r="CT244"/>
  <c r="CS244"/>
  <c r="CR244"/>
  <c r="CQ244"/>
  <c r="CP244"/>
  <c r="CO244"/>
  <c r="CN244"/>
  <c r="CM244"/>
  <c r="CL244"/>
  <c r="CK244"/>
  <c r="CJ244"/>
  <c r="CI244"/>
  <c r="CH244"/>
  <c r="CG244"/>
  <c r="CF244"/>
  <c r="CE244"/>
  <c r="CD244"/>
  <c r="CC244"/>
  <c r="CB244"/>
  <c r="CA244"/>
  <c r="BZ244"/>
  <c r="BY244"/>
  <c r="BX244"/>
  <c r="BW244"/>
  <c r="BV244"/>
  <c r="BU244"/>
  <c r="BT244"/>
  <c r="BS244"/>
  <c r="BR244"/>
  <c r="BQ244"/>
  <c r="BP244"/>
  <c r="BO244"/>
  <c r="BN244"/>
  <c r="DU243"/>
  <c r="DT243"/>
  <c r="DS243"/>
  <c r="DR243"/>
  <c r="DQ243"/>
  <c r="DP243"/>
  <c r="DO243"/>
  <c r="DN243"/>
  <c r="DM243"/>
  <c r="DL243"/>
  <c r="DK243"/>
  <c r="DJ243"/>
  <c r="DI243"/>
  <c r="DH243"/>
  <c r="DG243"/>
  <c r="DF243"/>
  <c r="DE243"/>
  <c r="DD243"/>
  <c r="DC243"/>
  <c r="DB243"/>
  <c r="DA243"/>
  <c r="CZ243"/>
  <c r="CY243"/>
  <c r="CX243"/>
  <c r="CW243"/>
  <c r="CV243"/>
  <c r="CU243"/>
  <c r="CT243"/>
  <c r="CS243"/>
  <c r="CR243"/>
  <c r="CQ243"/>
  <c r="CP243"/>
  <c r="CO243"/>
  <c r="CN243"/>
  <c r="CM243"/>
  <c r="CL243"/>
  <c r="CK243"/>
  <c r="CJ243"/>
  <c r="CI243"/>
  <c r="CH243"/>
  <c r="CG243"/>
  <c r="CF243"/>
  <c r="CE243"/>
  <c r="CD243"/>
  <c r="CC243"/>
  <c r="CB243"/>
  <c r="CA243"/>
  <c r="BZ243"/>
  <c r="BY243"/>
  <c r="BX243"/>
  <c r="BW243"/>
  <c r="BV243"/>
  <c r="BU243"/>
  <c r="BT243"/>
  <c r="BS243"/>
  <c r="BR243"/>
  <c r="BQ243"/>
  <c r="BP243"/>
  <c r="BO243"/>
  <c r="BN243"/>
  <c r="DU242"/>
  <c r="DT242"/>
  <c r="DS242"/>
  <c r="DR242"/>
  <c r="DQ242"/>
  <c r="DP242"/>
  <c r="DO242"/>
  <c r="DN242"/>
  <c r="DM242"/>
  <c r="DL242"/>
  <c r="DK242"/>
  <c r="DJ242"/>
  <c r="DI242"/>
  <c r="DH242"/>
  <c r="DG242"/>
  <c r="DF242"/>
  <c r="DE242"/>
  <c r="DD242"/>
  <c r="DC242"/>
  <c r="DB242"/>
  <c r="DA242"/>
  <c r="CZ242"/>
  <c r="CY242"/>
  <c r="CX242"/>
  <c r="CW242"/>
  <c r="CV242"/>
  <c r="CU242"/>
  <c r="CT242"/>
  <c r="CS242"/>
  <c r="CR242"/>
  <c r="CQ242"/>
  <c r="CP242"/>
  <c r="CO242"/>
  <c r="CN242"/>
  <c r="CM242"/>
  <c r="CL242"/>
  <c r="CK242"/>
  <c r="CJ242"/>
  <c r="CI242"/>
  <c r="CH242"/>
  <c r="CG242"/>
  <c r="CF242"/>
  <c r="CE242"/>
  <c r="CD242"/>
  <c r="CC242"/>
  <c r="CB242"/>
  <c r="CA242"/>
  <c r="BZ242"/>
  <c r="BY242"/>
  <c r="BX242"/>
  <c r="BW242"/>
  <c r="BV242"/>
  <c r="BU242"/>
  <c r="BT242"/>
  <c r="BS242"/>
  <c r="BR242"/>
  <c r="BQ242"/>
  <c r="BP242"/>
  <c r="BO242"/>
  <c r="BN242"/>
  <c r="DU241"/>
  <c r="DT241"/>
  <c r="DS241"/>
  <c r="DR241"/>
  <c r="DQ241"/>
  <c r="DP241"/>
  <c r="DO241"/>
  <c r="DN241"/>
  <c r="DM241"/>
  <c r="DL241"/>
  <c r="DK241"/>
  <c r="DJ241"/>
  <c r="DI241"/>
  <c r="DH241"/>
  <c r="DG241"/>
  <c r="DF241"/>
  <c r="DE241"/>
  <c r="DD241"/>
  <c r="DC241"/>
  <c r="DB241"/>
  <c r="DA241"/>
  <c r="CZ241"/>
  <c r="CY241"/>
  <c r="CX241"/>
  <c r="CW241"/>
  <c r="CV241"/>
  <c r="CU241"/>
  <c r="CT241"/>
  <c r="CS241"/>
  <c r="CR241"/>
  <c r="CQ241"/>
  <c r="CP241"/>
  <c r="CO241"/>
  <c r="CN241"/>
  <c r="CM241"/>
  <c r="CL241"/>
  <c r="CK241"/>
  <c r="CJ241"/>
  <c r="CI241"/>
  <c r="CH241"/>
  <c r="CG241"/>
  <c r="CF241"/>
  <c r="CE241"/>
  <c r="CD241"/>
  <c r="CC241"/>
  <c r="CB241"/>
  <c r="CA241"/>
  <c r="BZ241"/>
  <c r="BY241"/>
  <c r="BX241"/>
  <c r="BW241"/>
  <c r="BV241"/>
  <c r="BU241"/>
  <c r="BT241"/>
  <c r="BS241"/>
  <c r="BR241"/>
  <c r="BQ241"/>
  <c r="BP241"/>
  <c r="BO241"/>
  <c r="BN241"/>
  <c r="D241"/>
  <c r="DU240"/>
  <c r="DT240"/>
  <c r="DS240"/>
  <c r="DR240"/>
  <c r="DQ240"/>
  <c r="DP240"/>
  <c r="DO240"/>
  <c r="DN240"/>
  <c r="DM240"/>
  <c r="DL240"/>
  <c r="DK240"/>
  <c r="DJ240"/>
  <c r="DI240"/>
  <c r="DH240"/>
  <c r="DG240"/>
  <c r="DF240"/>
  <c r="DE240"/>
  <c r="DD240"/>
  <c r="DC240"/>
  <c r="DB240"/>
  <c r="DA240"/>
  <c r="CZ240"/>
  <c r="CY240"/>
  <c r="CX240"/>
  <c r="CW240"/>
  <c r="CV240"/>
  <c r="CU240"/>
  <c r="CT240"/>
  <c r="CS240"/>
  <c r="CR240"/>
  <c r="CQ240"/>
  <c r="CP240"/>
  <c r="CO240"/>
  <c r="CN240"/>
  <c r="CM240"/>
  <c r="CL240"/>
  <c r="CK240"/>
  <c r="CJ240"/>
  <c r="CI240"/>
  <c r="CH240"/>
  <c r="CG240"/>
  <c r="CF240"/>
  <c r="CE240"/>
  <c r="CD240"/>
  <c r="CC240"/>
  <c r="CB240"/>
  <c r="CA240"/>
  <c r="BZ240"/>
  <c r="BY240"/>
  <c r="BX240"/>
  <c r="BW240"/>
  <c r="BV240"/>
  <c r="BU240"/>
  <c r="BT240"/>
  <c r="BS240"/>
  <c r="BR240"/>
  <c r="BQ240"/>
  <c r="BP240"/>
  <c r="BO240"/>
  <c r="BN240"/>
  <c r="DU239"/>
  <c r="DT239"/>
  <c r="DS239"/>
  <c r="DR239"/>
  <c r="DQ239"/>
  <c r="DP239"/>
  <c r="DO239"/>
  <c r="DN239"/>
  <c r="DM239"/>
  <c r="DL239"/>
  <c r="DK239"/>
  <c r="DJ239"/>
  <c r="DI239"/>
  <c r="DH239"/>
  <c r="DG239"/>
  <c r="DF239"/>
  <c r="DE239"/>
  <c r="DD239"/>
  <c r="DC239"/>
  <c r="DB239"/>
  <c r="DA239"/>
  <c r="CZ239"/>
  <c r="CY239"/>
  <c r="CX239"/>
  <c r="CW239"/>
  <c r="CV239"/>
  <c r="CU239"/>
  <c r="CT239"/>
  <c r="CS239"/>
  <c r="CR239"/>
  <c r="CQ239"/>
  <c r="CP239"/>
  <c r="CO239"/>
  <c r="CN239"/>
  <c r="CM239"/>
  <c r="CL239"/>
  <c r="CK239"/>
  <c r="CJ239"/>
  <c r="CI239"/>
  <c r="CH239"/>
  <c r="CG239"/>
  <c r="CF239"/>
  <c r="CE239"/>
  <c r="CD239"/>
  <c r="CC239"/>
  <c r="CB239"/>
  <c r="CA239"/>
  <c r="BZ239"/>
  <c r="BY239"/>
  <c r="BX239"/>
  <c r="BW239"/>
  <c r="BV239"/>
  <c r="BU239"/>
  <c r="BT239"/>
  <c r="BS239"/>
  <c r="BR239"/>
  <c r="BQ239"/>
  <c r="BP239"/>
  <c r="BO239"/>
  <c r="BN239"/>
  <c r="DU238"/>
  <c r="DT238"/>
  <c r="DS238"/>
  <c r="DR238"/>
  <c r="DQ238"/>
  <c r="DP238"/>
  <c r="DO238"/>
  <c r="DN238"/>
  <c r="DM238"/>
  <c r="DL238"/>
  <c r="DK238"/>
  <c r="DJ238"/>
  <c r="DI238"/>
  <c r="DH238"/>
  <c r="DG238"/>
  <c r="DF238"/>
  <c r="DE238"/>
  <c r="DD238"/>
  <c r="DC238"/>
  <c r="DB238"/>
  <c r="DA238"/>
  <c r="CZ238"/>
  <c r="CY238"/>
  <c r="CX238"/>
  <c r="CW238"/>
  <c r="CV238"/>
  <c r="CU238"/>
  <c r="CT238"/>
  <c r="CS238"/>
  <c r="CR238"/>
  <c r="CQ238"/>
  <c r="CP238"/>
  <c r="CO238"/>
  <c r="CN238"/>
  <c r="CM238"/>
  <c r="CL238"/>
  <c r="CK238"/>
  <c r="CJ238"/>
  <c r="CI238"/>
  <c r="CH238"/>
  <c r="CG238"/>
  <c r="CF238"/>
  <c r="CE238"/>
  <c r="CD238"/>
  <c r="CC238"/>
  <c r="CB238"/>
  <c r="CA238"/>
  <c r="BZ238"/>
  <c r="BY238"/>
  <c r="BX238"/>
  <c r="BW238"/>
  <c r="BV238"/>
  <c r="BU238"/>
  <c r="BT238"/>
  <c r="BS238"/>
  <c r="BR238"/>
  <c r="BQ238"/>
  <c r="BP238"/>
  <c r="BO238"/>
  <c r="BN238"/>
  <c r="DU237"/>
  <c r="DT237"/>
  <c r="DS237"/>
  <c r="DR237"/>
  <c r="DQ237"/>
  <c r="DP237"/>
  <c r="DO237"/>
  <c r="DN237"/>
  <c r="DM237"/>
  <c r="DL237"/>
  <c r="DK237"/>
  <c r="DJ237"/>
  <c r="DI237"/>
  <c r="DH237"/>
  <c r="DG237"/>
  <c r="DF237"/>
  <c r="DE237"/>
  <c r="DD237"/>
  <c r="DC237"/>
  <c r="DB237"/>
  <c r="DA237"/>
  <c r="CZ237"/>
  <c r="CY237"/>
  <c r="CX237"/>
  <c r="CW237"/>
  <c r="CV237"/>
  <c r="CU237"/>
  <c r="CT237"/>
  <c r="CS237"/>
  <c r="CR237"/>
  <c r="CQ237"/>
  <c r="CP237"/>
  <c r="CO237"/>
  <c r="CN237"/>
  <c r="CM237"/>
  <c r="CL237"/>
  <c r="CK237"/>
  <c r="CJ237"/>
  <c r="CI237"/>
  <c r="CH237"/>
  <c r="CG237"/>
  <c r="CF237"/>
  <c r="CE237"/>
  <c r="CD237"/>
  <c r="CC237"/>
  <c r="CB237"/>
  <c r="CA237"/>
  <c r="BZ237"/>
  <c r="BY237"/>
  <c r="BX237"/>
  <c r="BW237"/>
  <c r="BV237"/>
  <c r="BU237"/>
  <c r="BT237"/>
  <c r="BS237"/>
  <c r="BR237"/>
  <c r="BQ237"/>
  <c r="BP237"/>
  <c r="BO237"/>
  <c r="BN237"/>
  <c r="DU236"/>
  <c r="DT236"/>
  <c r="DS236"/>
  <c r="DR236"/>
  <c r="DQ236"/>
  <c r="DP236"/>
  <c r="DO236"/>
  <c r="DN236"/>
  <c r="DM236"/>
  <c r="DL236"/>
  <c r="DK236"/>
  <c r="DJ236"/>
  <c r="DI236"/>
  <c r="DH236"/>
  <c r="DG236"/>
  <c r="DF236"/>
  <c r="DE236"/>
  <c r="DD236"/>
  <c r="DC236"/>
  <c r="DB236"/>
  <c r="DA236"/>
  <c r="CZ236"/>
  <c r="CY236"/>
  <c r="CX236"/>
  <c r="CW236"/>
  <c r="CV236"/>
  <c r="CU236"/>
  <c r="CT236"/>
  <c r="CS236"/>
  <c r="CR236"/>
  <c r="CQ236"/>
  <c r="CP236"/>
  <c r="CO236"/>
  <c r="CN236"/>
  <c r="CM236"/>
  <c r="CL236"/>
  <c r="CK236"/>
  <c r="CJ236"/>
  <c r="CI236"/>
  <c r="CH236"/>
  <c r="CG236"/>
  <c r="CF236"/>
  <c r="CE236"/>
  <c r="CD236"/>
  <c r="CC236"/>
  <c r="CB236"/>
  <c r="CA236"/>
  <c r="BZ236"/>
  <c r="BY236"/>
  <c r="BX236"/>
  <c r="BW236"/>
  <c r="BV236"/>
  <c r="BU236"/>
  <c r="BT236"/>
  <c r="BS236"/>
  <c r="BR236"/>
  <c r="BQ236"/>
  <c r="BP236"/>
  <c r="BO236"/>
  <c r="BN236"/>
  <c r="E236"/>
  <c r="D236"/>
  <c r="C236"/>
  <c r="B236"/>
  <c r="DU235"/>
  <c r="DT235"/>
  <c r="DS235"/>
  <c r="DR235"/>
  <c r="DQ235"/>
  <c r="DP235"/>
  <c r="DO235"/>
  <c r="DN235"/>
  <c r="DM235"/>
  <c r="DL235"/>
  <c r="DK235"/>
  <c r="DJ235"/>
  <c r="DI235"/>
  <c r="DH235"/>
  <c r="DG235"/>
  <c r="DF235"/>
  <c r="DE235"/>
  <c r="DD235"/>
  <c r="DC235"/>
  <c r="DB235"/>
  <c r="DA235"/>
  <c r="CZ235"/>
  <c r="CY235"/>
  <c r="CX235"/>
  <c r="CW235"/>
  <c r="CV235"/>
  <c r="CU235"/>
  <c r="CT235"/>
  <c r="CS235"/>
  <c r="CR235"/>
  <c r="CQ235"/>
  <c r="CP235"/>
  <c r="CO235"/>
  <c r="CN235"/>
  <c r="CM235"/>
  <c r="CL235"/>
  <c r="CK235"/>
  <c r="CJ235"/>
  <c r="CI235"/>
  <c r="CH235"/>
  <c r="CG235"/>
  <c r="CF235"/>
  <c r="CE235"/>
  <c r="CD235"/>
  <c r="CC235"/>
  <c r="CB235"/>
  <c r="CA235"/>
  <c r="BZ235"/>
  <c r="BY235"/>
  <c r="BX235"/>
  <c r="BW235"/>
  <c r="BV235"/>
  <c r="BU235"/>
  <c r="BT235"/>
  <c r="BS235"/>
  <c r="BR235"/>
  <c r="BQ235"/>
  <c r="BP235"/>
  <c r="BO235"/>
  <c r="BN235"/>
  <c r="E235"/>
  <c r="D235"/>
  <c r="C235"/>
  <c r="B235"/>
  <c r="DU234"/>
  <c r="DT234"/>
  <c r="DS234"/>
  <c r="DR234"/>
  <c r="DQ234"/>
  <c r="DP234"/>
  <c r="DO234"/>
  <c r="DN234"/>
  <c r="DM234"/>
  <c r="DL234"/>
  <c r="DK234"/>
  <c r="DJ234"/>
  <c r="DI234"/>
  <c r="DH234"/>
  <c r="DG234"/>
  <c r="DF234"/>
  <c r="DE234"/>
  <c r="DD234"/>
  <c r="DC234"/>
  <c r="DB234"/>
  <c r="DA234"/>
  <c r="CZ234"/>
  <c r="CY234"/>
  <c r="CX234"/>
  <c r="CW234"/>
  <c r="CV234"/>
  <c r="CU234"/>
  <c r="CT234"/>
  <c r="CS234"/>
  <c r="CR234"/>
  <c r="CQ234"/>
  <c r="CP234"/>
  <c r="CO234"/>
  <c r="CN234"/>
  <c r="CM234"/>
  <c r="CL234"/>
  <c r="CK234"/>
  <c r="CJ234"/>
  <c r="CI234"/>
  <c r="CH234"/>
  <c r="CG234"/>
  <c r="CF234"/>
  <c r="CE234"/>
  <c r="CD234"/>
  <c r="CC234"/>
  <c r="CB234"/>
  <c r="CA234"/>
  <c r="BZ234"/>
  <c r="BY234"/>
  <c r="BX234"/>
  <c r="BW234"/>
  <c r="BV234"/>
  <c r="BU234"/>
  <c r="BT234"/>
  <c r="BS234"/>
  <c r="BR234"/>
  <c r="BQ234"/>
  <c r="BP234"/>
  <c r="BO234"/>
  <c r="BN234"/>
  <c r="E234"/>
  <c r="D234"/>
  <c r="C234"/>
  <c r="B234"/>
  <c r="DU233"/>
  <c r="DT233"/>
  <c r="DS233"/>
  <c r="DR233"/>
  <c r="DQ233"/>
  <c r="DP233"/>
  <c r="DO233"/>
  <c r="DN233"/>
  <c r="DM233"/>
  <c r="DL233"/>
  <c r="DK233"/>
  <c r="DJ233"/>
  <c r="DI233"/>
  <c r="DH233"/>
  <c r="DG233"/>
  <c r="DF233"/>
  <c r="DE233"/>
  <c r="DD233"/>
  <c r="DC233"/>
  <c r="DB233"/>
  <c r="DA233"/>
  <c r="CZ233"/>
  <c r="CY233"/>
  <c r="CX233"/>
  <c r="CW233"/>
  <c r="CV233"/>
  <c r="CU233"/>
  <c r="CT233"/>
  <c r="CS233"/>
  <c r="CR233"/>
  <c r="CQ233"/>
  <c r="CP233"/>
  <c r="CO233"/>
  <c r="CN233"/>
  <c r="CM233"/>
  <c r="CL233"/>
  <c r="CK233"/>
  <c r="CJ233"/>
  <c r="CI233"/>
  <c r="CH233"/>
  <c r="CG233"/>
  <c r="CF233"/>
  <c r="CE233"/>
  <c r="CD233"/>
  <c r="CC233"/>
  <c r="CB233"/>
  <c r="CA233"/>
  <c r="BZ233"/>
  <c r="BY233"/>
  <c r="BX233"/>
  <c r="BW233"/>
  <c r="BV233"/>
  <c r="BU233"/>
  <c r="BT233"/>
  <c r="BS233"/>
  <c r="BR233"/>
  <c r="BQ233"/>
  <c r="BP233"/>
  <c r="BO233"/>
  <c r="BN233"/>
  <c r="E233"/>
  <c r="D233"/>
  <c r="C233"/>
  <c r="B233"/>
  <c r="DU232"/>
  <c r="DT232"/>
  <c r="DS232"/>
  <c r="DR232"/>
  <c r="DQ232"/>
  <c r="DP232"/>
  <c r="DO232"/>
  <c r="DN232"/>
  <c r="DM232"/>
  <c r="DL232"/>
  <c r="DK232"/>
  <c r="DJ232"/>
  <c r="DI232"/>
  <c r="DH232"/>
  <c r="DG232"/>
  <c r="DF232"/>
  <c r="DE232"/>
  <c r="DD232"/>
  <c r="DC232"/>
  <c r="DB232"/>
  <c r="DA232"/>
  <c r="CZ232"/>
  <c r="CY232"/>
  <c r="CX232"/>
  <c r="CW232"/>
  <c r="CV232"/>
  <c r="CU232"/>
  <c r="CT232"/>
  <c r="CS232"/>
  <c r="CR232"/>
  <c r="CQ232"/>
  <c r="CP232"/>
  <c r="CO232"/>
  <c r="CN232"/>
  <c r="CM232"/>
  <c r="CL232"/>
  <c r="CK232"/>
  <c r="CJ232"/>
  <c r="CI232"/>
  <c r="CH232"/>
  <c r="CG232"/>
  <c r="CF232"/>
  <c r="CE232"/>
  <c r="CD232"/>
  <c r="CC232"/>
  <c r="CB232"/>
  <c r="CA232"/>
  <c r="BZ232"/>
  <c r="BY232"/>
  <c r="BX232"/>
  <c r="BW232"/>
  <c r="BV232"/>
  <c r="BU232"/>
  <c r="BT232"/>
  <c r="BS232"/>
  <c r="BR232"/>
  <c r="BQ232"/>
  <c r="BP232"/>
  <c r="BO232"/>
  <c r="BN232"/>
  <c r="E232"/>
  <c r="D232"/>
  <c r="C232"/>
  <c r="B232"/>
  <c r="DU231"/>
  <c r="DT231"/>
  <c r="DS231"/>
  <c r="DR231"/>
  <c r="DQ231"/>
  <c r="DP231"/>
  <c r="DO231"/>
  <c r="DN231"/>
  <c r="DM231"/>
  <c r="DL231"/>
  <c r="DK231"/>
  <c r="DJ231"/>
  <c r="DI231"/>
  <c r="DH231"/>
  <c r="DG231"/>
  <c r="DF231"/>
  <c r="DE231"/>
  <c r="DD231"/>
  <c r="DC231"/>
  <c r="DB231"/>
  <c r="DA231"/>
  <c r="CZ231"/>
  <c r="CY231"/>
  <c r="CX231"/>
  <c r="CW231"/>
  <c r="CV231"/>
  <c r="CU231"/>
  <c r="CT231"/>
  <c r="CS231"/>
  <c r="CR231"/>
  <c r="CQ231"/>
  <c r="CP231"/>
  <c r="CO231"/>
  <c r="CN231"/>
  <c r="CM231"/>
  <c r="CL231"/>
  <c r="CK231"/>
  <c r="CJ231"/>
  <c r="CI231"/>
  <c r="CH231"/>
  <c r="CG231"/>
  <c r="CF231"/>
  <c r="CE231"/>
  <c r="CD231"/>
  <c r="CC231"/>
  <c r="CB231"/>
  <c r="CA231"/>
  <c r="BZ231"/>
  <c r="BY231"/>
  <c r="BX231"/>
  <c r="BW231"/>
  <c r="BV231"/>
  <c r="BU231"/>
  <c r="BT231"/>
  <c r="BS231"/>
  <c r="BR231"/>
  <c r="BQ231"/>
  <c r="BP231"/>
  <c r="BO231"/>
  <c r="BN231"/>
  <c r="E231"/>
  <c r="D231"/>
  <c r="C231"/>
  <c r="B231"/>
  <c r="DU230"/>
  <c r="DT230"/>
  <c r="DS230"/>
  <c r="DR230"/>
  <c r="DQ230"/>
  <c r="DP230"/>
  <c r="DO230"/>
  <c r="DN230"/>
  <c r="DM230"/>
  <c r="DL230"/>
  <c r="DK230"/>
  <c r="DJ230"/>
  <c r="DI230"/>
  <c r="DH230"/>
  <c r="DG230"/>
  <c r="DF230"/>
  <c r="DE230"/>
  <c r="DD230"/>
  <c r="DC230"/>
  <c r="DB230"/>
  <c r="DA230"/>
  <c r="CZ230"/>
  <c r="CY230"/>
  <c r="CX230"/>
  <c r="CW230"/>
  <c r="CV230"/>
  <c r="CU230"/>
  <c r="CT230"/>
  <c r="CS230"/>
  <c r="CR230"/>
  <c r="CQ230"/>
  <c r="CP230"/>
  <c r="CO230"/>
  <c r="CN230"/>
  <c r="CM230"/>
  <c r="CL230"/>
  <c r="CK230"/>
  <c r="CJ230"/>
  <c r="CI230"/>
  <c r="CH230"/>
  <c r="CG230"/>
  <c r="CF230"/>
  <c r="CE230"/>
  <c r="CD230"/>
  <c r="CC230"/>
  <c r="CB230"/>
  <c r="CA230"/>
  <c r="BZ230"/>
  <c r="BY230"/>
  <c r="BX230"/>
  <c r="BW230"/>
  <c r="BV230"/>
  <c r="BU230"/>
  <c r="BT230"/>
  <c r="BS230"/>
  <c r="BR230"/>
  <c r="BQ230"/>
  <c r="BP230"/>
  <c r="BO230"/>
  <c r="BN230"/>
  <c r="E230"/>
  <c r="D230"/>
  <c r="C230"/>
  <c r="B230"/>
  <c r="DU229"/>
  <c r="DT229"/>
  <c r="DS229"/>
  <c r="DR229"/>
  <c r="DQ229"/>
  <c r="DP229"/>
  <c r="DO229"/>
  <c r="DN229"/>
  <c r="DM229"/>
  <c r="DL229"/>
  <c r="DK229"/>
  <c r="DJ229"/>
  <c r="DI229"/>
  <c r="DH229"/>
  <c r="DG229"/>
  <c r="DF229"/>
  <c r="DE229"/>
  <c r="DD229"/>
  <c r="DC229"/>
  <c r="DB229"/>
  <c r="DA229"/>
  <c r="CZ229"/>
  <c r="CY229"/>
  <c r="CX229"/>
  <c r="CW229"/>
  <c r="CV229"/>
  <c r="CU229"/>
  <c r="CT229"/>
  <c r="CS229"/>
  <c r="CR229"/>
  <c r="CQ229"/>
  <c r="CP229"/>
  <c r="CO229"/>
  <c r="CN229"/>
  <c r="CM229"/>
  <c r="CL229"/>
  <c r="CK229"/>
  <c r="CJ229"/>
  <c r="CI229"/>
  <c r="CH229"/>
  <c r="CG229"/>
  <c r="CF229"/>
  <c r="CE229"/>
  <c r="CD229"/>
  <c r="CC229"/>
  <c r="CB229"/>
  <c r="CA229"/>
  <c r="BZ229"/>
  <c r="BY229"/>
  <c r="BX229"/>
  <c r="BW229"/>
  <c r="BV229"/>
  <c r="BU229"/>
  <c r="BT229"/>
  <c r="BS229"/>
  <c r="BR229"/>
  <c r="BQ229"/>
  <c r="BP229"/>
  <c r="BO229"/>
  <c r="BN229"/>
  <c r="E229"/>
  <c r="D229"/>
  <c r="C229"/>
  <c r="B229"/>
  <c r="DU228"/>
  <c r="DT228"/>
  <c r="DS228"/>
  <c r="DR228"/>
  <c r="DQ228"/>
  <c r="DP228"/>
  <c r="DO228"/>
  <c r="DN228"/>
  <c r="DM228"/>
  <c r="DL228"/>
  <c r="DK228"/>
  <c r="DJ228"/>
  <c r="DI228"/>
  <c r="DH228"/>
  <c r="DG228"/>
  <c r="DF228"/>
  <c r="DE228"/>
  <c r="DD228"/>
  <c r="DC228"/>
  <c r="DB228"/>
  <c r="DA228"/>
  <c r="CZ228"/>
  <c r="CY228"/>
  <c r="CX228"/>
  <c r="CW228"/>
  <c r="CV228"/>
  <c r="CU228"/>
  <c r="CT228"/>
  <c r="CS228"/>
  <c r="CR228"/>
  <c r="CQ228"/>
  <c r="CP228"/>
  <c r="CO228"/>
  <c r="CN228"/>
  <c r="CM228"/>
  <c r="CL228"/>
  <c r="CK228"/>
  <c r="CJ228"/>
  <c r="CI228"/>
  <c r="CH228"/>
  <c r="CG228"/>
  <c r="CF228"/>
  <c r="CE228"/>
  <c r="CD228"/>
  <c r="CC228"/>
  <c r="CB228"/>
  <c r="CA228"/>
  <c r="BZ228"/>
  <c r="BY228"/>
  <c r="BX228"/>
  <c r="BW228"/>
  <c r="BV228"/>
  <c r="BU228"/>
  <c r="BT228"/>
  <c r="BS228"/>
  <c r="BR228"/>
  <c r="BQ228"/>
  <c r="BP228"/>
  <c r="BO228"/>
  <c r="BN228"/>
  <c r="E228"/>
  <c r="D228"/>
  <c r="C228"/>
  <c r="B228"/>
  <c r="DU227"/>
  <c r="DT227"/>
  <c r="DS227"/>
  <c r="DR227"/>
  <c r="DQ227"/>
  <c r="DP227"/>
  <c r="DO227"/>
  <c r="DN227"/>
  <c r="DM227"/>
  <c r="DL227"/>
  <c r="DK227"/>
  <c r="DJ227"/>
  <c r="DI227"/>
  <c r="DH227"/>
  <c r="DG227"/>
  <c r="DF227"/>
  <c r="DE227"/>
  <c r="DD227"/>
  <c r="DC227"/>
  <c r="DB227"/>
  <c r="DA227"/>
  <c r="CZ227"/>
  <c r="CY227"/>
  <c r="CX227"/>
  <c r="CW227"/>
  <c r="CV227"/>
  <c r="CU227"/>
  <c r="CT227"/>
  <c r="CS227"/>
  <c r="CR227"/>
  <c r="CQ227"/>
  <c r="CP227"/>
  <c r="CO227"/>
  <c r="CN227"/>
  <c r="CM227"/>
  <c r="CL227"/>
  <c r="CK227"/>
  <c r="CJ227"/>
  <c r="CI227"/>
  <c r="CH227"/>
  <c r="CG227"/>
  <c r="CF227"/>
  <c r="CE227"/>
  <c r="CD227"/>
  <c r="CC227"/>
  <c r="CB227"/>
  <c r="CA227"/>
  <c r="BZ227"/>
  <c r="BY227"/>
  <c r="BX227"/>
  <c r="BW227"/>
  <c r="BV227"/>
  <c r="BU227"/>
  <c r="BT227"/>
  <c r="BS227"/>
  <c r="BR227"/>
  <c r="BQ227"/>
  <c r="BP227"/>
  <c r="BO227"/>
  <c r="BN227"/>
  <c r="E227"/>
  <c r="D227"/>
  <c r="C227"/>
  <c r="B227"/>
  <c r="DU226"/>
  <c r="DT226"/>
  <c r="DS226"/>
  <c r="DR226"/>
  <c r="DQ226"/>
  <c r="DP226"/>
  <c r="DO226"/>
  <c r="DN226"/>
  <c r="DM226"/>
  <c r="DL226"/>
  <c r="DK226"/>
  <c r="DJ226"/>
  <c r="DI226"/>
  <c r="DH226"/>
  <c r="DG226"/>
  <c r="DF226"/>
  <c r="DE226"/>
  <c r="DD226"/>
  <c r="DC226"/>
  <c r="DB226"/>
  <c r="DA226"/>
  <c r="CZ226"/>
  <c r="CY226"/>
  <c r="CX226"/>
  <c r="CW226"/>
  <c r="CV226"/>
  <c r="CU226"/>
  <c r="CT226"/>
  <c r="CS226"/>
  <c r="CR226"/>
  <c r="CQ226"/>
  <c r="CP226"/>
  <c r="CO226"/>
  <c r="CN226"/>
  <c r="CM226"/>
  <c r="CL226"/>
  <c r="CK226"/>
  <c r="CJ226"/>
  <c r="CI226"/>
  <c r="CH226"/>
  <c r="CG226"/>
  <c r="CF226"/>
  <c r="CE226"/>
  <c r="CD226"/>
  <c r="CC226"/>
  <c r="CB226"/>
  <c r="CA226"/>
  <c r="BZ226"/>
  <c r="BY226"/>
  <c r="BX226"/>
  <c r="BW226"/>
  <c r="BV226"/>
  <c r="BU226"/>
  <c r="BT226"/>
  <c r="BS226"/>
  <c r="BR226"/>
  <c r="BQ226"/>
  <c r="BP226"/>
  <c r="BO226"/>
  <c r="BN226"/>
  <c r="E226"/>
  <c r="D226"/>
  <c r="C226"/>
  <c r="B226"/>
  <c r="DU225"/>
  <c r="DT225"/>
  <c r="DS225"/>
  <c r="DR225"/>
  <c r="DQ225"/>
  <c r="DP225"/>
  <c r="DO225"/>
  <c r="DN225"/>
  <c r="DM225"/>
  <c r="DL225"/>
  <c r="DK225"/>
  <c r="DJ225"/>
  <c r="DI225"/>
  <c r="DH225"/>
  <c r="DG225"/>
  <c r="DF225"/>
  <c r="DE225"/>
  <c r="DD225"/>
  <c r="DC225"/>
  <c r="DB225"/>
  <c r="DA225"/>
  <c r="CZ225"/>
  <c r="CY225"/>
  <c r="CX225"/>
  <c r="CW225"/>
  <c r="CV225"/>
  <c r="CU225"/>
  <c r="CT225"/>
  <c r="CS225"/>
  <c r="CR225"/>
  <c r="CQ225"/>
  <c r="CP225"/>
  <c r="CO225"/>
  <c r="CN225"/>
  <c r="CM225"/>
  <c r="CL225"/>
  <c r="CK225"/>
  <c r="CJ225"/>
  <c r="CI225"/>
  <c r="CH225"/>
  <c r="CG225"/>
  <c r="CF225"/>
  <c r="CE225"/>
  <c r="CD225"/>
  <c r="CC225"/>
  <c r="CB225"/>
  <c r="CA225"/>
  <c r="BZ225"/>
  <c r="BY225"/>
  <c r="BX225"/>
  <c r="BW225"/>
  <c r="BV225"/>
  <c r="BU225"/>
  <c r="BT225"/>
  <c r="BS225"/>
  <c r="BR225"/>
  <c r="BQ225"/>
  <c r="BP225"/>
  <c r="BO225"/>
  <c r="BN225"/>
  <c r="E225"/>
  <c r="D225"/>
  <c r="C225"/>
  <c r="B225"/>
  <c r="DU224"/>
  <c r="DT224"/>
  <c r="DS224"/>
  <c r="DR224"/>
  <c r="DQ224"/>
  <c r="DP224"/>
  <c r="DO224"/>
  <c r="DN224"/>
  <c r="DM224"/>
  <c r="DL224"/>
  <c r="DK224"/>
  <c r="DJ224"/>
  <c r="DI224"/>
  <c r="DH224"/>
  <c r="DG224"/>
  <c r="DF224"/>
  <c r="DE224"/>
  <c r="DD224"/>
  <c r="DC224"/>
  <c r="DB224"/>
  <c r="DA224"/>
  <c r="CZ224"/>
  <c r="CY224"/>
  <c r="CX224"/>
  <c r="CW224"/>
  <c r="CV224"/>
  <c r="CU224"/>
  <c r="CT224"/>
  <c r="CS224"/>
  <c r="CR224"/>
  <c r="CQ224"/>
  <c r="CP224"/>
  <c r="CO224"/>
  <c r="CN224"/>
  <c r="CM224"/>
  <c r="CL224"/>
  <c r="CK224"/>
  <c r="CJ224"/>
  <c r="CI224"/>
  <c r="CH224"/>
  <c r="CG224"/>
  <c r="CF224"/>
  <c r="CE224"/>
  <c r="CD224"/>
  <c r="CC224"/>
  <c r="CB224"/>
  <c r="CA224"/>
  <c r="BZ224"/>
  <c r="BY224"/>
  <c r="BX224"/>
  <c r="BW224"/>
  <c r="BV224"/>
  <c r="BU224"/>
  <c r="BT224"/>
  <c r="BS224"/>
  <c r="BR224"/>
  <c r="BQ224"/>
  <c r="BP224"/>
  <c r="BO224"/>
  <c r="BN224"/>
  <c r="E224"/>
  <c r="D224"/>
  <c r="C224"/>
  <c r="B224"/>
  <c r="DU223"/>
  <c r="DT223"/>
  <c r="DS223"/>
  <c r="DR223"/>
  <c r="DQ223"/>
  <c r="DP223"/>
  <c r="DO223"/>
  <c r="DN223"/>
  <c r="DM223"/>
  <c r="DL223"/>
  <c r="DK223"/>
  <c r="DJ223"/>
  <c r="DI223"/>
  <c r="DH223"/>
  <c r="DG223"/>
  <c r="DF223"/>
  <c r="DE223"/>
  <c r="DD223"/>
  <c r="DC223"/>
  <c r="DB223"/>
  <c r="DA223"/>
  <c r="CZ223"/>
  <c r="CY223"/>
  <c r="CX223"/>
  <c r="CW223"/>
  <c r="CV223"/>
  <c r="CU223"/>
  <c r="CT223"/>
  <c r="CS223"/>
  <c r="CR223"/>
  <c r="CQ223"/>
  <c r="CP223"/>
  <c r="CO223"/>
  <c r="CN223"/>
  <c r="CM223"/>
  <c r="CL223"/>
  <c r="CK223"/>
  <c r="CJ223"/>
  <c r="CI223"/>
  <c r="CH223"/>
  <c r="CG223"/>
  <c r="CF223"/>
  <c r="CE223"/>
  <c r="CD223"/>
  <c r="CC223"/>
  <c r="CB223"/>
  <c r="CA223"/>
  <c r="BZ223"/>
  <c r="BY223"/>
  <c r="BX223"/>
  <c r="BW223"/>
  <c r="BV223"/>
  <c r="BU223"/>
  <c r="BT223"/>
  <c r="BS223"/>
  <c r="BR223"/>
  <c r="BQ223"/>
  <c r="BP223"/>
  <c r="BO223"/>
  <c r="BN223"/>
  <c r="E223"/>
  <c r="D223"/>
  <c r="C223"/>
  <c r="B223"/>
  <c r="DU222"/>
  <c r="DT222"/>
  <c r="DS222"/>
  <c r="DR222"/>
  <c r="DQ222"/>
  <c r="DP222"/>
  <c r="DO222"/>
  <c r="DN222"/>
  <c r="DM222"/>
  <c r="DL222"/>
  <c r="DK222"/>
  <c r="DJ222"/>
  <c r="DI222"/>
  <c r="DH222"/>
  <c r="DG222"/>
  <c r="DF222"/>
  <c r="DE222"/>
  <c r="DD222"/>
  <c r="DC222"/>
  <c r="DB222"/>
  <c r="DA222"/>
  <c r="CZ222"/>
  <c r="CY222"/>
  <c r="CX222"/>
  <c r="CW222"/>
  <c r="CV222"/>
  <c r="CU222"/>
  <c r="CT222"/>
  <c r="CS222"/>
  <c r="CR222"/>
  <c r="CQ222"/>
  <c r="CP222"/>
  <c r="CO222"/>
  <c r="CN222"/>
  <c r="CM222"/>
  <c r="CL222"/>
  <c r="CK222"/>
  <c r="CJ222"/>
  <c r="CI222"/>
  <c r="CH222"/>
  <c r="CG222"/>
  <c r="CF222"/>
  <c r="CE222"/>
  <c r="CD222"/>
  <c r="CC222"/>
  <c r="CB222"/>
  <c r="CA222"/>
  <c r="BZ222"/>
  <c r="BY222"/>
  <c r="BX222"/>
  <c r="BW222"/>
  <c r="BV222"/>
  <c r="BU222"/>
  <c r="BT222"/>
  <c r="BS222"/>
  <c r="BR222"/>
  <c r="BQ222"/>
  <c r="BP222"/>
  <c r="BO222"/>
  <c r="BN222"/>
  <c r="E222"/>
  <c r="D222"/>
  <c r="C222"/>
  <c r="B222"/>
  <c r="DU221"/>
  <c r="DT221"/>
  <c r="DS221"/>
  <c r="DR221"/>
  <c r="DQ221"/>
  <c r="DP221"/>
  <c r="DO221"/>
  <c r="DN221"/>
  <c r="DM221"/>
  <c r="DL221"/>
  <c r="DK221"/>
  <c r="DJ221"/>
  <c r="DI221"/>
  <c r="DH221"/>
  <c r="DG221"/>
  <c r="DF221"/>
  <c r="DE221"/>
  <c r="DD221"/>
  <c r="DC221"/>
  <c r="DB221"/>
  <c r="DA221"/>
  <c r="CZ221"/>
  <c r="CY221"/>
  <c r="CX221"/>
  <c r="CW221"/>
  <c r="CV221"/>
  <c r="CU221"/>
  <c r="CT221"/>
  <c r="CS221"/>
  <c r="CR221"/>
  <c r="CQ221"/>
  <c r="CP221"/>
  <c r="CO221"/>
  <c r="CN221"/>
  <c r="CM221"/>
  <c r="CL221"/>
  <c r="CK221"/>
  <c r="CJ221"/>
  <c r="CI221"/>
  <c r="CH221"/>
  <c r="CG221"/>
  <c r="CF221"/>
  <c r="CE221"/>
  <c r="CD221"/>
  <c r="CC221"/>
  <c r="CB221"/>
  <c r="CA221"/>
  <c r="BZ221"/>
  <c r="BY221"/>
  <c r="BX221"/>
  <c r="BW221"/>
  <c r="BV221"/>
  <c r="BU221"/>
  <c r="BT221"/>
  <c r="BS221"/>
  <c r="BR221"/>
  <c r="BQ221"/>
  <c r="BP221"/>
  <c r="BO221"/>
  <c r="BN221"/>
  <c r="E221"/>
  <c r="D221"/>
  <c r="C221"/>
  <c r="B221"/>
  <c r="DU220"/>
  <c r="DT220"/>
  <c r="DS220"/>
  <c r="DR220"/>
  <c r="DQ220"/>
  <c r="DP220"/>
  <c r="DO220"/>
  <c r="DN220"/>
  <c r="DM220"/>
  <c r="DL220"/>
  <c r="DK220"/>
  <c r="DJ220"/>
  <c r="DI220"/>
  <c r="DH220"/>
  <c r="DG220"/>
  <c r="DF220"/>
  <c r="DE220"/>
  <c r="DD220"/>
  <c r="DC220"/>
  <c r="DB220"/>
  <c r="DA220"/>
  <c r="CZ220"/>
  <c r="CY220"/>
  <c r="CX220"/>
  <c r="CW220"/>
  <c r="CV220"/>
  <c r="CU220"/>
  <c r="CT220"/>
  <c r="CS220"/>
  <c r="CR220"/>
  <c r="CQ220"/>
  <c r="CP220"/>
  <c r="CO220"/>
  <c r="CN220"/>
  <c r="CM220"/>
  <c r="CL220"/>
  <c r="CK220"/>
  <c r="CJ220"/>
  <c r="CI220"/>
  <c r="CH220"/>
  <c r="CG220"/>
  <c r="CF220"/>
  <c r="CE220"/>
  <c r="CD220"/>
  <c r="CC220"/>
  <c r="CB220"/>
  <c r="CA220"/>
  <c r="BZ220"/>
  <c r="BY220"/>
  <c r="BX220"/>
  <c r="BW220"/>
  <c r="BV220"/>
  <c r="BU220"/>
  <c r="BT220"/>
  <c r="BS220"/>
  <c r="BR220"/>
  <c r="BQ220"/>
  <c r="BP220"/>
  <c r="BO220"/>
  <c r="BN220"/>
  <c r="E220"/>
  <c r="D220"/>
  <c r="C220"/>
  <c r="B220"/>
  <c r="DU219"/>
  <c r="DT219"/>
  <c r="DS219"/>
  <c r="DR219"/>
  <c r="DQ219"/>
  <c r="DP219"/>
  <c r="DO219"/>
  <c r="DN219"/>
  <c r="DM219"/>
  <c r="DL219"/>
  <c r="DK219"/>
  <c r="DJ219"/>
  <c r="DI219"/>
  <c r="DH219"/>
  <c r="DG219"/>
  <c r="DF219"/>
  <c r="DE219"/>
  <c r="DD219"/>
  <c r="DC219"/>
  <c r="DB219"/>
  <c r="DA219"/>
  <c r="CZ219"/>
  <c r="CY219"/>
  <c r="CX219"/>
  <c r="CW219"/>
  <c r="CV219"/>
  <c r="CU219"/>
  <c r="CT219"/>
  <c r="CS219"/>
  <c r="CR219"/>
  <c r="CQ219"/>
  <c r="CP219"/>
  <c r="CO219"/>
  <c r="CN219"/>
  <c r="CM219"/>
  <c r="CL219"/>
  <c r="CK219"/>
  <c r="CJ219"/>
  <c r="CI219"/>
  <c r="CH219"/>
  <c r="CG219"/>
  <c r="CF219"/>
  <c r="CE219"/>
  <c r="CD219"/>
  <c r="CC219"/>
  <c r="CB219"/>
  <c r="CA219"/>
  <c r="BZ219"/>
  <c r="BY219"/>
  <c r="BX219"/>
  <c r="BW219"/>
  <c r="BV219"/>
  <c r="BU219"/>
  <c r="BT219"/>
  <c r="BS219"/>
  <c r="BR219"/>
  <c r="BQ219"/>
  <c r="BP219"/>
  <c r="BO219"/>
  <c r="BN219"/>
  <c r="E219"/>
  <c r="D219"/>
  <c r="C219"/>
  <c r="B219"/>
  <c r="DU218"/>
  <c r="DT218"/>
  <c r="DS218"/>
  <c r="DR218"/>
  <c r="DQ218"/>
  <c r="DP218"/>
  <c r="DO218"/>
  <c r="DN218"/>
  <c r="DM218"/>
  <c r="DL218"/>
  <c r="DK218"/>
  <c r="DJ218"/>
  <c r="DI218"/>
  <c r="DH218"/>
  <c r="DG218"/>
  <c r="DF218"/>
  <c r="DE218"/>
  <c r="DD218"/>
  <c r="DC218"/>
  <c r="DB218"/>
  <c r="DA218"/>
  <c r="CZ218"/>
  <c r="CY218"/>
  <c r="CX218"/>
  <c r="CW218"/>
  <c r="CV218"/>
  <c r="CU218"/>
  <c r="CT218"/>
  <c r="CS218"/>
  <c r="CR218"/>
  <c r="CQ218"/>
  <c r="CP218"/>
  <c r="CO218"/>
  <c r="CN218"/>
  <c r="CM218"/>
  <c r="CL218"/>
  <c r="CK218"/>
  <c r="CJ218"/>
  <c r="CI218"/>
  <c r="CH218"/>
  <c r="CG218"/>
  <c r="CF218"/>
  <c r="CE218"/>
  <c r="CD218"/>
  <c r="CC218"/>
  <c r="CB218"/>
  <c r="CA218"/>
  <c r="BZ218"/>
  <c r="BY218"/>
  <c r="BX218"/>
  <c r="BW218"/>
  <c r="BV218"/>
  <c r="BU218"/>
  <c r="BT218"/>
  <c r="BS218"/>
  <c r="BR218"/>
  <c r="BQ218"/>
  <c r="BP218"/>
  <c r="BO218"/>
  <c r="BN218"/>
  <c r="E218"/>
  <c r="D218"/>
  <c r="C218"/>
  <c r="B218"/>
  <c r="DU217"/>
  <c r="DT217"/>
  <c r="DS217"/>
  <c r="DR217"/>
  <c r="DQ217"/>
  <c r="DP217"/>
  <c r="DO217"/>
  <c r="DN217"/>
  <c r="DM217"/>
  <c r="DL217"/>
  <c r="DK217"/>
  <c r="DJ217"/>
  <c r="DI217"/>
  <c r="DH217"/>
  <c r="DG217"/>
  <c r="DF217"/>
  <c r="DE217"/>
  <c r="DD217"/>
  <c r="DC217"/>
  <c r="DB217"/>
  <c r="DA217"/>
  <c r="CZ217"/>
  <c r="CY217"/>
  <c r="CX217"/>
  <c r="CW217"/>
  <c r="CV217"/>
  <c r="CU217"/>
  <c r="CT217"/>
  <c r="CS217"/>
  <c r="CR217"/>
  <c r="CQ217"/>
  <c r="CP217"/>
  <c r="CO217"/>
  <c r="CN217"/>
  <c r="CM217"/>
  <c r="CL217"/>
  <c r="CK217"/>
  <c r="CJ217"/>
  <c r="CI217"/>
  <c r="CH217"/>
  <c r="CG217"/>
  <c r="CF217"/>
  <c r="CE217"/>
  <c r="CD217"/>
  <c r="CC217"/>
  <c r="CB217"/>
  <c r="CA217"/>
  <c r="BZ217"/>
  <c r="BY217"/>
  <c r="BX217"/>
  <c r="BW217"/>
  <c r="BV217"/>
  <c r="BU217"/>
  <c r="BT217"/>
  <c r="BS217"/>
  <c r="BR217"/>
  <c r="BQ217"/>
  <c r="BP217"/>
  <c r="BO217"/>
  <c r="BN217"/>
  <c r="E217"/>
  <c r="D217"/>
  <c r="C217"/>
  <c r="B217"/>
  <c r="DU216"/>
  <c r="DT216"/>
  <c r="DS216"/>
  <c r="DR216"/>
  <c r="DQ216"/>
  <c r="DP216"/>
  <c r="DO216"/>
  <c r="DN216"/>
  <c r="DM216"/>
  <c r="DL216"/>
  <c r="DK216"/>
  <c r="DJ216"/>
  <c r="DI216"/>
  <c r="DH216"/>
  <c r="DG216"/>
  <c r="DF216"/>
  <c r="DE216"/>
  <c r="DD216"/>
  <c r="DC216"/>
  <c r="DB216"/>
  <c r="DA216"/>
  <c r="CZ216"/>
  <c r="CY216"/>
  <c r="CX216"/>
  <c r="CW216"/>
  <c r="CV216"/>
  <c r="CU216"/>
  <c r="CT216"/>
  <c r="CS216"/>
  <c r="CR216"/>
  <c r="CQ216"/>
  <c r="CP216"/>
  <c r="CO216"/>
  <c r="CN216"/>
  <c r="CM216"/>
  <c r="CL216"/>
  <c r="CK216"/>
  <c r="CJ216"/>
  <c r="CI216"/>
  <c r="CH216"/>
  <c r="CG216"/>
  <c r="CF216"/>
  <c r="CE216"/>
  <c r="CD216"/>
  <c r="CC216"/>
  <c r="CB216"/>
  <c r="CA216"/>
  <c r="BZ216"/>
  <c r="BY216"/>
  <c r="BX216"/>
  <c r="BW216"/>
  <c r="BV216"/>
  <c r="BU216"/>
  <c r="BT216"/>
  <c r="BS216"/>
  <c r="BR216"/>
  <c r="BQ216"/>
  <c r="BP216"/>
  <c r="BO216"/>
  <c r="BN216"/>
  <c r="E216"/>
  <c r="D216"/>
  <c r="C216"/>
  <c r="B216"/>
  <c r="DU215"/>
  <c r="DT215"/>
  <c r="DS215"/>
  <c r="DR215"/>
  <c r="DQ215"/>
  <c r="DP215"/>
  <c r="DO215"/>
  <c r="DN215"/>
  <c r="DM215"/>
  <c r="DL215"/>
  <c r="DK215"/>
  <c r="DJ215"/>
  <c r="DI215"/>
  <c r="DH215"/>
  <c r="DG215"/>
  <c r="DF215"/>
  <c r="DE215"/>
  <c r="DD215"/>
  <c r="DC215"/>
  <c r="DB215"/>
  <c r="DA215"/>
  <c r="CZ215"/>
  <c r="CY215"/>
  <c r="CX215"/>
  <c r="CW215"/>
  <c r="CV215"/>
  <c r="CU215"/>
  <c r="CT215"/>
  <c r="CS215"/>
  <c r="CR215"/>
  <c r="CQ215"/>
  <c r="CP215"/>
  <c r="CO215"/>
  <c r="CN215"/>
  <c r="CM215"/>
  <c r="CL215"/>
  <c r="CK215"/>
  <c r="CJ215"/>
  <c r="CI215"/>
  <c r="CH215"/>
  <c r="CG215"/>
  <c r="CF215"/>
  <c r="CE215"/>
  <c r="CD215"/>
  <c r="CC215"/>
  <c r="CB215"/>
  <c r="CA215"/>
  <c r="BZ215"/>
  <c r="BY215"/>
  <c r="BX215"/>
  <c r="BW215"/>
  <c r="BV215"/>
  <c r="BU215"/>
  <c r="BT215"/>
  <c r="BS215"/>
  <c r="BR215"/>
  <c r="BQ215"/>
  <c r="BP215"/>
  <c r="BO215"/>
  <c r="BN215"/>
  <c r="E215"/>
  <c r="D215"/>
  <c r="C215"/>
  <c r="B215"/>
  <c r="DU214"/>
  <c r="DT214"/>
  <c r="DS214"/>
  <c r="DR214"/>
  <c r="DQ214"/>
  <c r="DP214"/>
  <c r="DO214"/>
  <c r="DN214"/>
  <c r="DM214"/>
  <c r="DL214"/>
  <c r="DK214"/>
  <c r="DJ214"/>
  <c r="DI214"/>
  <c r="DH214"/>
  <c r="DG214"/>
  <c r="DF214"/>
  <c r="DE214"/>
  <c r="DD214"/>
  <c r="DC214"/>
  <c r="DB214"/>
  <c r="DA214"/>
  <c r="CZ214"/>
  <c r="CY214"/>
  <c r="CX214"/>
  <c r="CW214"/>
  <c r="CV214"/>
  <c r="CU214"/>
  <c r="CT214"/>
  <c r="CS214"/>
  <c r="CR214"/>
  <c r="CQ214"/>
  <c r="CP214"/>
  <c r="CO214"/>
  <c r="CN214"/>
  <c r="CM214"/>
  <c r="CL214"/>
  <c r="CK214"/>
  <c r="CJ214"/>
  <c r="CI214"/>
  <c r="CH214"/>
  <c r="CG214"/>
  <c r="CF214"/>
  <c r="CE214"/>
  <c r="CD214"/>
  <c r="CC214"/>
  <c r="CB214"/>
  <c r="CA214"/>
  <c r="BZ214"/>
  <c r="BY214"/>
  <c r="BX214"/>
  <c r="BW214"/>
  <c r="BV214"/>
  <c r="BU214"/>
  <c r="BT214"/>
  <c r="BS214"/>
  <c r="BR214"/>
  <c r="BQ214"/>
  <c r="BP214"/>
  <c r="BO214"/>
  <c r="BN214"/>
  <c r="E214"/>
  <c r="D214"/>
  <c r="C214"/>
  <c r="B214"/>
  <c r="DU213"/>
  <c r="DT213"/>
  <c r="DS213"/>
  <c r="DR213"/>
  <c r="DQ213"/>
  <c r="DP213"/>
  <c r="DO213"/>
  <c r="DN213"/>
  <c r="DM213"/>
  <c r="DL213"/>
  <c r="DK213"/>
  <c r="DJ213"/>
  <c r="DI213"/>
  <c r="DH213"/>
  <c r="DG213"/>
  <c r="DF213"/>
  <c r="DE213"/>
  <c r="DD213"/>
  <c r="DC213"/>
  <c r="DB213"/>
  <c r="DA213"/>
  <c r="CZ213"/>
  <c r="CY213"/>
  <c r="CX213"/>
  <c r="CW213"/>
  <c r="CV213"/>
  <c r="CU213"/>
  <c r="CT213"/>
  <c r="CS213"/>
  <c r="CR213"/>
  <c r="CQ213"/>
  <c r="CP213"/>
  <c r="CO213"/>
  <c r="CN213"/>
  <c r="CM213"/>
  <c r="CL213"/>
  <c r="CK213"/>
  <c r="CJ213"/>
  <c r="CI213"/>
  <c r="CH213"/>
  <c r="CG213"/>
  <c r="CF213"/>
  <c r="CE213"/>
  <c r="CD213"/>
  <c r="CC213"/>
  <c r="CB213"/>
  <c r="CA213"/>
  <c r="BZ213"/>
  <c r="BY213"/>
  <c r="BX213"/>
  <c r="BW213"/>
  <c r="BV213"/>
  <c r="BU213"/>
  <c r="BT213"/>
  <c r="BS213"/>
  <c r="BR213"/>
  <c r="BQ213"/>
  <c r="BP213"/>
  <c r="BO213"/>
  <c r="BN213"/>
  <c r="E213"/>
  <c r="D213"/>
  <c r="C213"/>
  <c r="B213"/>
  <c r="DU212"/>
  <c r="DT212"/>
  <c r="DS212"/>
  <c r="DR212"/>
  <c r="DQ212"/>
  <c r="DP212"/>
  <c r="DO212"/>
  <c r="DN212"/>
  <c r="DM212"/>
  <c r="DL212"/>
  <c r="DK212"/>
  <c r="DJ212"/>
  <c r="DI212"/>
  <c r="DH212"/>
  <c r="DG212"/>
  <c r="DF212"/>
  <c r="DE212"/>
  <c r="DD212"/>
  <c r="DC212"/>
  <c r="DB212"/>
  <c r="DA212"/>
  <c r="CZ212"/>
  <c r="CY212"/>
  <c r="CX212"/>
  <c r="CW212"/>
  <c r="CV212"/>
  <c r="CU212"/>
  <c r="CT212"/>
  <c r="CS212"/>
  <c r="CR212"/>
  <c r="CQ212"/>
  <c r="CP212"/>
  <c r="CO212"/>
  <c r="CN212"/>
  <c r="CM212"/>
  <c r="CL212"/>
  <c r="CK212"/>
  <c r="CJ212"/>
  <c r="CI212"/>
  <c r="CH212"/>
  <c r="CG212"/>
  <c r="CF212"/>
  <c r="CE212"/>
  <c r="CD212"/>
  <c r="CC212"/>
  <c r="CB212"/>
  <c r="CA212"/>
  <c r="BZ212"/>
  <c r="BY212"/>
  <c r="BX212"/>
  <c r="BW212"/>
  <c r="BV212"/>
  <c r="BU212"/>
  <c r="BT212"/>
  <c r="BS212"/>
  <c r="BR212"/>
  <c r="BQ212"/>
  <c r="BP212"/>
  <c r="BO212"/>
  <c r="BN212"/>
  <c r="E212"/>
  <c r="D212"/>
  <c r="C212"/>
  <c r="B212"/>
  <c r="DU211"/>
  <c r="DT211"/>
  <c r="DS211"/>
  <c r="DR211"/>
  <c r="DQ211"/>
  <c r="DP211"/>
  <c r="DO211"/>
  <c r="DN211"/>
  <c r="DM211"/>
  <c r="DL211"/>
  <c r="DK211"/>
  <c r="DJ211"/>
  <c r="DI211"/>
  <c r="DH211"/>
  <c r="DG211"/>
  <c r="DF211"/>
  <c r="DE211"/>
  <c r="DD211"/>
  <c r="DC211"/>
  <c r="DB211"/>
  <c r="DA211"/>
  <c r="CZ211"/>
  <c r="CY211"/>
  <c r="CX211"/>
  <c r="CW211"/>
  <c r="CV211"/>
  <c r="CU211"/>
  <c r="CT211"/>
  <c r="CS211"/>
  <c r="CR211"/>
  <c r="CQ211"/>
  <c r="CP211"/>
  <c r="CO211"/>
  <c r="CN211"/>
  <c r="CM211"/>
  <c r="CL211"/>
  <c r="CK211"/>
  <c r="CJ211"/>
  <c r="CI211"/>
  <c r="CH211"/>
  <c r="CG211"/>
  <c r="CF211"/>
  <c r="CE211"/>
  <c r="CD211"/>
  <c r="CC211"/>
  <c r="CB211"/>
  <c r="CA211"/>
  <c r="BZ211"/>
  <c r="BY211"/>
  <c r="BX211"/>
  <c r="BW211"/>
  <c r="BV211"/>
  <c r="BU211"/>
  <c r="BT211"/>
  <c r="BS211"/>
  <c r="BR211"/>
  <c r="BQ211"/>
  <c r="BP211"/>
  <c r="BO211"/>
  <c r="BN211"/>
  <c r="E211"/>
  <c r="D211"/>
  <c r="C211"/>
  <c r="B211"/>
  <c r="DU210"/>
  <c r="DT210"/>
  <c r="DS210"/>
  <c r="DR210"/>
  <c r="DQ210"/>
  <c r="DP210"/>
  <c r="DO210"/>
  <c r="DN210"/>
  <c r="DM210"/>
  <c r="DL210"/>
  <c r="DK210"/>
  <c r="DJ210"/>
  <c r="DI210"/>
  <c r="DH210"/>
  <c r="DG210"/>
  <c r="DF210"/>
  <c r="DE210"/>
  <c r="DD210"/>
  <c r="DC210"/>
  <c r="DB210"/>
  <c r="DA210"/>
  <c r="CZ210"/>
  <c r="CY210"/>
  <c r="CX210"/>
  <c r="CW210"/>
  <c r="CV210"/>
  <c r="CU210"/>
  <c r="CT210"/>
  <c r="CS210"/>
  <c r="CR210"/>
  <c r="CQ210"/>
  <c r="CP210"/>
  <c r="CO210"/>
  <c r="CN210"/>
  <c r="CM210"/>
  <c r="CL210"/>
  <c r="CK210"/>
  <c r="CJ210"/>
  <c r="CI210"/>
  <c r="CH210"/>
  <c r="CG210"/>
  <c r="CF210"/>
  <c r="CE210"/>
  <c r="CD210"/>
  <c r="CC210"/>
  <c r="CB210"/>
  <c r="CA210"/>
  <c r="BZ210"/>
  <c r="BY210"/>
  <c r="BX210"/>
  <c r="BW210"/>
  <c r="BV210"/>
  <c r="BU210"/>
  <c r="BT210"/>
  <c r="BS210"/>
  <c r="BR210"/>
  <c r="BQ210"/>
  <c r="BP210"/>
  <c r="BO210"/>
  <c r="BN210"/>
  <c r="E210"/>
  <c r="D210"/>
  <c r="C210"/>
  <c r="B210"/>
  <c r="DU209"/>
  <c r="DT209"/>
  <c r="DS209"/>
  <c r="DR209"/>
  <c r="DQ209"/>
  <c r="DP209"/>
  <c r="DO209"/>
  <c r="DN209"/>
  <c r="DM209"/>
  <c r="DL209"/>
  <c r="DK209"/>
  <c r="DJ209"/>
  <c r="DI209"/>
  <c r="DH209"/>
  <c r="DG209"/>
  <c r="DF209"/>
  <c r="DE209"/>
  <c r="DD209"/>
  <c r="DC209"/>
  <c r="DB209"/>
  <c r="DA209"/>
  <c r="CZ209"/>
  <c r="CY209"/>
  <c r="CX209"/>
  <c r="CW209"/>
  <c r="CV209"/>
  <c r="CU209"/>
  <c r="CT209"/>
  <c r="CS209"/>
  <c r="CR209"/>
  <c r="CQ209"/>
  <c r="CP209"/>
  <c r="CO209"/>
  <c r="CN209"/>
  <c r="CM209"/>
  <c r="CL209"/>
  <c r="CK209"/>
  <c r="CJ209"/>
  <c r="CI209"/>
  <c r="CH209"/>
  <c r="CG209"/>
  <c r="CF209"/>
  <c r="CE209"/>
  <c r="CD209"/>
  <c r="CC209"/>
  <c r="CB209"/>
  <c r="CA209"/>
  <c r="BZ209"/>
  <c r="BY209"/>
  <c r="BX209"/>
  <c r="BW209"/>
  <c r="BV209"/>
  <c r="BU209"/>
  <c r="BT209"/>
  <c r="BS209"/>
  <c r="BR209"/>
  <c r="BQ209"/>
  <c r="BP209"/>
  <c r="BO209"/>
  <c r="BN209"/>
  <c r="E209"/>
  <c r="D209"/>
  <c r="C209"/>
  <c r="B209"/>
  <c r="DU208"/>
  <c r="DT208"/>
  <c r="DS208"/>
  <c r="DR208"/>
  <c r="DQ208"/>
  <c r="DP208"/>
  <c r="DO208"/>
  <c r="DN208"/>
  <c r="DM208"/>
  <c r="DL208"/>
  <c r="DK208"/>
  <c r="DJ208"/>
  <c r="DI208"/>
  <c r="DH208"/>
  <c r="DG208"/>
  <c r="DF208"/>
  <c r="DE208"/>
  <c r="DD208"/>
  <c r="DC208"/>
  <c r="DB208"/>
  <c r="DA208"/>
  <c r="CZ208"/>
  <c r="CY208"/>
  <c r="CX208"/>
  <c r="CW208"/>
  <c r="CV208"/>
  <c r="CU208"/>
  <c r="CT208"/>
  <c r="CS208"/>
  <c r="CR208"/>
  <c r="CQ208"/>
  <c r="CP208"/>
  <c r="CO208"/>
  <c r="CN208"/>
  <c r="CM208"/>
  <c r="CL208"/>
  <c r="CK208"/>
  <c r="CJ208"/>
  <c r="CI208"/>
  <c r="CH208"/>
  <c r="CG208"/>
  <c r="CF208"/>
  <c r="CE208"/>
  <c r="CD208"/>
  <c r="CC208"/>
  <c r="CB208"/>
  <c r="CA208"/>
  <c r="BZ208"/>
  <c r="BY208"/>
  <c r="BX208"/>
  <c r="BW208"/>
  <c r="BV208"/>
  <c r="BU208"/>
  <c r="BT208"/>
  <c r="BS208"/>
  <c r="BR208"/>
  <c r="BQ208"/>
  <c r="BP208"/>
  <c r="BO208"/>
  <c r="BN208"/>
  <c r="E208"/>
  <c r="D208"/>
  <c r="C208"/>
  <c r="B208"/>
  <c r="DU207"/>
  <c r="DT207"/>
  <c r="DS207"/>
  <c r="DR207"/>
  <c r="DQ207"/>
  <c r="DP207"/>
  <c r="DO207"/>
  <c r="DN207"/>
  <c r="DM207"/>
  <c r="DL207"/>
  <c r="DK207"/>
  <c r="DJ207"/>
  <c r="DI207"/>
  <c r="DH207"/>
  <c r="DG207"/>
  <c r="DF207"/>
  <c r="DE207"/>
  <c r="DD207"/>
  <c r="DC207"/>
  <c r="DB207"/>
  <c r="DA207"/>
  <c r="CZ207"/>
  <c r="CY207"/>
  <c r="CX207"/>
  <c r="CW207"/>
  <c r="CV207"/>
  <c r="CU207"/>
  <c r="CT207"/>
  <c r="CS207"/>
  <c r="CR207"/>
  <c r="CQ207"/>
  <c r="CP207"/>
  <c r="CO207"/>
  <c r="CN207"/>
  <c r="CM207"/>
  <c r="CL207"/>
  <c r="CK207"/>
  <c r="CJ207"/>
  <c r="CI207"/>
  <c r="CH207"/>
  <c r="CG207"/>
  <c r="CF207"/>
  <c r="CE207"/>
  <c r="CD207"/>
  <c r="CC207"/>
  <c r="CB207"/>
  <c r="CA207"/>
  <c r="BZ207"/>
  <c r="BY207"/>
  <c r="BX207"/>
  <c r="BW207"/>
  <c r="BV207"/>
  <c r="BU207"/>
  <c r="BT207"/>
  <c r="BS207"/>
  <c r="BR207"/>
  <c r="BQ207"/>
  <c r="BP207"/>
  <c r="BO207"/>
  <c r="BN207"/>
  <c r="E207"/>
  <c r="D207"/>
  <c r="C207"/>
  <c r="B207"/>
  <c r="DU206"/>
  <c r="DT206"/>
  <c r="DS206"/>
  <c r="DR206"/>
  <c r="DQ206"/>
  <c r="DP206"/>
  <c r="DO206"/>
  <c r="DN206"/>
  <c r="DM206"/>
  <c r="DL206"/>
  <c r="DK206"/>
  <c r="DJ206"/>
  <c r="DI206"/>
  <c r="DH206"/>
  <c r="DG206"/>
  <c r="DF206"/>
  <c r="DE206"/>
  <c r="DD206"/>
  <c r="DC206"/>
  <c r="DB206"/>
  <c r="DA206"/>
  <c r="CZ206"/>
  <c r="CY206"/>
  <c r="CX206"/>
  <c r="CW206"/>
  <c r="CV206"/>
  <c r="CU206"/>
  <c r="CT206"/>
  <c r="CS206"/>
  <c r="CR206"/>
  <c r="CQ206"/>
  <c r="CP206"/>
  <c r="CO206"/>
  <c r="CN206"/>
  <c r="CM206"/>
  <c r="CL206"/>
  <c r="CK206"/>
  <c r="CJ206"/>
  <c r="CI206"/>
  <c r="CH206"/>
  <c r="CG206"/>
  <c r="CF206"/>
  <c r="CE206"/>
  <c r="CD206"/>
  <c r="CC206"/>
  <c r="CB206"/>
  <c r="CA206"/>
  <c r="BZ206"/>
  <c r="BY206"/>
  <c r="BX206"/>
  <c r="BW206"/>
  <c r="BV206"/>
  <c r="BU206"/>
  <c r="BT206"/>
  <c r="BS206"/>
  <c r="BR206"/>
  <c r="BQ206"/>
  <c r="BP206"/>
  <c r="BO206"/>
  <c r="BN206"/>
  <c r="E206"/>
  <c r="D206"/>
  <c r="C206"/>
  <c r="B206"/>
  <c r="DU205"/>
  <c r="DT205"/>
  <c r="DS205"/>
  <c r="DR205"/>
  <c r="DQ205"/>
  <c r="DP205"/>
  <c r="DO205"/>
  <c r="DN205"/>
  <c r="DM205"/>
  <c r="DL205"/>
  <c r="DK205"/>
  <c r="DJ205"/>
  <c r="DI205"/>
  <c r="DH205"/>
  <c r="DG205"/>
  <c r="DF205"/>
  <c r="DE205"/>
  <c r="DD205"/>
  <c r="DC205"/>
  <c r="DB205"/>
  <c r="DA205"/>
  <c r="CZ205"/>
  <c r="CY205"/>
  <c r="CX205"/>
  <c r="CW205"/>
  <c r="CV205"/>
  <c r="CU205"/>
  <c r="CT205"/>
  <c r="CS205"/>
  <c r="CR205"/>
  <c r="CQ205"/>
  <c r="CP205"/>
  <c r="CO205"/>
  <c r="CN205"/>
  <c r="CM205"/>
  <c r="CL205"/>
  <c r="CK205"/>
  <c r="CJ205"/>
  <c r="CI205"/>
  <c r="CH205"/>
  <c r="CG205"/>
  <c r="CF205"/>
  <c r="CE205"/>
  <c r="CD205"/>
  <c r="CC205"/>
  <c r="CB205"/>
  <c r="CA205"/>
  <c r="BZ205"/>
  <c r="BY205"/>
  <c r="BX205"/>
  <c r="BW205"/>
  <c r="BV205"/>
  <c r="BU205"/>
  <c r="BT205"/>
  <c r="BS205"/>
  <c r="BR205"/>
  <c r="BQ205"/>
  <c r="BP205"/>
  <c r="BO205"/>
  <c r="BN205"/>
  <c r="E205"/>
  <c r="D205"/>
  <c r="C205"/>
  <c r="B205"/>
  <c r="DU204"/>
  <c r="DT204"/>
  <c r="DS204"/>
  <c r="DR204"/>
  <c r="DQ204"/>
  <c r="DP204"/>
  <c r="DO204"/>
  <c r="DN204"/>
  <c r="DM204"/>
  <c r="DL204"/>
  <c r="DK204"/>
  <c r="DJ204"/>
  <c r="DI204"/>
  <c r="DH204"/>
  <c r="DG204"/>
  <c r="DF204"/>
  <c r="DE204"/>
  <c r="DD204"/>
  <c r="DC204"/>
  <c r="DB204"/>
  <c r="DA204"/>
  <c r="CZ204"/>
  <c r="CY204"/>
  <c r="CX204"/>
  <c r="CW204"/>
  <c r="CV204"/>
  <c r="CU204"/>
  <c r="CT204"/>
  <c r="CS204"/>
  <c r="CR204"/>
  <c r="CQ204"/>
  <c r="CP204"/>
  <c r="CO204"/>
  <c r="CN204"/>
  <c r="CM204"/>
  <c r="CL204"/>
  <c r="CK204"/>
  <c r="CJ204"/>
  <c r="CI204"/>
  <c r="CH204"/>
  <c r="CG204"/>
  <c r="CF204"/>
  <c r="CE204"/>
  <c r="CD204"/>
  <c r="CC204"/>
  <c r="CB204"/>
  <c r="CA204"/>
  <c r="BZ204"/>
  <c r="BY204"/>
  <c r="BX204"/>
  <c r="BW204"/>
  <c r="BV204"/>
  <c r="BU204"/>
  <c r="BT204"/>
  <c r="BS204"/>
  <c r="BR204"/>
  <c r="BQ204"/>
  <c r="BP204"/>
  <c r="BO204"/>
  <c r="BN204"/>
  <c r="E204"/>
  <c r="D204"/>
  <c r="C204"/>
  <c r="B204"/>
  <c r="DU203"/>
  <c r="DT203"/>
  <c r="DS203"/>
  <c r="DR203"/>
  <c r="DQ203"/>
  <c r="DP203"/>
  <c r="DO203"/>
  <c r="DN203"/>
  <c r="DM203"/>
  <c r="DL203"/>
  <c r="DK203"/>
  <c r="DJ203"/>
  <c r="DI203"/>
  <c r="DH203"/>
  <c r="DG203"/>
  <c r="DF203"/>
  <c r="DE203"/>
  <c r="DD203"/>
  <c r="DC203"/>
  <c r="DB203"/>
  <c r="DA203"/>
  <c r="CZ203"/>
  <c r="CY203"/>
  <c r="CX203"/>
  <c r="CW203"/>
  <c r="CV203"/>
  <c r="CU203"/>
  <c r="CT203"/>
  <c r="CS203"/>
  <c r="CR203"/>
  <c r="CQ203"/>
  <c r="CP203"/>
  <c r="CO203"/>
  <c r="CN203"/>
  <c r="CM203"/>
  <c r="CL203"/>
  <c r="CK203"/>
  <c r="CJ203"/>
  <c r="CI203"/>
  <c r="CH203"/>
  <c r="CG203"/>
  <c r="CF203"/>
  <c r="CE203"/>
  <c r="CD203"/>
  <c r="CC203"/>
  <c r="CB203"/>
  <c r="CA203"/>
  <c r="BZ203"/>
  <c r="BY203"/>
  <c r="BX203"/>
  <c r="BW203"/>
  <c r="BV203"/>
  <c r="BU203"/>
  <c r="BT203"/>
  <c r="BS203"/>
  <c r="BR203"/>
  <c r="BQ203"/>
  <c r="BP203"/>
  <c r="BO203"/>
  <c r="BN203"/>
  <c r="E203"/>
  <c r="D203"/>
  <c r="C203"/>
  <c r="B203"/>
  <c r="DU202"/>
  <c r="DT202"/>
  <c r="DS202"/>
  <c r="DR202"/>
  <c r="DQ202"/>
  <c r="DP202"/>
  <c r="DO202"/>
  <c r="DN202"/>
  <c r="DM202"/>
  <c r="DL202"/>
  <c r="DK202"/>
  <c r="DJ202"/>
  <c r="DI202"/>
  <c r="DH202"/>
  <c r="DG202"/>
  <c r="DF202"/>
  <c r="DE202"/>
  <c r="DD202"/>
  <c r="DC202"/>
  <c r="DB202"/>
  <c r="DA202"/>
  <c r="CZ202"/>
  <c r="CY202"/>
  <c r="CX202"/>
  <c r="CW202"/>
  <c r="CV202"/>
  <c r="CU202"/>
  <c r="CT202"/>
  <c r="CS202"/>
  <c r="CR202"/>
  <c r="CQ202"/>
  <c r="CP202"/>
  <c r="CO202"/>
  <c r="CN202"/>
  <c r="CM202"/>
  <c r="CL202"/>
  <c r="CK202"/>
  <c r="CJ202"/>
  <c r="CI202"/>
  <c r="CH202"/>
  <c r="CG202"/>
  <c r="CF202"/>
  <c r="CE202"/>
  <c r="CD202"/>
  <c r="CC202"/>
  <c r="CB202"/>
  <c r="CA202"/>
  <c r="BZ202"/>
  <c r="BY202"/>
  <c r="BX202"/>
  <c r="BW202"/>
  <c r="BV202"/>
  <c r="BU202"/>
  <c r="BT202"/>
  <c r="BS202"/>
  <c r="BR202"/>
  <c r="BQ202"/>
  <c r="BP202"/>
  <c r="BO202"/>
  <c r="BN202"/>
  <c r="E202"/>
  <c r="D202"/>
  <c r="C202"/>
  <c r="B202"/>
  <c r="DU201"/>
  <c r="DT201"/>
  <c r="DS201"/>
  <c r="DR201"/>
  <c r="DQ201"/>
  <c r="DP201"/>
  <c r="DO201"/>
  <c r="DN201"/>
  <c r="DM201"/>
  <c r="DL201"/>
  <c r="DK201"/>
  <c r="DJ201"/>
  <c r="DI201"/>
  <c r="DH201"/>
  <c r="DG201"/>
  <c r="DF201"/>
  <c r="DE201"/>
  <c r="DD201"/>
  <c r="DC201"/>
  <c r="DB201"/>
  <c r="DA201"/>
  <c r="CZ201"/>
  <c r="CY201"/>
  <c r="CX201"/>
  <c r="CW201"/>
  <c r="CV201"/>
  <c r="CU201"/>
  <c r="CT201"/>
  <c r="CS201"/>
  <c r="CR201"/>
  <c r="CQ201"/>
  <c r="CP201"/>
  <c r="CO201"/>
  <c r="CN201"/>
  <c r="CM201"/>
  <c r="CL201"/>
  <c r="CK201"/>
  <c r="CJ201"/>
  <c r="CI201"/>
  <c r="CH201"/>
  <c r="CG201"/>
  <c r="CF201"/>
  <c r="CE201"/>
  <c r="CD201"/>
  <c r="CC201"/>
  <c r="CB201"/>
  <c r="CA201"/>
  <c r="BZ201"/>
  <c r="BY201"/>
  <c r="BX201"/>
  <c r="BW201"/>
  <c r="BV201"/>
  <c r="BU201"/>
  <c r="BT201"/>
  <c r="BS201"/>
  <c r="BR201"/>
  <c r="BQ201"/>
  <c r="BP201"/>
  <c r="BO201"/>
  <c r="BN201"/>
  <c r="E201"/>
  <c r="D201"/>
  <c r="C201"/>
  <c r="B201"/>
  <c r="DU200"/>
  <c r="DT200"/>
  <c r="DS200"/>
  <c r="DR200"/>
  <c r="DQ200"/>
  <c r="DP200"/>
  <c r="DO200"/>
  <c r="DN200"/>
  <c r="DM200"/>
  <c r="DL200"/>
  <c r="DK200"/>
  <c r="DJ200"/>
  <c r="DI200"/>
  <c r="DH200"/>
  <c r="DG200"/>
  <c r="DF200"/>
  <c r="DE200"/>
  <c r="DD200"/>
  <c r="DC200"/>
  <c r="DB200"/>
  <c r="DA200"/>
  <c r="CZ200"/>
  <c r="CY200"/>
  <c r="CX200"/>
  <c r="CW200"/>
  <c r="CV200"/>
  <c r="CU200"/>
  <c r="CT200"/>
  <c r="CS200"/>
  <c r="CR200"/>
  <c r="CQ200"/>
  <c r="CP200"/>
  <c r="CO200"/>
  <c r="CN200"/>
  <c r="CM200"/>
  <c r="CL200"/>
  <c r="CK200"/>
  <c r="CJ200"/>
  <c r="CI200"/>
  <c r="CH200"/>
  <c r="CG200"/>
  <c r="CF200"/>
  <c r="CE200"/>
  <c r="CD200"/>
  <c r="CC200"/>
  <c r="CB200"/>
  <c r="CA200"/>
  <c r="BZ200"/>
  <c r="BY200"/>
  <c r="BX200"/>
  <c r="BW200"/>
  <c r="BV200"/>
  <c r="BU200"/>
  <c r="BT200"/>
  <c r="BS200"/>
  <c r="BR200"/>
  <c r="BQ200"/>
  <c r="BP200"/>
  <c r="BO200"/>
  <c r="BN200"/>
  <c r="E200"/>
  <c r="D200"/>
  <c r="C200"/>
  <c r="B200"/>
  <c r="DU199"/>
  <c r="DT199"/>
  <c r="DS199"/>
  <c r="DR199"/>
  <c r="DQ199"/>
  <c r="DP199"/>
  <c r="DO199"/>
  <c r="DN199"/>
  <c r="DM199"/>
  <c r="DL199"/>
  <c r="DK199"/>
  <c r="DJ199"/>
  <c r="DI199"/>
  <c r="DH199"/>
  <c r="DG199"/>
  <c r="DF199"/>
  <c r="DE199"/>
  <c r="DD199"/>
  <c r="DC199"/>
  <c r="DB199"/>
  <c r="DA199"/>
  <c r="CZ199"/>
  <c r="CY199"/>
  <c r="CX199"/>
  <c r="CW199"/>
  <c r="CV199"/>
  <c r="CU199"/>
  <c r="CT199"/>
  <c r="CS199"/>
  <c r="CR199"/>
  <c r="CQ199"/>
  <c r="CP199"/>
  <c r="CO199"/>
  <c r="CN199"/>
  <c r="CM199"/>
  <c r="CL199"/>
  <c r="CK199"/>
  <c r="CJ199"/>
  <c r="CI199"/>
  <c r="CH199"/>
  <c r="CG199"/>
  <c r="CF199"/>
  <c r="CE199"/>
  <c r="CD199"/>
  <c r="CC199"/>
  <c r="CB199"/>
  <c r="CA199"/>
  <c r="BZ199"/>
  <c r="BY199"/>
  <c r="BX199"/>
  <c r="BW199"/>
  <c r="BV199"/>
  <c r="BU199"/>
  <c r="BT199"/>
  <c r="BS199"/>
  <c r="BR199"/>
  <c r="BQ199"/>
  <c r="BP199"/>
  <c r="BO199"/>
  <c r="BN199"/>
  <c r="E199"/>
  <c r="D199"/>
  <c r="C199"/>
  <c r="B199"/>
  <c r="DU198"/>
  <c r="DT198"/>
  <c r="DS198"/>
  <c r="DR198"/>
  <c r="DQ198"/>
  <c r="DP198"/>
  <c r="DO198"/>
  <c r="DN198"/>
  <c r="DM198"/>
  <c r="DL198"/>
  <c r="DK198"/>
  <c r="DJ198"/>
  <c r="DI198"/>
  <c r="DH198"/>
  <c r="DG198"/>
  <c r="DF198"/>
  <c r="DE198"/>
  <c r="DD198"/>
  <c r="DC198"/>
  <c r="DB198"/>
  <c r="DA198"/>
  <c r="CZ198"/>
  <c r="CY198"/>
  <c r="CX198"/>
  <c r="CW198"/>
  <c r="CV198"/>
  <c r="CU198"/>
  <c r="CT198"/>
  <c r="CS198"/>
  <c r="CR198"/>
  <c r="CQ198"/>
  <c r="CP198"/>
  <c r="CO198"/>
  <c r="CN198"/>
  <c r="CM198"/>
  <c r="CL198"/>
  <c r="CK198"/>
  <c r="CJ198"/>
  <c r="CI198"/>
  <c r="CH198"/>
  <c r="CG198"/>
  <c r="CF198"/>
  <c r="CE198"/>
  <c r="CD198"/>
  <c r="CC198"/>
  <c r="CB198"/>
  <c r="CA198"/>
  <c r="BZ198"/>
  <c r="BY198"/>
  <c r="BX198"/>
  <c r="BW198"/>
  <c r="BV198"/>
  <c r="BU198"/>
  <c r="BT198"/>
  <c r="BS198"/>
  <c r="BR198"/>
  <c r="BQ198"/>
  <c r="BP198"/>
  <c r="BO198"/>
  <c r="BN198"/>
  <c r="E198"/>
  <c r="D198"/>
  <c r="C198"/>
  <c r="B198"/>
  <c r="DU197"/>
  <c r="DT197"/>
  <c r="DS197"/>
  <c r="DR197"/>
  <c r="DQ197"/>
  <c r="DP197"/>
  <c r="DO197"/>
  <c r="DN197"/>
  <c r="DM197"/>
  <c r="DL197"/>
  <c r="DK197"/>
  <c r="DJ197"/>
  <c r="DI197"/>
  <c r="DH197"/>
  <c r="DG197"/>
  <c r="DF197"/>
  <c r="DE197"/>
  <c r="DD197"/>
  <c r="DC197"/>
  <c r="DB197"/>
  <c r="DA197"/>
  <c r="CZ197"/>
  <c r="CY197"/>
  <c r="CX197"/>
  <c r="CW197"/>
  <c r="CV197"/>
  <c r="CU197"/>
  <c r="CT197"/>
  <c r="CS197"/>
  <c r="CR197"/>
  <c r="CQ197"/>
  <c r="CP197"/>
  <c r="CO197"/>
  <c r="CN197"/>
  <c r="CM197"/>
  <c r="CL197"/>
  <c r="CK197"/>
  <c r="CJ197"/>
  <c r="CI197"/>
  <c r="CH197"/>
  <c r="CG197"/>
  <c r="CF197"/>
  <c r="CE197"/>
  <c r="CD197"/>
  <c r="CC197"/>
  <c r="CB197"/>
  <c r="CA197"/>
  <c r="BZ197"/>
  <c r="BY197"/>
  <c r="BX197"/>
  <c r="BW197"/>
  <c r="BV197"/>
  <c r="BU197"/>
  <c r="BT197"/>
  <c r="BS197"/>
  <c r="BR197"/>
  <c r="BQ197"/>
  <c r="BP197"/>
  <c r="BO197"/>
  <c r="BN197"/>
  <c r="E197"/>
  <c r="D197"/>
  <c r="C197"/>
  <c r="B197"/>
  <c r="DU196"/>
  <c r="DT196"/>
  <c r="DS196"/>
  <c r="DR196"/>
  <c r="DQ196"/>
  <c r="DP196"/>
  <c r="DO196"/>
  <c r="DN196"/>
  <c r="DM196"/>
  <c r="DL196"/>
  <c r="DK196"/>
  <c r="DJ196"/>
  <c r="DI196"/>
  <c r="DH196"/>
  <c r="DG196"/>
  <c r="DF196"/>
  <c r="DE196"/>
  <c r="DD196"/>
  <c r="DC196"/>
  <c r="DB196"/>
  <c r="DA196"/>
  <c r="CZ196"/>
  <c r="CY196"/>
  <c r="CX196"/>
  <c r="CW196"/>
  <c r="CV196"/>
  <c r="CU196"/>
  <c r="CT196"/>
  <c r="CS196"/>
  <c r="CR196"/>
  <c r="CQ196"/>
  <c r="CP196"/>
  <c r="CO196"/>
  <c r="CN196"/>
  <c r="CM196"/>
  <c r="CL196"/>
  <c r="CK196"/>
  <c r="CJ196"/>
  <c r="CI196"/>
  <c r="CH196"/>
  <c r="CG196"/>
  <c r="CF196"/>
  <c r="CE196"/>
  <c r="CD196"/>
  <c r="CC196"/>
  <c r="CB196"/>
  <c r="CA196"/>
  <c r="BZ196"/>
  <c r="BY196"/>
  <c r="BX196"/>
  <c r="BW196"/>
  <c r="BV196"/>
  <c r="BU196"/>
  <c r="BT196"/>
  <c r="BS196"/>
  <c r="BR196"/>
  <c r="BQ196"/>
  <c r="BP196"/>
  <c r="BO196"/>
  <c r="BN196"/>
  <c r="E196"/>
  <c r="D196"/>
  <c r="C196"/>
  <c r="B196"/>
  <c r="DU195"/>
  <c r="DT195"/>
  <c r="DS195"/>
  <c r="DR195"/>
  <c r="DQ195"/>
  <c r="DP195"/>
  <c r="DO195"/>
  <c r="DN195"/>
  <c r="DM195"/>
  <c r="DL195"/>
  <c r="DK195"/>
  <c r="DJ195"/>
  <c r="DI195"/>
  <c r="DH195"/>
  <c r="DG195"/>
  <c r="DF195"/>
  <c r="DE195"/>
  <c r="DD195"/>
  <c r="DC195"/>
  <c r="DB195"/>
  <c r="DA195"/>
  <c r="CZ195"/>
  <c r="CY195"/>
  <c r="CX195"/>
  <c r="CW195"/>
  <c r="CV195"/>
  <c r="CU195"/>
  <c r="CT195"/>
  <c r="CS195"/>
  <c r="CR195"/>
  <c r="CQ195"/>
  <c r="CP195"/>
  <c r="CO195"/>
  <c r="CN195"/>
  <c r="CM195"/>
  <c r="CL195"/>
  <c r="CK195"/>
  <c r="CJ195"/>
  <c r="CI195"/>
  <c r="CH195"/>
  <c r="CG195"/>
  <c r="CF195"/>
  <c r="CE195"/>
  <c r="CD195"/>
  <c r="CC195"/>
  <c r="CB195"/>
  <c r="CA195"/>
  <c r="BZ195"/>
  <c r="BY195"/>
  <c r="BX195"/>
  <c r="BW195"/>
  <c r="BV195"/>
  <c r="BU195"/>
  <c r="BT195"/>
  <c r="BS195"/>
  <c r="BR195"/>
  <c r="BQ195"/>
  <c r="BP195"/>
  <c r="BO195"/>
  <c r="BN195"/>
  <c r="E195"/>
  <c r="D195"/>
  <c r="C195"/>
  <c r="B195"/>
  <c r="DU194"/>
  <c r="DT194"/>
  <c r="DS194"/>
  <c r="DR194"/>
  <c r="DQ194"/>
  <c r="DP194"/>
  <c r="DO194"/>
  <c r="DN194"/>
  <c r="DM194"/>
  <c r="DL194"/>
  <c r="DK194"/>
  <c r="DJ194"/>
  <c r="DI194"/>
  <c r="DH194"/>
  <c r="DG194"/>
  <c r="DF194"/>
  <c r="DE194"/>
  <c r="DD194"/>
  <c r="DC194"/>
  <c r="DB194"/>
  <c r="DA194"/>
  <c r="CZ194"/>
  <c r="CY194"/>
  <c r="CX194"/>
  <c r="CW194"/>
  <c r="CV194"/>
  <c r="CU194"/>
  <c r="CT194"/>
  <c r="CS194"/>
  <c r="CR194"/>
  <c r="CQ194"/>
  <c r="CP194"/>
  <c r="CO194"/>
  <c r="CN194"/>
  <c r="CM194"/>
  <c r="CL194"/>
  <c r="CK194"/>
  <c r="CJ194"/>
  <c r="CI194"/>
  <c r="CH194"/>
  <c r="CG194"/>
  <c r="CF194"/>
  <c r="CE194"/>
  <c r="CD194"/>
  <c r="CC194"/>
  <c r="CB194"/>
  <c r="CA194"/>
  <c r="BZ194"/>
  <c r="BY194"/>
  <c r="BX194"/>
  <c r="BW194"/>
  <c r="BV194"/>
  <c r="BU194"/>
  <c r="BT194"/>
  <c r="BS194"/>
  <c r="BR194"/>
  <c r="BQ194"/>
  <c r="BP194"/>
  <c r="BO194"/>
  <c r="BN194"/>
  <c r="E194"/>
  <c r="D194"/>
  <c r="C194"/>
  <c r="B194"/>
  <c r="DU193"/>
  <c r="DT193"/>
  <c r="DS193"/>
  <c r="DR193"/>
  <c r="DQ193"/>
  <c r="DP193"/>
  <c r="DO193"/>
  <c r="DN193"/>
  <c r="DM193"/>
  <c r="DL193"/>
  <c r="DK193"/>
  <c r="DJ193"/>
  <c r="DI193"/>
  <c r="DH193"/>
  <c r="DG193"/>
  <c r="DF193"/>
  <c r="DE193"/>
  <c r="DD193"/>
  <c r="DC193"/>
  <c r="DB193"/>
  <c r="DA193"/>
  <c r="CZ193"/>
  <c r="CY193"/>
  <c r="CX193"/>
  <c r="CW193"/>
  <c r="CV193"/>
  <c r="CU193"/>
  <c r="CT193"/>
  <c r="CS193"/>
  <c r="CR193"/>
  <c r="CQ193"/>
  <c r="CP193"/>
  <c r="CO193"/>
  <c r="CN193"/>
  <c r="CM193"/>
  <c r="CL193"/>
  <c r="CK193"/>
  <c r="CJ193"/>
  <c r="CI193"/>
  <c r="CH193"/>
  <c r="CG193"/>
  <c r="CF193"/>
  <c r="CE193"/>
  <c r="CD193"/>
  <c r="CC193"/>
  <c r="CB193"/>
  <c r="CA193"/>
  <c r="BZ193"/>
  <c r="BY193"/>
  <c r="BX193"/>
  <c r="BW193"/>
  <c r="BV193"/>
  <c r="BU193"/>
  <c r="BT193"/>
  <c r="BS193"/>
  <c r="BR193"/>
  <c r="BQ193"/>
  <c r="BP193"/>
  <c r="BO193"/>
  <c r="BN193"/>
  <c r="E193"/>
  <c r="D193"/>
  <c r="C193"/>
  <c r="B193"/>
  <c r="DU192"/>
  <c r="DT192"/>
  <c r="DS192"/>
  <c r="DR192"/>
  <c r="DQ192"/>
  <c r="DP192"/>
  <c r="DO192"/>
  <c r="DN192"/>
  <c r="DM192"/>
  <c r="DL192"/>
  <c r="DK192"/>
  <c r="DJ192"/>
  <c r="DI192"/>
  <c r="DH192"/>
  <c r="DG192"/>
  <c r="DF192"/>
  <c r="DE192"/>
  <c r="DD192"/>
  <c r="DC192"/>
  <c r="DB192"/>
  <c r="DA192"/>
  <c r="CZ192"/>
  <c r="CY192"/>
  <c r="CX192"/>
  <c r="CW192"/>
  <c r="CV192"/>
  <c r="CU192"/>
  <c r="CT192"/>
  <c r="CS192"/>
  <c r="CR192"/>
  <c r="CQ192"/>
  <c r="CP192"/>
  <c r="CO192"/>
  <c r="CN192"/>
  <c r="CM192"/>
  <c r="CL192"/>
  <c r="CK192"/>
  <c r="CJ192"/>
  <c r="CI192"/>
  <c r="CH192"/>
  <c r="CG192"/>
  <c r="CF192"/>
  <c r="CE192"/>
  <c r="CD192"/>
  <c r="CC192"/>
  <c r="CB192"/>
  <c r="CA192"/>
  <c r="BZ192"/>
  <c r="BY192"/>
  <c r="BX192"/>
  <c r="BW192"/>
  <c r="BV192"/>
  <c r="BU192"/>
  <c r="BT192"/>
  <c r="BS192"/>
  <c r="BR192"/>
  <c r="BQ192"/>
  <c r="BP192"/>
  <c r="BO192"/>
  <c r="BN192"/>
  <c r="E192"/>
  <c r="D192"/>
  <c r="C192"/>
  <c r="B192"/>
  <c r="DU191"/>
  <c r="DT191"/>
  <c r="DS191"/>
  <c r="DR191"/>
  <c r="DQ191"/>
  <c r="DP191"/>
  <c r="DO191"/>
  <c r="DN191"/>
  <c r="DM191"/>
  <c r="DL191"/>
  <c r="DK191"/>
  <c r="DJ191"/>
  <c r="DI191"/>
  <c r="DH191"/>
  <c r="DG191"/>
  <c r="DF191"/>
  <c r="DE191"/>
  <c r="DD191"/>
  <c r="DC191"/>
  <c r="DB191"/>
  <c r="DA191"/>
  <c r="CZ191"/>
  <c r="CY191"/>
  <c r="CX191"/>
  <c r="CW191"/>
  <c r="CV191"/>
  <c r="CU191"/>
  <c r="CT191"/>
  <c r="CS191"/>
  <c r="CR191"/>
  <c r="CQ191"/>
  <c r="CP191"/>
  <c r="CO191"/>
  <c r="CN191"/>
  <c r="CM191"/>
  <c r="CL191"/>
  <c r="CK191"/>
  <c r="CJ191"/>
  <c r="CI191"/>
  <c r="CH191"/>
  <c r="CG191"/>
  <c r="CF191"/>
  <c r="CE191"/>
  <c r="CD191"/>
  <c r="CC191"/>
  <c r="CB191"/>
  <c r="CA191"/>
  <c r="BZ191"/>
  <c r="BY191"/>
  <c r="BX191"/>
  <c r="BW191"/>
  <c r="BV191"/>
  <c r="BU191"/>
  <c r="BT191"/>
  <c r="BS191"/>
  <c r="BR191"/>
  <c r="BQ191"/>
  <c r="BP191"/>
  <c r="BO191"/>
  <c r="BN191"/>
  <c r="E191"/>
  <c r="D191"/>
  <c r="C191"/>
  <c r="B191"/>
  <c r="DU190"/>
  <c r="DT190"/>
  <c r="DS190"/>
  <c r="DR190"/>
  <c r="DQ190"/>
  <c r="DP190"/>
  <c r="DO190"/>
  <c r="DN190"/>
  <c r="DM190"/>
  <c r="DL190"/>
  <c r="DK190"/>
  <c r="DJ190"/>
  <c r="DI190"/>
  <c r="DH190"/>
  <c r="DG190"/>
  <c r="DF190"/>
  <c r="DE190"/>
  <c r="DD190"/>
  <c r="DC190"/>
  <c r="DB190"/>
  <c r="DA190"/>
  <c r="CZ190"/>
  <c r="CY190"/>
  <c r="CX190"/>
  <c r="CW190"/>
  <c r="CV190"/>
  <c r="CU190"/>
  <c r="CT190"/>
  <c r="CS190"/>
  <c r="CR190"/>
  <c r="CQ190"/>
  <c r="CP190"/>
  <c r="CO190"/>
  <c r="CN190"/>
  <c r="CM190"/>
  <c r="CL190"/>
  <c r="CK190"/>
  <c r="CJ190"/>
  <c r="CI190"/>
  <c r="CH190"/>
  <c r="CG190"/>
  <c r="CF190"/>
  <c r="CE190"/>
  <c r="CD190"/>
  <c r="CC190"/>
  <c r="CB190"/>
  <c r="CA190"/>
  <c r="BZ190"/>
  <c r="BY190"/>
  <c r="BX190"/>
  <c r="BW190"/>
  <c r="BV190"/>
  <c r="BU190"/>
  <c r="BT190"/>
  <c r="BS190"/>
  <c r="BR190"/>
  <c r="BQ190"/>
  <c r="BP190"/>
  <c r="BO190"/>
  <c r="BN190"/>
  <c r="E190"/>
  <c r="D190"/>
  <c r="C190"/>
  <c r="B190"/>
  <c r="DU189"/>
  <c r="DT189"/>
  <c r="DS189"/>
  <c r="DR189"/>
  <c r="DQ189"/>
  <c r="DP189"/>
  <c r="DO189"/>
  <c r="DN189"/>
  <c r="DM189"/>
  <c r="DL189"/>
  <c r="DK189"/>
  <c r="DJ189"/>
  <c r="DI189"/>
  <c r="DH189"/>
  <c r="DG189"/>
  <c r="DF189"/>
  <c r="DE189"/>
  <c r="DD189"/>
  <c r="DC189"/>
  <c r="DB189"/>
  <c r="DA189"/>
  <c r="CZ189"/>
  <c r="CY189"/>
  <c r="CX189"/>
  <c r="CW189"/>
  <c r="CV189"/>
  <c r="CU189"/>
  <c r="CT189"/>
  <c r="CS189"/>
  <c r="CR189"/>
  <c r="CQ189"/>
  <c r="CP189"/>
  <c r="CO189"/>
  <c r="CN189"/>
  <c r="CM189"/>
  <c r="CL189"/>
  <c r="CK189"/>
  <c r="CJ189"/>
  <c r="CI189"/>
  <c r="CH189"/>
  <c r="CG189"/>
  <c r="CF189"/>
  <c r="CE189"/>
  <c r="CD189"/>
  <c r="CC189"/>
  <c r="CB189"/>
  <c r="CA189"/>
  <c r="BZ189"/>
  <c r="BY189"/>
  <c r="BX189"/>
  <c r="BW189"/>
  <c r="BV189"/>
  <c r="BU189"/>
  <c r="BT189"/>
  <c r="BS189"/>
  <c r="BR189"/>
  <c r="BQ189"/>
  <c r="BP189"/>
  <c r="BO189"/>
  <c r="BN189"/>
  <c r="E189"/>
  <c r="D189"/>
  <c r="C189"/>
  <c r="B189"/>
  <c r="DU188"/>
  <c r="DT188"/>
  <c r="DS188"/>
  <c r="DR188"/>
  <c r="DQ188"/>
  <c r="DP188"/>
  <c r="DO188"/>
  <c r="DN188"/>
  <c r="DM188"/>
  <c r="DL188"/>
  <c r="DK188"/>
  <c r="DJ188"/>
  <c r="DI188"/>
  <c r="DH188"/>
  <c r="DG188"/>
  <c r="DF188"/>
  <c r="DE188"/>
  <c r="DD188"/>
  <c r="DC188"/>
  <c r="DB188"/>
  <c r="DA188"/>
  <c r="CZ188"/>
  <c r="CY188"/>
  <c r="CX188"/>
  <c r="CW188"/>
  <c r="CV188"/>
  <c r="CU188"/>
  <c r="CT188"/>
  <c r="CS188"/>
  <c r="CR188"/>
  <c r="CQ188"/>
  <c r="CP188"/>
  <c r="CO188"/>
  <c r="CN188"/>
  <c r="CM188"/>
  <c r="CL188"/>
  <c r="CK188"/>
  <c r="CJ188"/>
  <c r="CI188"/>
  <c r="CH188"/>
  <c r="CG188"/>
  <c r="CF188"/>
  <c r="CE188"/>
  <c r="CD188"/>
  <c r="CC188"/>
  <c r="CB188"/>
  <c r="CA188"/>
  <c r="BZ188"/>
  <c r="BY188"/>
  <c r="BX188"/>
  <c r="BW188"/>
  <c r="BV188"/>
  <c r="BU188"/>
  <c r="BT188"/>
  <c r="BS188"/>
  <c r="BR188"/>
  <c r="BQ188"/>
  <c r="BP188"/>
  <c r="BO188"/>
  <c r="BN188"/>
  <c r="E188"/>
  <c r="D188"/>
  <c r="C188"/>
  <c r="B188"/>
  <c r="DU187"/>
  <c r="DT187"/>
  <c r="DS187"/>
  <c r="DR187"/>
  <c r="DQ187"/>
  <c r="DP187"/>
  <c r="DO187"/>
  <c r="DN187"/>
  <c r="DM187"/>
  <c r="DL187"/>
  <c r="DK187"/>
  <c r="DJ187"/>
  <c r="DI187"/>
  <c r="DH187"/>
  <c r="DG187"/>
  <c r="DF187"/>
  <c r="DE187"/>
  <c r="DD187"/>
  <c r="DC187"/>
  <c r="DB187"/>
  <c r="DA187"/>
  <c r="CZ187"/>
  <c r="CY187"/>
  <c r="CX187"/>
  <c r="CW187"/>
  <c r="CV187"/>
  <c r="CU187"/>
  <c r="CT187"/>
  <c r="CS187"/>
  <c r="CR187"/>
  <c r="CQ187"/>
  <c r="CP187"/>
  <c r="CO187"/>
  <c r="CN187"/>
  <c r="CM187"/>
  <c r="CL187"/>
  <c r="CK187"/>
  <c r="CJ187"/>
  <c r="CI187"/>
  <c r="CH187"/>
  <c r="CG187"/>
  <c r="CF187"/>
  <c r="CE187"/>
  <c r="CD187"/>
  <c r="CC187"/>
  <c r="CB187"/>
  <c r="CA187"/>
  <c r="BZ187"/>
  <c r="BY187"/>
  <c r="BX187"/>
  <c r="BW187"/>
  <c r="BV187"/>
  <c r="BU187"/>
  <c r="BT187"/>
  <c r="BS187"/>
  <c r="BR187"/>
  <c r="BQ187"/>
  <c r="BP187"/>
  <c r="BO187"/>
  <c r="BN187"/>
  <c r="E187"/>
  <c r="D187"/>
  <c r="C187"/>
  <c r="B187"/>
  <c r="DU186"/>
  <c r="DT186"/>
  <c r="DS186"/>
  <c r="DR186"/>
  <c r="DQ186"/>
  <c r="DP186"/>
  <c r="DO186"/>
  <c r="DN186"/>
  <c r="DM186"/>
  <c r="DL186"/>
  <c r="DK186"/>
  <c r="DJ186"/>
  <c r="DI186"/>
  <c r="DH186"/>
  <c r="DG186"/>
  <c r="DF186"/>
  <c r="DE186"/>
  <c r="DD186"/>
  <c r="DC186"/>
  <c r="DB186"/>
  <c r="DA186"/>
  <c r="CZ186"/>
  <c r="CY186"/>
  <c r="CX186"/>
  <c r="CW186"/>
  <c r="CV186"/>
  <c r="CU186"/>
  <c r="CT186"/>
  <c r="CS186"/>
  <c r="CR186"/>
  <c r="CQ186"/>
  <c r="CP186"/>
  <c r="CO186"/>
  <c r="CN186"/>
  <c r="CM186"/>
  <c r="CL186"/>
  <c r="CK186"/>
  <c r="CJ186"/>
  <c r="CI186"/>
  <c r="CH186"/>
  <c r="CG186"/>
  <c r="CF186"/>
  <c r="CE186"/>
  <c r="CD186"/>
  <c r="CC186"/>
  <c r="CB186"/>
  <c r="CA186"/>
  <c r="BZ186"/>
  <c r="BY186"/>
  <c r="BX186"/>
  <c r="BW186"/>
  <c r="BV186"/>
  <c r="BU186"/>
  <c r="BT186"/>
  <c r="BS186"/>
  <c r="BR186"/>
  <c r="BQ186"/>
  <c r="BP186"/>
  <c r="BO186"/>
  <c r="BN186"/>
  <c r="E186"/>
  <c r="D186"/>
  <c r="C186"/>
  <c r="B186"/>
  <c r="DU185"/>
  <c r="DT185"/>
  <c r="DS185"/>
  <c r="DR185"/>
  <c r="DQ185"/>
  <c r="DP185"/>
  <c r="DO185"/>
  <c r="DN185"/>
  <c r="DM185"/>
  <c r="DL185"/>
  <c r="DK185"/>
  <c r="DJ185"/>
  <c r="DI185"/>
  <c r="DH185"/>
  <c r="DG185"/>
  <c r="DF185"/>
  <c r="DE185"/>
  <c r="DD185"/>
  <c r="DC185"/>
  <c r="DB185"/>
  <c r="DA185"/>
  <c r="CZ185"/>
  <c r="CY185"/>
  <c r="CX185"/>
  <c r="CW185"/>
  <c r="CV185"/>
  <c r="CU185"/>
  <c r="CT185"/>
  <c r="CS185"/>
  <c r="CR185"/>
  <c r="CQ185"/>
  <c r="CP185"/>
  <c r="CO185"/>
  <c r="CN185"/>
  <c r="CM185"/>
  <c r="CL185"/>
  <c r="CK185"/>
  <c r="CJ185"/>
  <c r="CI185"/>
  <c r="CH185"/>
  <c r="CG185"/>
  <c r="CF185"/>
  <c r="CE185"/>
  <c r="CD185"/>
  <c r="CC185"/>
  <c r="CB185"/>
  <c r="CA185"/>
  <c r="BZ185"/>
  <c r="BY185"/>
  <c r="BX185"/>
  <c r="BW185"/>
  <c r="BV185"/>
  <c r="BU185"/>
  <c r="BT185"/>
  <c r="BS185"/>
  <c r="BR185"/>
  <c r="BQ185"/>
  <c r="BP185"/>
  <c r="BO185"/>
  <c r="BN185"/>
  <c r="E185"/>
  <c r="D185"/>
  <c r="C185"/>
  <c r="B185"/>
  <c r="DU184"/>
  <c r="DT184"/>
  <c r="DS184"/>
  <c r="DR184"/>
  <c r="DQ184"/>
  <c r="DP184"/>
  <c r="DO184"/>
  <c r="DN184"/>
  <c r="DM184"/>
  <c r="DL184"/>
  <c r="DK184"/>
  <c r="DJ184"/>
  <c r="DI184"/>
  <c r="DH184"/>
  <c r="DG184"/>
  <c r="DF184"/>
  <c r="DE184"/>
  <c r="DD184"/>
  <c r="DC184"/>
  <c r="DB184"/>
  <c r="DA184"/>
  <c r="CZ184"/>
  <c r="CY184"/>
  <c r="CX184"/>
  <c r="CW184"/>
  <c r="CV184"/>
  <c r="CU184"/>
  <c r="CT184"/>
  <c r="CS184"/>
  <c r="CR184"/>
  <c r="CQ184"/>
  <c r="CP184"/>
  <c r="CO184"/>
  <c r="CN184"/>
  <c r="CM184"/>
  <c r="CL184"/>
  <c r="CK184"/>
  <c r="CJ184"/>
  <c r="CI184"/>
  <c r="CH184"/>
  <c r="CG184"/>
  <c r="CF184"/>
  <c r="CE184"/>
  <c r="CD184"/>
  <c r="CC184"/>
  <c r="CB184"/>
  <c r="CA184"/>
  <c r="BZ184"/>
  <c r="BY184"/>
  <c r="BX184"/>
  <c r="BW184"/>
  <c r="BV184"/>
  <c r="BU184"/>
  <c r="BT184"/>
  <c r="BS184"/>
  <c r="BR184"/>
  <c r="BQ184"/>
  <c r="BP184"/>
  <c r="BO184"/>
  <c r="BN184"/>
  <c r="DU183"/>
  <c r="DT183"/>
  <c r="DS183"/>
  <c r="DR183"/>
  <c r="DQ183"/>
  <c r="DP183"/>
  <c r="DO183"/>
  <c r="DN183"/>
  <c r="DM183"/>
  <c r="DL183"/>
  <c r="DK183"/>
  <c r="DJ183"/>
  <c r="DI183"/>
  <c r="DH183"/>
  <c r="DG183"/>
  <c r="DF183"/>
  <c r="DE183"/>
  <c r="DD183"/>
  <c r="DC183"/>
  <c r="DB183"/>
  <c r="DA183"/>
  <c r="CZ183"/>
  <c r="CY183"/>
  <c r="CX183"/>
  <c r="CW183"/>
  <c r="CV183"/>
  <c r="CU183"/>
  <c r="CT183"/>
  <c r="CS183"/>
  <c r="CR183"/>
  <c r="CQ183"/>
  <c r="CP183"/>
  <c r="CO183"/>
  <c r="CN183"/>
  <c r="CM183"/>
  <c r="CL183"/>
  <c r="CK183"/>
  <c r="CJ183"/>
  <c r="CI183"/>
  <c r="CH183"/>
  <c r="CG183"/>
  <c r="CF183"/>
  <c r="CE183"/>
  <c r="CD183"/>
  <c r="CC183"/>
  <c r="CB183"/>
  <c r="CA183"/>
  <c r="BZ183"/>
  <c r="BY183"/>
  <c r="BX183"/>
  <c r="BW183"/>
  <c r="BV183"/>
  <c r="BU183"/>
  <c r="BT183"/>
  <c r="BS183"/>
  <c r="BR183"/>
  <c r="BQ183"/>
  <c r="BP183"/>
  <c r="BO183"/>
  <c r="BN183"/>
  <c r="A183"/>
  <c r="DU182"/>
  <c r="DT182"/>
  <c r="DS182"/>
  <c r="DR182"/>
  <c r="DQ182"/>
  <c r="DP182"/>
  <c r="DO182"/>
  <c r="DN182"/>
  <c r="DM182"/>
  <c r="DL182"/>
  <c r="DK182"/>
  <c r="DJ182"/>
  <c r="DI182"/>
  <c r="DH182"/>
  <c r="DG182"/>
  <c r="DF182"/>
  <c r="DE182"/>
  <c r="DD182"/>
  <c r="DC182"/>
  <c r="DB182"/>
  <c r="DA182"/>
  <c r="CZ182"/>
  <c r="CY182"/>
  <c r="CX182"/>
  <c r="CW182"/>
  <c r="CV182"/>
  <c r="CU182"/>
  <c r="CT182"/>
  <c r="CS182"/>
  <c r="CR182"/>
  <c r="CQ182"/>
  <c r="CP182"/>
  <c r="CO182"/>
  <c r="CN182"/>
  <c r="CM182"/>
  <c r="CL182"/>
  <c r="CK182"/>
  <c r="CJ182"/>
  <c r="CI182"/>
  <c r="CH182"/>
  <c r="CG182"/>
  <c r="CF182"/>
  <c r="CE182"/>
  <c r="CD182"/>
  <c r="CC182"/>
  <c r="CB182"/>
  <c r="CA182"/>
  <c r="BZ182"/>
  <c r="BY182"/>
  <c r="BX182"/>
  <c r="BW182"/>
  <c r="BV182"/>
  <c r="BU182"/>
  <c r="BT182"/>
  <c r="BS182"/>
  <c r="BR182"/>
  <c r="BQ182"/>
  <c r="BP182"/>
  <c r="BO182"/>
  <c r="BN182"/>
  <c r="B182"/>
  <c r="B343" s="1"/>
  <c r="A182"/>
  <c r="DU181"/>
  <c r="DT181"/>
  <c r="DS181"/>
  <c r="DR181"/>
  <c r="DQ181"/>
  <c r="DP181"/>
  <c r="DO181"/>
  <c r="DN181"/>
  <c r="DM181"/>
  <c r="DL181"/>
  <c r="DK181"/>
  <c r="DJ181"/>
  <c r="DI181"/>
  <c r="DH181"/>
  <c r="DG181"/>
  <c r="DF181"/>
  <c r="DE181"/>
  <c r="DD181"/>
  <c r="DC181"/>
  <c r="DB181"/>
  <c r="DA181"/>
  <c r="CZ181"/>
  <c r="CY181"/>
  <c r="CX181"/>
  <c r="CW181"/>
  <c r="CV181"/>
  <c r="CU181"/>
  <c r="CT181"/>
  <c r="CS181"/>
  <c r="CR181"/>
  <c r="CQ181"/>
  <c r="CP181"/>
  <c r="CO181"/>
  <c r="CN181"/>
  <c r="CM181"/>
  <c r="CL181"/>
  <c r="CK181"/>
  <c r="CJ181"/>
  <c r="CI181"/>
  <c r="CH181"/>
  <c r="CG181"/>
  <c r="CF181"/>
  <c r="CE181"/>
  <c r="CD181"/>
  <c r="CC181"/>
  <c r="CB181"/>
  <c r="CA181"/>
  <c r="BZ181"/>
  <c r="BY181"/>
  <c r="BX181"/>
  <c r="BW181"/>
  <c r="BV181"/>
  <c r="BU181"/>
  <c r="BT181"/>
  <c r="BS181"/>
  <c r="BR181"/>
  <c r="BQ181"/>
  <c r="BP181"/>
  <c r="BO181"/>
  <c r="BN181"/>
  <c r="A181"/>
  <c r="DU180"/>
  <c r="DT180"/>
  <c r="DS180"/>
  <c r="DR180"/>
  <c r="DQ180"/>
  <c r="DP180"/>
  <c r="DO180"/>
  <c r="DN180"/>
  <c r="DM180"/>
  <c r="DL180"/>
  <c r="DK180"/>
  <c r="DJ180"/>
  <c r="DI180"/>
  <c r="DH180"/>
  <c r="DG180"/>
  <c r="DF180"/>
  <c r="DE180"/>
  <c r="DD180"/>
  <c r="DC180"/>
  <c r="DB180"/>
  <c r="DA180"/>
  <c r="CZ180"/>
  <c r="CY180"/>
  <c r="CX180"/>
  <c r="CW180"/>
  <c r="CV180"/>
  <c r="CU180"/>
  <c r="CT180"/>
  <c r="CS180"/>
  <c r="CR180"/>
  <c r="CQ180"/>
  <c r="CP180"/>
  <c r="CO180"/>
  <c r="CN180"/>
  <c r="CM180"/>
  <c r="CL180"/>
  <c r="CK180"/>
  <c r="CJ180"/>
  <c r="CI180"/>
  <c r="CH180"/>
  <c r="CG180"/>
  <c r="CF180"/>
  <c r="CE180"/>
  <c r="CD180"/>
  <c r="CC180"/>
  <c r="CB180"/>
  <c r="CA180"/>
  <c r="BZ180"/>
  <c r="BY180"/>
  <c r="BX180"/>
  <c r="BW180"/>
  <c r="BV180"/>
  <c r="BU180"/>
  <c r="BT180"/>
  <c r="BS180"/>
  <c r="BR180"/>
  <c r="BQ180"/>
  <c r="BP180"/>
  <c r="BO180"/>
  <c r="BN180"/>
  <c r="B180"/>
  <c r="A180"/>
  <c r="DU179"/>
  <c r="DT179"/>
  <c r="DS179"/>
  <c r="DR179"/>
  <c r="DQ179"/>
  <c r="DP179"/>
  <c r="DO179"/>
  <c r="DN179"/>
  <c r="DM179"/>
  <c r="DL179"/>
  <c r="DK179"/>
  <c r="DJ179"/>
  <c r="DI179"/>
  <c r="DH179"/>
  <c r="DG179"/>
  <c r="DF179"/>
  <c r="DE179"/>
  <c r="DD179"/>
  <c r="DC179"/>
  <c r="DB179"/>
  <c r="DA179"/>
  <c r="CZ179"/>
  <c r="CY179"/>
  <c r="CX179"/>
  <c r="CW179"/>
  <c r="CV179"/>
  <c r="CU179"/>
  <c r="CT179"/>
  <c r="CS179"/>
  <c r="CR179"/>
  <c r="CQ179"/>
  <c r="CP179"/>
  <c r="CO179"/>
  <c r="CN179"/>
  <c r="CM179"/>
  <c r="CL179"/>
  <c r="CK179"/>
  <c r="CJ179"/>
  <c r="CI179"/>
  <c r="CH179"/>
  <c r="CG179"/>
  <c r="CF179"/>
  <c r="CE179"/>
  <c r="CD179"/>
  <c r="CC179"/>
  <c r="CB179"/>
  <c r="CA179"/>
  <c r="BZ179"/>
  <c r="BY179"/>
  <c r="BX179"/>
  <c r="BW179"/>
  <c r="BV179"/>
  <c r="BU179"/>
  <c r="BT179"/>
  <c r="BS179"/>
  <c r="BR179"/>
  <c r="BQ179"/>
  <c r="BP179"/>
  <c r="BO179"/>
  <c r="BN179"/>
  <c r="C179"/>
  <c r="C181" s="1"/>
  <c r="B179"/>
  <c r="A179"/>
  <c r="DU178"/>
  <c r="DT178"/>
  <c r="DS178"/>
  <c r="DR178"/>
  <c r="DQ178"/>
  <c r="DP178"/>
  <c r="DO178"/>
  <c r="DN178"/>
  <c r="DM178"/>
  <c r="DL178"/>
  <c r="DK178"/>
  <c r="DJ178"/>
  <c r="DI178"/>
  <c r="DH178"/>
  <c r="DG178"/>
  <c r="DF178"/>
  <c r="DE178"/>
  <c r="DD178"/>
  <c r="DC178"/>
  <c r="DB178"/>
  <c r="DA178"/>
  <c r="CZ178"/>
  <c r="CY178"/>
  <c r="CX178"/>
  <c r="CW178"/>
  <c r="CV178"/>
  <c r="CU178"/>
  <c r="CT178"/>
  <c r="CS178"/>
  <c r="CR178"/>
  <c r="CQ178"/>
  <c r="CP178"/>
  <c r="CO178"/>
  <c r="CN178"/>
  <c r="CM178"/>
  <c r="CL178"/>
  <c r="CK178"/>
  <c r="CJ178"/>
  <c r="CI178"/>
  <c r="CH178"/>
  <c r="CG178"/>
  <c r="CF178"/>
  <c r="CE178"/>
  <c r="CD178"/>
  <c r="CC178"/>
  <c r="CB178"/>
  <c r="CA178"/>
  <c r="BZ178"/>
  <c r="BY178"/>
  <c r="BX178"/>
  <c r="BW178"/>
  <c r="BV178"/>
  <c r="BU178"/>
  <c r="BT178"/>
  <c r="BS178"/>
  <c r="BR178"/>
  <c r="BQ178"/>
  <c r="BP178"/>
  <c r="BO178"/>
  <c r="BN178"/>
  <c r="B178"/>
  <c r="A178"/>
  <c r="DU177"/>
  <c r="DT177"/>
  <c r="DS177"/>
  <c r="DR177"/>
  <c r="DQ177"/>
  <c r="DP177"/>
  <c r="DO177"/>
  <c r="DN177"/>
  <c r="DM177"/>
  <c r="DL177"/>
  <c r="DK177"/>
  <c r="DJ177"/>
  <c r="DI177"/>
  <c r="DH177"/>
  <c r="DG177"/>
  <c r="DF177"/>
  <c r="DE177"/>
  <c r="DD177"/>
  <c r="DC177"/>
  <c r="DB177"/>
  <c r="DA177"/>
  <c r="CZ177"/>
  <c r="CY177"/>
  <c r="CX177"/>
  <c r="CW177"/>
  <c r="CV177"/>
  <c r="CU177"/>
  <c r="CT177"/>
  <c r="CS177"/>
  <c r="CR177"/>
  <c r="CQ177"/>
  <c r="CP177"/>
  <c r="CO177"/>
  <c r="CN177"/>
  <c r="CM177"/>
  <c r="CL177"/>
  <c r="CK177"/>
  <c r="CJ177"/>
  <c r="CI177"/>
  <c r="CH177"/>
  <c r="CG177"/>
  <c r="CF177"/>
  <c r="CE177"/>
  <c r="CD177"/>
  <c r="CC177"/>
  <c r="CB177"/>
  <c r="CA177"/>
  <c r="BZ177"/>
  <c r="BY177"/>
  <c r="BX177"/>
  <c r="BW177"/>
  <c r="BV177"/>
  <c r="BU177"/>
  <c r="BT177"/>
  <c r="BS177"/>
  <c r="BR177"/>
  <c r="BQ177"/>
  <c r="BP177"/>
  <c r="BO177"/>
  <c r="BN177"/>
  <c r="DU176"/>
  <c r="DT176"/>
  <c r="DS176"/>
  <c r="DR176"/>
  <c r="DQ176"/>
  <c r="DP176"/>
  <c r="DO176"/>
  <c r="DN176"/>
  <c r="DM176"/>
  <c r="DL176"/>
  <c r="DK176"/>
  <c r="DJ176"/>
  <c r="DI176"/>
  <c r="DH176"/>
  <c r="DG176"/>
  <c r="DF176"/>
  <c r="DE176"/>
  <c r="DD176"/>
  <c r="DC176"/>
  <c r="DB176"/>
  <c r="DA176"/>
  <c r="CZ176"/>
  <c r="CY176"/>
  <c r="CX176"/>
  <c r="CW176"/>
  <c r="CV176"/>
  <c r="CU176"/>
  <c r="CT176"/>
  <c r="CS176"/>
  <c r="CR176"/>
  <c r="CQ176"/>
  <c r="CP176"/>
  <c r="CO176"/>
  <c r="CN176"/>
  <c r="CM176"/>
  <c r="CL176"/>
  <c r="CK176"/>
  <c r="CJ176"/>
  <c r="CI176"/>
  <c r="CH176"/>
  <c r="CG176"/>
  <c r="CF176"/>
  <c r="CE176"/>
  <c r="CD176"/>
  <c r="CC176"/>
  <c r="CB176"/>
  <c r="CA176"/>
  <c r="BZ176"/>
  <c r="BY176"/>
  <c r="BX176"/>
  <c r="BW176"/>
  <c r="BV176"/>
  <c r="BU176"/>
  <c r="BT176"/>
  <c r="BS176"/>
  <c r="BR176"/>
  <c r="BQ176"/>
  <c r="BP176"/>
  <c r="BO176"/>
  <c r="BN176"/>
  <c r="A176"/>
  <c r="DU175"/>
  <c r="DT175"/>
  <c r="DS175"/>
  <c r="DR175"/>
  <c r="DQ175"/>
  <c r="DP175"/>
  <c r="DO175"/>
  <c r="DN175"/>
  <c r="DM175"/>
  <c r="DL175"/>
  <c r="DK175"/>
  <c r="DJ175"/>
  <c r="DI175"/>
  <c r="DH175"/>
  <c r="DG175"/>
  <c r="DF175"/>
  <c r="DE175"/>
  <c r="DD175"/>
  <c r="DC175"/>
  <c r="DB175"/>
  <c r="DA175"/>
  <c r="CZ175"/>
  <c r="CY175"/>
  <c r="CX175"/>
  <c r="CW175"/>
  <c r="CV175"/>
  <c r="CU175"/>
  <c r="CT175"/>
  <c r="CS175"/>
  <c r="CR175"/>
  <c r="CQ175"/>
  <c r="CP175"/>
  <c r="CO175"/>
  <c r="CN175"/>
  <c r="CM175"/>
  <c r="CL175"/>
  <c r="CK175"/>
  <c r="CJ175"/>
  <c r="CI175"/>
  <c r="CH175"/>
  <c r="CG175"/>
  <c r="CF175"/>
  <c r="CE175"/>
  <c r="CD175"/>
  <c r="CC175"/>
  <c r="CB175"/>
  <c r="CA175"/>
  <c r="BZ175"/>
  <c r="BY175"/>
  <c r="BX175"/>
  <c r="BW175"/>
  <c r="BV175"/>
  <c r="BU175"/>
  <c r="BT175"/>
  <c r="BS175"/>
  <c r="BR175"/>
  <c r="BQ175"/>
  <c r="BP175"/>
  <c r="BO175"/>
  <c r="BN175"/>
  <c r="BM175"/>
  <c r="BL175"/>
  <c r="BK175"/>
  <c r="BJ175"/>
  <c r="BI175"/>
  <c r="BH175"/>
  <c r="BG175"/>
  <c r="BF175"/>
  <c r="BE175"/>
  <c r="BD175"/>
  <c r="BC175"/>
  <c r="BB175"/>
  <c r="BA175"/>
  <c r="AZ175"/>
  <c r="AY175"/>
  <c r="AX175"/>
  <c r="AW175"/>
  <c r="AV175"/>
  <c r="AU175"/>
  <c r="AT175"/>
  <c r="AS175"/>
  <c r="AR175"/>
  <c r="AQ175"/>
  <c r="AP175"/>
  <c r="AO175"/>
  <c r="AN175"/>
  <c r="AM175"/>
  <c r="AL175"/>
  <c r="AK175"/>
  <c r="AJ175"/>
  <c r="AI175"/>
  <c r="AH175"/>
  <c r="AG175"/>
  <c r="AF175"/>
  <c r="AE175"/>
  <c r="AD175"/>
  <c r="AC175"/>
  <c r="AB175"/>
  <c r="AA175"/>
  <c r="Z175"/>
  <c r="Y175"/>
  <c r="X175"/>
  <c r="W175"/>
  <c r="V175"/>
  <c r="U175"/>
  <c r="T175"/>
  <c r="S175"/>
  <c r="R175"/>
  <c r="Q175"/>
  <c r="P175"/>
  <c r="O175"/>
  <c r="N175"/>
  <c r="M175"/>
  <c r="L175"/>
  <c r="K175"/>
  <c r="J175"/>
  <c r="I175"/>
  <c r="H175"/>
  <c r="G175"/>
  <c r="F175"/>
  <c r="E175"/>
  <c r="D175"/>
  <c r="C175"/>
  <c r="B175"/>
  <c r="A175"/>
  <c r="DU174"/>
  <c r="DT174"/>
  <c r="DS174"/>
  <c r="DR174"/>
  <c r="DQ174"/>
  <c r="DP174"/>
  <c r="DO174"/>
  <c r="DN174"/>
  <c r="DM174"/>
  <c r="DL174"/>
  <c r="DK174"/>
  <c r="DJ174"/>
  <c r="DI174"/>
  <c r="DH174"/>
  <c r="DG174"/>
  <c r="DF174"/>
  <c r="DE174"/>
  <c r="DD174"/>
  <c r="DC174"/>
  <c r="DB174"/>
  <c r="DA174"/>
  <c r="CZ174"/>
  <c r="CY174"/>
  <c r="CX174"/>
  <c r="CW174"/>
  <c r="CV174"/>
  <c r="CU174"/>
  <c r="CT174"/>
  <c r="CS174"/>
  <c r="CR174"/>
  <c r="CQ174"/>
  <c r="CP174"/>
  <c r="CO174"/>
  <c r="CN174"/>
  <c r="CM174"/>
  <c r="CL174"/>
  <c r="CK174"/>
  <c r="CJ174"/>
  <c r="CI174"/>
  <c r="CH174"/>
  <c r="CG174"/>
  <c r="CF174"/>
  <c r="CE174"/>
  <c r="CD174"/>
  <c r="CC174"/>
  <c r="CB174"/>
  <c r="CA174"/>
  <c r="BZ174"/>
  <c r="BY174"/>
  <c r="BX174"/>
  <c r="BW174"/>
  <c r="BV174"/>
  <c r="BU174"/>
  <c r="BT174"/>
  <c r="BS174"/>
  <c r="BR174"/>
  <c r="BQ174"/>
  <c r="BP174"/>
  <c r="BO174"/>
  <c r="BN174"/>
  <c r="DU173"/>
  <c r="DT173"/>
  <c r="DS173"/>
  <c r="DR173"/>
  <c r="DQ173"/>
  <c r="DP173"/>
  <c r="DO173"/>
  <c r="DN173"/>
  <c r="DM173"/>
  <c r="DL173"/>
  <c r="DK173"/>
  <c r="DJ173"/>
  <c r="DI173"/>
  <c r="DH173"/>
  <c r="DG173"/>
  <c r="DF173"/>
  <c r="DE173"/>
  <c r="DD173"/>
  <c r="DC173"/>
  <c r="DB173"/>
  <c r="DA173"/>
  <c r="CZ173"/>
  <c r="CY173"/>
  <c r="CX173"/>
  <c r="CW173"/>
  <c r="CV173"/>
  <c r="CU173"/>
  <c r="CT173"/>
  <c r="CS173"/>
  <c r="CR173"/>
  <c r="CQ173"/>
  <c r="CP173"/>
  <c r="CO173"/>
  <c r="CN173"/>
  <c r="CM173"/>
  <c r="CL173"/>
  <c r="CK173"/>
  <c r="CJ173"/>
  <c r="CI173"/>
  <c r="CH173"/>
  <c r="CG173"/>
  <c r="CF173"/>
  <c r="CE173"/>
  <c r="CD173"/>
  <c r="CC173"/>
  <c r="CB173"/>
  <c r="CA173"/>
  <c r="BZ173"/>
  <c r="BY173"/>
  <c r="BX173"/>
  <c r="BW173"/>
  <c r="BV173"/>
  <c r="BU173"/>
  <c r="BT173"/>
  <c r="BS173"/>
  <c r="BR173"/>
  <c r="BQ173"/>
  <c r="BP173"/>
  <c r="BO173"/>
  <c r="BN173"/>
  <c r="DU172"/>
  <c r="DT172"/>
  <c r="DS172"/>
  <c r="DR172"/>
  <c r="DQ172"/>
  <c r="DP172"/>
  <c r="DO172"/>
  <c r="DN172"/>
  <c r="DM172"/>
  <c r="DL172"/>
  <c r="DK172"/>
  <c r="DJ172"/>
  <c r="DI172"/>
  <c r="DH172"/>
  <c r="DG172"/>
  <c r="DF172"/>
  <c r="DE172"/>
  <c r="DD172"/>
  <c r="DC172"/>
  <c r="DB172"/>
  <c r="DA172"/>
  <c r="CZ172"/>
  <c r="CY172"/>
  <c r="CX172"/>
  <c r="CW172"/>
  <c r="CV172"/>
  <c r="CU172"/>
  <c r="CT172"/>
  <c r="CS172"/>
  <c r="CR172"/>
  <c r="CQ172"/>
  <c r="CP172"/>
  <c r="CO172"/>
  <c r="CN172"/>
  <c r="CM172"/>
  <c r="CL172"/>
  <c r="CK172"/>
  <c r="CJ172"/>
  <c r="CI172"/>
  <c r="CH172"/>
  <c r="CG172"/>
  <c r="CF172"/>
  <c r="CE172"/>
  <c r="CD172"/>
  <c r="CC172"/>
  <c r="CB172"/>
  <c r="CA172"/>
  <c r="BZ172"/>
  <c r="BY172"/>
  <c r="BX172"/>
  <c r="BW172"/>
  <c r="BV172"/>
  <c r="BU172"/>
  <c r="BT172"/>
  <c r="BS172"/>
  <c r="BR172"/>
  <c r="BQ172"/>
  <c r="BP172"/>
  <c r="BO172"/>
  <c r="BN172"/>
  <c r="DU171"/>
  <c r="DT171"/>
  <c r="DS171"/>
  <c r="DR171"/>
  <c r="DQ171"/>
  <c r="DP171"/>
  <c r="DO171"/>
  <c r="DN171"/>
  <c r="DM171"/>
  <c r="DL171"/>
  <c r="DK171"/>
  <c r="DJ171"/>
  <c r="DI171"/>
  <c r="DH171"/>
  <c r="DG171"/>
  <c r="DF171"/>
  <c r="DE171"/>
  <c r="DD171"/>
  <c r="DC171"/>
  <c r="DB171"/>
  <c r="DA171"/>
  <c r="CZ171"/>
  <c r="CY171"/>
  <c r="CX171"/>
  <c r="CW171"/>
  <c r="CV171"/>
  <c r="CU171"/>
  <c r="CT171"/>
  <c r="CS171"/>
  <c r="CR171"/>
  <c r="CQ171"/>
  <c r="CP171"/>
  <c r="CO171"/>
  <c r="CN171"/>
  <c r="CM171"/>
  <c r="CL171"/>
  <c r="CK171"/>
  <c r="CJ171"/>
  <c r="CI171"/>
  <c r="CH171"/>
  <c r="CG171"/>
  <c r="CF171"/>
  <c r="CE171"/>
  <c r="CD171"/>
  <c r="CC171"/>
  <c r="CB171"/>
  <c r="CA171"/>
  <c r="BZ171"/>
  <c r="BY171"/>
  <c r="BX171"/>
  <c r="BW171"/>
  <c r="BV171"/>
  <c r="BU171"/>
  <c r="BT171"/>
  <c r="BS171"/>
  <c r="BR171"/>
  <c r="BQ171"/>
  <c r="BP171"/>
  <c r="BO171"/>
  <c r="BN171"/>
  <c r="DU170"/>
  <c r="DT170"/>
  <c r="DS170"/>
  <c r="DR170"/>
  <c r="DQ170"/>
  <c r="DP170"/>
  <c r="DO170"/>
  <c r="DN170"/>
  <c r="DM170"/>
  <c r="DL170"/>
  <c r="DK170"/>
  <c r="DJ170"/>
  <c r="DI170"/>
  <c r="DH170"/>
  <c r="DG170"/>
  <c r="DF170"/>
  <c r="DE170"/>
  <c r="DD170"/>
  <c r="DC170"/>
  <c r="DB170"/>
  <c r="DA170"/>
  <c r="CZ170"/>
  <c r="CY170"/>
  <c r="CX170"/>
  <c r="CW170"/>
  <c r="CV170"/>
  <c r="CU170"/>
  <c r="CT170"/>
  <c r="CS170"/>
  <c r="CR170"/>
  <c r="CQ170"/>
  <c r="CP170"/>
  <c r="CO170"/>
  <c r="CN170"/>
  <c r="CM170"/>
  <c r="CL170"/>
  <c r="CK170"/>
  <c r="CJ170"/>
  <c r="CI170"/>
  <c r="CH170"/>
  <c r="CG170"/>
  <c r="CF170"/>
  <c r="CE170"/>
  <c r="CD170"/>
  <c r="CC170"/>
  <c r="CB170"/>
  <c r="CA170"/>
  <c r="BZ170"/>
  <c r="BY170"/>
  <c r="BX170"/>
  <c r="BW170"/>
  <c r="BV170"/>
  <c r="BU170"/>
  <c r="BT170"/>
  <c r="BS170"/>
  <c r="BR170"/>
  <c r="BQ170"/>
  <c r="BP170"/>
  <c r="BO170"/>
  <c r="BN170"/>
  <c r="DU169"/>
  <c r="DT169"/>
  <c r="DS169"/>
  <c r="DR169"/>
  <c r="DQ169"/>
  <c r="DP169"/>
  <c r="DO169"/>
  <c r="DN169"/>
  <c r="DM169"/>
  <c r="DL169"/>
  <c r="DK169"/>
  <c r="DJ169"/>
  <c r="DI169"/>
  <c r="DH169"/>
  <c r="DG169"/>
  <c r="DF169"/>
  <c r="DE169"/>
  <c r="DD169"/>
  <c r="DC169"/>
  <c r="DB169"/>
  <c r="DA169"/>
  <c r="CZ169"/>
  <c r="CY169"/>
  <c r="CX169"/>
  <c r="CW169"/>
  <c r="CV169"/>
  <c r="CU169"/>
  <c r="CT169"/>
  <c r="CS169"/>
  <c r="CR169"/>
  <c r="CQ169"/>
  <c r="CP169"/>
  <c r="CO169"/>
  <c r="CN169"/>
  <c r="CM169"/>
  <c r="CL169"/>
  <c r="CK169"/>
  <c r="CJ169"/>
  <c r="CI169"/>
  <c r="CH169"/>
  <c r="CG169"/>
  <c r="CF169"/>
  <c r="CE169"/>
  <c r="CD169"/>
  <c r="CC169"/>
  <c r="CB169"/>
  <c r="CA169"/>
  <c r="BZ169"/>
  <c r="BY169"/>
  <c r="BX169"/>
  <c r="BW169"/>
  <c r="BV169"/>
  <c r="BU169"/>
  <c r="BT169"/>
  <c r="BS169"/>
  <c r="BR169"/>
  <c r="BQ169"/>
  <c r="BP169"/>
  <c r="BO169"/>
  <c r="BN169"/>
  <c r="DU168"/>
  <c r="DT168"/>
  <c r="DS168"/>
  <c r="DR168"/>
  <c r="DQ168"/>
  <c r="DP168"/>
  <c r="DO168"/>
  <c r="DN168"/>
  <c r="DM168"/>
  <c r="DL168"/>
  <c r="DK168"/>
  <c r="DJ168"/>
  <c r="DI168"/>
  <c r="DH168"/>
  <c r="DG168"/>
  <c r="DF168"/>
  <c r="DE168"/>
  <c r="DD168"/>
  <c r="DC168"/>
  <c r="DB168"/>
  <c r="DA168"/>
  <c r="CZ168"/>
  <c r="CY168"/>
  <c r="CX168"/>
  <c r="CW168"/>
  <c r="CV168"/>
  <c r="CU168"/>
  <c r="CT168"/>
  <c r="CS168"/>
  <c r="CR168"/>
  <c r="CQ168"/>
  <c r="CP168"/>
  <c r="CO168"/>
  <c r="CN168"/>
  <c r="CM168"/>
  <c r="CL168"/>
  <c r="CK168"/>
  <c r="CJ168"/>
  <c r="CI168"/>
  <c r="CH168"/>
  <c r="CG168"/>
  <c r="CF168"/>
  <c r="CE168"/>
  <c r="CD168"/>
  <c r="CC168"/>
  <c r="CB168"/>
  <c r="CA168"/>
  <c r="BZ168"/>
  <c r="BY168"/>
  <c r="BX168"/>
  <c r="BW168"/>
  <c r="BV168"/>
  <c r="BU168"/>
  <c r="BT168"/>
  <c r="BS168"/>
  <c r="BR168"/>
  <c r="BQ168"/>
  <c r="BP168"/>
  <c r="BO168"/>
  <c r="BN168"/>
  <c r="DU167"/>
  <c r="DT167"/>
  <c r="DS167"/>
  <c r="DR167"/>
  <c r="DQ167"/>
  <c r="DP167"/>
  <c r="DO167"/>
  <c r="DN167"/>
  <c r="DM167"/>
  <c r="DL167"/>
  <c r="DK167"/>
  <c r="DJ167"/>
  <c r="DI167"/>
  <c r="DH167"/>
  <c r="DG167"/>
  <c r="DF167"/>
  <c r="DE167"/>
  <c r="DD167"/>
  <c r="DC167"/>
  <c r="DB167"/>
  <c r="DA167"/>
  <c r="CZ167"/>
  <c r="CY167"/>
  <c r="CX167"/>
  <c r="CW167"/>
  <c r="CV167"/>
  <c r="CU167"/>
  <c r="CT167"/>
  <c r="CS167"/>
  <c r="CR167"/>
  <c r="CQ167"/>
  <c r="CP167"/>
  <c r="CO167"/>
  <c r="CN167"/>
  <c r="CM167"/>
  <c r="CL167"/>
  <c r="CK167"/>
  <c r="CJ167"/>
  <c r="CI167"/>
  <c r="CH167"/>
  <c r="CG167"/>
  <c r="CF167"/>
  <c r="CE167"/>
  <c r="CD167"/>
  <c r="CC167"/>
  <c r="CB167"/>
  <c r="CA167"/>
  <c r="BZ167"/>
  <c r="BY167"/>
  <c r="BX167"/>
  <c r="BW167"/>
  <c r="BV167"/>
  <c r="BU167"/>
  <c r="BT167"/>
  <c r="BS167"/>
  <c r="BR167"/>
  <c r="BQ167"/>
  <c r="BP167"/>
  <c r="BO167"/>
  <c r="BN167"/>
  <c r="E167"/>
  <c r="B167"/>
  <c r="B167" i="2" s="1"/>
  <c r="A167" i="3"/>
  <c r="A167" i="2" s="1"/>
  <c r="DU166" i="3"/>
  <c r="DT166"/>
  <c r="DS166"/>
  <c r="DR166"/>
  <c r="DQ166"/>
  <c r="DP166"/>
  <c r="DO166"/>
  <c r="DN166"/>
  <c r="DM166"/>
  <c r="DL166"/>
  <c r="DK166"/>
  <c r="DJ166"/>
  <c r="DI166"/>
  <c r="DH166"/>
  <c r="DG166"/>
  <c r="DF166"/>
  <c r="DE166"/>
  <c r="DD166"/>
  <c r="DC166"/>
  <c r="DB166"/>
  <c r="DA166"/>
  <c r="CZ166"/>
  <c r="CY166"/>
  <c r="CX166"/>
  <c r="CW166"/>
  <c r="CV166"/>
  <c r="CU166"/>
  <c r="CT166"/>
  <c r="CS166"/>
  <c r="CR166"/>
  <c r="CQ166"/>
  <c r="CP166"/>
  <c r="CO166"/>
  <c r="CN166"/>
  <c r="CM166"/>
  <c r="CL166"/>
  <c r="CK166"/>
  <c r="CJ166"/>
  <c r="CI166"/>
  <c r="CH166"/>
  <c r="CG166"/>
  <c r="CF166"/>
  <c r="CE166"/>
  <c r="CD166"/>
  <c r="CC166"/>
  <c r="CB166"/>
  <c r="CA166"/>
  <c r="BZ166"/>
  <c r="BY166"/>
  <c r="BX166"/>
  <c r="BW166"/>
  <c r="BV166"/>
  <c r="BU166"/>
  <c r="BT166"/>
  <c r="BS166"/>
  <c r="BR166"/>
  <c r="BQ166"/>
  <c r="BP166"/>
  <c r="BO166"/>
  <c r="BN166"/>
  <c r="E166"/>
  <c r="E334" s="1"/>
  <c r="D166"/>
  <c r="D334" s="1"/>
  <c r="C166"/>
  <c r="C334" s="1"/>
  <c r="B166"/>
  <c r="B334" s="1"/>
  <c r="A166"/>
  <c r="A334" s="1"/>
  <c r="DU165"/>
  <c r="DT165"/>
  <c r="DS165"/>
  <c r="DR165"/>
  <c r="DQ165"/>
  <c r="DP165"/>
  <c r="DO165"/>
  <c r="DN165"/>
  <c r="DM165"/>
  <c r="DL165"/>
  <c r="DK165"/>
  <c r="DJ165"/>
  <c r="DI165"/>
  <c r="DH165"/>
  <c r="DG165"/>
  <c r="DF165"/>
  <c r="DE165"/>
  <c r="DD165"/>
  <c r="DC165"/>
  <c r="DB165"/>
  <c r="DA165"/>
  <c r="CZ165"/>
  <c r="CY165"/>
  <c r="CX165"/>
  <c r="CW165"/>
  <c r="CV165"/>
  <c r="CU165"/>
  <c r="CT165"/>
  <c r="CS165"/>
  <c r="CR165"/>
  <c r="CQ165"/>
  <c r="CP165"/>
  <c r="CO165"/>
  <c r="CN165"/>
  <c r="CM165"/>
  <c r="CL165"/>
  <c r="CK165"/>
  <c r="CJ165"/>
  <c r="CI165"/>
  <c r="CH165"/>
  <c r="CG165"/>
  <c r="CF165"/>
  <c r="CE165"/>
  <c r="CD165"/>
  <c r="CC165"/>
  <c r="CB165"/>
  <c r="CA165"/>
  <c r="BZ165"/>
  <c r="BY165"/>
  <c r="BX165"/>
  <c r="BW165"/>
  <c r="BV165"/>
  <c r="BU165"/>
  <c r="BT165"/>
  <c r="BS165"/>
  <c r="BR165"/>
  <c r="BQ165"/>
  <c r="BP165"/>
  <c r="BO165"/>
  <c r="BN165"/>
  <c r="E165"/>
  <c r="E333" s="1"/>
  <c r="D165"/>
  <c r="D333" s="1"/>
  <c r="C165"/>
  <c r="C333" s="1"/>
  <c r="B165"/>
  <c r="B333" s="1"/>
  <c r="A165"/>
  <c r="A333" s="1"/>
  <c r="DU164"/>
  <c r="DT164"/>
  <c r="DS164"/>
  <c r="DR164"/>
  <c r="DQ164"/>
  <c r="DP164"/>
  <c r="DO164"/>
  <c r="DN164"/>
  <c r="DM164"/>
  <c r="DL164"/>
  <c r="DK164"/>
  <c r="DJ164"/>
  <c r="DI164"/>
  <c r="DH164"/>
  <c r="DG164"/>
  <c r="DF164"/>
  <c r="DE164"/>
  <c r="DD164"/>
  <c r="DC164"/>
  <c r="DB164"/>
  <c r="DA164"/>
  <c r="CZ164"/>
  <c r="CY164"/>
  <c r="CX164"/>
  <c r="CW164"/>
  <c r="CV164"/>
  <c r="CU164"/>
  <c r="CT164"/>
  <c r="CS164"/>
  <c r="CR164"/>
  <c r="CQ164"/>
  <c r="CP164"/>
  <c r="CO164"/>
  <c r="CN164"/>
  <c r="CM164"/>
  <c r="CL164"/>
  <c r="CK164"/>
  <c r="CJ164"/>
  <c r="CI164"/>
  <c r="CH164"/>
  <c r="CG164"/>
  <c r="CF164"/>
  <c r="CE164"/>
  <c r="CD164"/>
  <c r="CC164"/>
  <c r="CB164"/>
  <c r="CA164"/>
  <c r="BZ164"/>
  <c r="BY164"/>
  <c r="BX164"/>
  <c r="BW164"/>
  <c r="BV164"/>
  <c r="BU164"/>
  <c r="BT164"/>
  <c r="BS164"/>
  <c r="BR164"/>
  <c r="BQ164"/>
  <c r="BP164"/>
  <c r="BO164"/>
  <c r="BN164"/>
  <c r="E164"/>
  <c r="E332" s="1"/>
  <c r="D164"/>
  <c r="D332" s="1"/>
  <c r="C164"/>
  <c r="C332" s="1"/>
  <c r="B164"/>
  <c r="A164"/>
  <c r="A332" s="1"/>
  <c r="DU163"/>
  <c r="DT163"/>
  <c r="DS163"/>
  <c r="DR163"/>
  <c r="DQ163"/>
  <c r="DP163"/>
  <c r="DO163"/>
  <c r="DN163"/>
  <c r="DM163"/>
  <c r="DL163"/>
  <c r="DK163"/>
  <c r="DJ163"/>
  <c r="DI163"/>
  <c r="DH163"/>
  <c r="DG163"/>
  <c r="DF163"/>
  <c r="DE163"/>
  <c r="DD163"/>
  <c r="DC163"/>
  <c r="DB163"/>
  <c r="DA163"/>
  <c r="CZ163"/>
  <c r="CY163"/>
  <c r="CX163"/>
  <c r="CW163"/>
  <c r="CV163"/>
  <c r="CU163"/>
  <c r="CT163"/>
  <c r="CS163"/>
  <c r="CR163"/>
  <c r="CQ163"/>
  <c r="CP163"/>
  <c r="CO163"/>
  <c r="CN163"/>
  <c r="CM163"/>
  <c r="CL163"/>
  <c r="CK163"/>
  <c r="CJ163"/>
  <c r="CI163"/>
  <c r="CH163"/>
  <c r="CG163"/>
  <c r="CF163"/>
  <c r="CE163"/>
  <c r="CD163"/>
  <c r="CC163"/>
  <c r="CB163"/>
  <c r="CA163"/>
  <c r="BZ163"/>
  <c r="BY163"/>
  <c r="BX163"/>
  <c r="BW163"/>
  <c r="BV163"/>
  <c r="BU163"/>
  <c r="BT163"/>
  <c r="BS163"/>
  <c r="BR163"/>
  <c r="BQ163"/>
  <c r="BP163"/>
  <c r="BO163"/>
  <c r="BN163"/>
  <c r="E163"/>
  <c r="E331" s="1"/>
  <c r="D163"/>
  <c r="D331" s="1"/>
  <c r="C163"/>
  <c r="C331" s="1"/>
  <c r="B163"/>
  <c r="A163"/>
  <c r="A331" s="1"/>
  <c r="DU162"/>
  <c r="DT162"/>
  <c r="DS162"/>
  <c r="DR162"/>
  <c r="DQ162"/>
  <c r="DP162"/>
  <c r="DO162"/>
  <c r="DN162"/>
  <c r="DM162"/>
  <c r="DL162"/>
  <c r="DK162"/>
  <c r="DJ162"/>
  <c r="DI162"/>
  <c r="DH162"/>
  <c r="DG162"/>
  <c r="DF162"/>
  <c r="DE162"/>
  <c r="DD162"/>
  <c r="DC162"/>
  <c r="DB162"/>
  <c r="DA162"/>
  <c r="CZ162"/>
  <c r="CY162"/>
  <c r="CX162"/>
  <c r="CW162"/>
  <c r="CV162"/>
  <c r="CU162"/>
  <c r="CT162"/>
  <c r="CS162"/>
  <c r="CR162"/>
  <c r="CQ162"/>
  <c r="CP162"/>
  <c r="CO162"/>
  <c r="CN162"/>
  <c r="CM162"/>
  <c r="CL162"/>
  <c r="CK162"/>
  <c r="CJ162"/>
  <c r="CI162"/>
  <c r="CH162"/>
  <c r="CG162"/>
  <c r="CF162"/>
  <c r="CE162"/>
  <c r="CD162"/>
  <c r="CC162"/>
  <c r="CB162"/>
  <c r="CA162"/>
  <c r="BZ162"/>
  <c r="BY162"/>
  <c r="BX162"/>
  <c r="BW162"/>
  <c r="BV162"/>
  <c r="BU162"/>
  <c r="BT162"/>
  <c r="BS162"/>
  <c r="BR162"/>
  <c r="BQ162"/>
  <c r="BP162"/>
  <c r="BO162"/>
  <c r="BN162"/>
  <c r="E162"/>
  <c r="E330" s="1"/>
  <c r="D162"/>
  <c r="D330" s="1"/>
  <c r="C162"/>
  <c r="C330" s="1"/>
  <c r="B162"/>
  <c r="B330" s="1"/>
  <c r="A162"/>
  <c r="A330" s="1"/>
  <c r="DU161"/>
  <c r="DT161"/>
  <c r="DS161"/>
  <c r="DR161"/>
  <c r="DQ161"/>
  <c r="DP161"/>
  <c r="DO161"/>
  <c r="DN161"/>
  <c r="DM161"/>
  <c r="DL161"/>
  <c r="DK161"/>
  <c r="DJ161"/>
  <c r="DI161"/>
  <c r="DH161"/>
  <c r="DG161"/>
  <c r="DF161"/>
  <c r="DE161"/>
  <c r="DD161"/>
  <c r="DC161"/>
  <c r="DB161"/>
  <c r="DA161"/>
  <c r="CZ161"/>
  <c r="CY161"/>
  <c r="CX161"/>
  <c r="CW161"/>
  <c r="CV161"/>
  <c r="CU161"/>
  <c r="CT161"/>
  <c r="CS161"/>
  <c r="CR161"/>
  <c r="CQ161"/>
  <c r="CP161"/>
  <c r="CO161"/>
  <c r="CN161"/>
  <c r="CM161"/>
  <c r="CL161"/>
  <c r="CK161"/>
  <c r="CJ161"/>
  <c r="CI161"/>
  <c r="CH161"/>
  <c r="CG161"/>
  <c r="CF161"/>
  <c r="CE161"/>
  <c r="CD161"/>
  <c r="CC161"/>
  <c r="CB161"/>
  <c r="CA161"/>
  <c r="BZ161"/>
  <c r="BY161"/>
  <c r="BX161"/>
  <c r="BW161"/>
  <c r="BV161"/>
  <c r="BU161"/>
  <c r="BT161"/>
  <c r="BS161"/>
  <c r="BR161"/>
  <c r="BQ161"/>
  <c r="BP161"/>
  <c r="BO161"/>
  <c r="BN161"/>
  <c r="E161"/>
  <c r="E329" s="1"/>
  <c r="D161"/>
  <c r="C161"/>
  <c r="C329" s="1"/>
  <c r="B161"/>
  <c r="B329" s="1"/>
  <c r="A161"/>
  <c r="A329" s="1"/>
  <c r="DU160"/>
  <c r="DT160"/>
  <c r="DS160"/>
  <c r="DR160"/>
  <c r="DQ160"/>
  <c r="DP160"/>
  <c r="DO160"/>
  <c r="DN160"/>
  <c r="DM160"/>
  <c r="DL160"/>
  <c r="DK160"/>
  <c r="DJ160"/>
  <c r="DI160"/>
  <c r="DH160"/>
  <c r="DG160"/>
  <c r="DF160"/>
  <c r="DE160"/>
  <c r="DD160"/>
  <c r="DC160"/>
  <c r="DB160"/>
  <c r="DA160"/>
  <c r="CZ160"/>
  <c r="CY160"/>
  <c r="CX160"/>
  <c r="CW160"/>
  <c r="CV160"/>
  <c r="CU160"/>
  <c r="CT160"/>
  <c r="CS160"/>
  <c r="CR160"/>
  <c r="CQ160"/>
  <c r="CP160"/>
  <c r="CO160"/>
  <c r="CN160"/>
  <c r="CM160"/>
  <c r="CL160"/>
  <c r="CK160"/>
  <c r="CJ160"/>
  <c r="CI160"/>
  <c r="CH160"/>
  <c r="CG160"/>
  <c r="CF160"/>
  <c r="CE160"/>
  <c r="CD160"/>
  <c r="CC160"/>
  <c r="CB160"/>
  <c r="CA160"/>
  <c r="BZ160"/>
  <c r="BY160"/>
  <c r="BX160"/>
  <c r="BW160"/>
  <c r="BV160"/>
  <c r="BU160"/>
  <c r="BT160"/>
  <c r="BS160"/>
  <c r="BR160"/>
  <c r="BQ160"/>
  <c r="BP160"/>
  <c r="BO160"/>
  <c r="BN160"/>
  <c r="E160"/>
  <c r="E328" s="1"/>
  <c r="D160"/>
  <c r="D328" s="1"/>
  <c r="C160"/>
  <c r="C328" s="1"/>
  <c r="B160"/>
  <c r="B328" s="1"/>
  <c r="A160"/>
  <c r="A328" s="1"/>
  <c r="DU159"/>
  <c r="DT159"/>
  <c r="DS159"/>
  <c r="DR159"/>
  <c r="DQ159"/>
  <c r="DP159"/>
  <c r="DO159"/>
  <c r="DN159"/>
  <c r="DM159"/>
  <c r="DL159"/>
  <c r="DK159"/>
  <c r="DJ159"/>
  <c r="DI159"/>
  <c r="DH159"/>
  <c r="DG159"/>
  <c r="DF159"/>
  <c r="DE159"/>
  <c r="DD159"/>
  <c r="DC159"/>
  <c r="DB159"/>
  <c r="DA159"/>
  <c r="CZ159"/>
  <c r="CY159"/>
  <c r="CX159"/>
  <c r="CW159"/>
  <c r="CV159"/>
  <c r="CU159"/>
  <c r="CT159"/>
  <c r="CS159"/>
  <c r="CR159"/>
  <c r="CQ159"/>
  <c r="CP159"/>
  <c r="CO159"/>
  <c r="CN159"/>
  <c r="CM159"/>
  <c r="CL159"/>
  <c r="CK159"/>
  <c r="CJ159"/>
  <c r="CI159"/>
  <c r="CH159"/>
  <c r="CG159"/>
  <c r="CF159"/>
  <c r="CE159"/>
  <c r="CD159"/>
  <c r="CC159"/>
  <c r="CB159"/>
  <c r="CA159"/>
  <c r="BZ159"/>
  <c r="BY159"/>
  <c r="BX159"/>
  <c r="BW159"/>
  <c r="BV159"/>
  <c r="BU159"/>
  <c r="BT159"/>
  <c r="BS159"/>
  <c r="BR159"/>
  <c r="BQ159"/>
  <c r="BP159"/>
  <c r="BO159"/>
  <c r="BN159"/>
  <c r="E159"/>
  <c r="E327" s="1"/>
  <c r="D159"/>
  <c r="D327" s="1"/>
  <c r="C159"/>
  <c r="C327" s="1"/>
  <c r="B159"/>
  <c r="B327" s="1"/>
  <c r="A159"/>
  <c r="A327" s="1"/>
  <c r="DU158"/>
  <c r="DT158"/>
  <c r="DS158"/>
  <c r="DR158"/>
  <c r="DQ158"/>
  <c r="DP158"/>
  <c r="DO158"/>
  <c r="DN158"/>
  <c r="DM158"/>
  <c r="DL158"/>
  <c r="DK158"/>
  <c r="DJ158"/>
  <c r="DI158"/>
  <c r="DH158"/>
  <c r="DG158"/>
  <c r="DF158"/>
  <c r="DE158"/>
  <c r="DD158"/>
  <c r="DC158"/>
  <c r="DB158"/>
  <c r="DA158"/>
  <c r="CZ158"/>
  <c r="CY158"/>
  <c r="CX158"/>
  <c r="CW158"/>
  <c r="CV158"/>
  <c r="CU158"/>
  <c r="CT158"/>
  <c r="CS158"/>
  <c r="CR158"/>
  <c r="CQ158"/>
  <c r="CP158"/>
  <c r="CO158"/>
  <c r="CN158"/>
  <c r="CM158"/>
  <c r="CL158"/>
  <c r="CK158"/>
  <c r="CJ158"/>
  <c r="CI158"/>
  <c r="CH158"/>
  <c r="CG158"/>
  <c r="CF158"/>
  <c r="CE158"/>
  <c r="CD158"/>
  <c r="CC158"/>
  <c r="CB158"/>
  <c r="CA158"/>
  <c r="BZ158"/>
  <c r="BY158"/>
  <c r="BX158"/>
  <c r="BW158"/>
  <c r="BV158"/>
  <c r="BU158"/>
  <c r="BT158"/>
  <c r="BS158"/>
  <c r="BR158"/>
  <c r="BQ158"/>
  <c r="BP158"/>
  <c r="BO158"/>
  <c r="BN158"/>
  <c r="E158"/>
  <c r="E326" s="1"/>
  <c r="D158"/>
  <c r="D326" s="1"/>
  <c r="C158"/>
  <c r="C326" s="1"/>
  <c r="B158"/>
  <c r="B326" s="1"/>
  <c r="A158"/>
  <c r="A326" s="1"/>
  <c r="DU157"/>
  <c r="DT157"/>
  <c r="DS157"/>
  <c r="DR157"/>
  <c r="DQ157"/>
  <c r="DP157"/>
  <c r="DO157"/>
  <c r="DN157"/>
  <c r="DM157"/>
  <c r="DL157"/>
  <c r="DK157"/>
  <c r="DJ157"/>
  <c r="DI157"/>
  <c r="DH157"/>
  <c r="DG157"/>
  <c r="DF157"/>
  <c r="DE157"/>
  <c r="DD157"/>
  <c r="DC157"/>
  <c r="DB157"/>
  <c r="DA157"/>
  <c r="CZ157"/>
  <c r="CY157"/>
  <c r="CX157"/>
  <c r="CW157"/>
  <c r="CV157"/>
  <c r="CU157"/>
  <c r="CT157"/>
  <c r="CS157"/>
  <c r="CR157"/>
  <c r="CQ157"/>
  <c r="CP157"/>
  <c r="CO157"/>
  <c r="CN157"/>
  <c r="CM157"/>
  <c r="CL157"/>
  <c r="CK157"/>
  <c r="CJ157"/>
  <c r="CI157"/>
  <c r="CH157"/>
  <c r="CG157"/>
  <c r="CF157"/>
  <c r="CE157"/>
  <c r="CD157"/>
  <c r="CC157"/>
  <c r="CB157"/>
  <c r="CA157"/>
  <c r="BZ157"/>
  <c r="BY157"/>
  <c r="BX157"/>
  <c r="BW157"/>
  <c r="BV157"/>
  <c r="BU157"/>
  <c r="BT157"/>
  <c r="BS157"/>
  <c r="BR157"/>
  <c r="BQ157"/>
  <c r="BP157"/>
  <c r="BO157"/>
  <c r="BN157"/>
  <c r="E157"/>
  <c r="B157"/>
  <c r="B157" i="2" s="1"/>
  <c r="A157" i="3"/>
  <c r="A157" i="2" s="1"/>
  <c r="DU156" i="3"/>
  <c r="DT156"/>
  <c r="DS156"/>
  <c r="DR156"/>
  <c r="DQ156"/>
  <c r="DP156"/>
  <c r="DO156"/>
  <c r="DN156"/>
  <c r="DM156"/>
  <c r="DL156"/>
  <c r="DK156"/>
  <c r="DJ156"/>
  <c r="DI156"/>
  <c r="DH156"/>
  <c r="DG156"/>
  <c r="DF156"/>
  <c r="DE156"/>
  <c r="DD156"/>
  <c r="DC156"/>
  <c r="DB156"/>
  <c r="DA156"/>
  <c r="CZ156"/>
  <c r="CY156"/>
  <c r="CX156"/>
  <c r="CW156"/>
  <c r="CV156"/>
  <c r="CU156"/>
  <c r="CT156"/>
  <c r="CS156"/>
  <c r="CR156"/>
  <c r="CQ156"/>
  <c r="CP156"/>
  <c r="CO156"/>
  <c r="CN156"/>
  <c r="CM156"/>
  <c r="CL156"/>
  <c r="CK156"/>
  <c r="CJ156"/>
  <c r="CI156"/>
  <c r="CH156"/>
  <c r="CG156"/>
  <c r="CF156"/>
  <c r="CE156"/>
  <c r="CD156"/>
  <c r="CC156"/>
  <c r="CB156"/>
  <c r="CA156"/>
  <c r="BZ156"/>
  <c r="BY156"/>
  <c r="BX156"/>
  <c r="BW156"/>
  <c r="BV156"/>
  <c r="BU156"/>
  <c r="BT156"/>
  <c r="BS156"/>
  <c r="BR156"/>
  <c r="BQ156"/>
  <c r="BP156"/>
  <c r="BO156"/>
  <c r="BN156"/>
  <c r="E156"/>
  <c r="E156" i="2" s="1"/>
  <c r="B156" i="3"/>
  <c r="A156"/>
  <c r="A156" i="2" s="1"/>
  <c r="DU155" i="3"/>
  <c r="DT155"/>
  <c r="DS155"/>
  <c r="DR155"/>
  <c r="DQ155"/>
  <c r="DP155"/>
  <c r="DO155"/>
  <c r="DN155"/>
  <c r="DM155"/>
  <c r="DL155"/>
  <c r="DK155"/>
  <c r="DJ155"/>
  <c r="DI155"/>
  <c r="DH155"/>
  <c r="DG155"/>
  <c r="DF155"/>
  <c r="DE155"/>
  <c r="DD155"/>
  <c r="DC155"/>
  <c r="DB155"/>
  <c r="DA155"/>
  <c r="CZ155"/>
  <c r="CY155"/>
  <c r="CX155"/>
  <c r="CW155"/>
  <c r="CV155"/>
  <c r="CU155"/>
  <c r="CT155"/>
  <c r="CS155"/>
  <c r="CR155"/>
  <c r="CQ155"/>
  <c r="CP155"/>
  <c r="CO155"/>
  <c r="CN155"/>
  <c r="CM155"/>
  <c r="CL155"/>
  <c r="CK155"/>
  <c r="CJ155"/>
  <c r="CI155"/>
  <c r="CH155"/>
  <c r="CG155"/>
  <c r="CF155"/>
  <c r="CE155"/>
  <c r="CD155"/>
  <c r="CC155"/>
  <c r="CB155"/>
  <c r="CA155"/>
  <c r="BZ155"/>
  <c r="BY155"/>
  <c r="BX155"/>
  <c r="BW155"/>
  <c r="BV155"/>
  <c r="BU155"/>
  <c r="BT155"/>
  <c r="BS155"/>
  <c r="BR155"/>
  <c r="BQ155"/>
  <c r="BP155"/>
  <c r="BO155"/>
  <c r="BN155"/>
  <c r="E155"/>
  <c r="E325" s="1"/>
  <c r="D155"/>
  <c r="D325" s="1"/>
  <c r="C155"/>
  <c r="C155" i="2" s="1"/>
  <c r="B155" i="3"/>
  <c r="B325" s="1"/>
  <c r="A155"/>
  <c r="A325" s="1"/>
  <c r="DU154"/>
  <c r="DT154"/>
  <c r="DS154"/>
  <c r="DR154"/>
  <c r="DQ154"/>
  <c r="DP154"/>
  <c r="DO154"/>
  <c r="DN154"/>
  <c r="DM154"/>
  <c r="DL154"/>
  <c r="DK154"/>
  <c r="DJ154"/>
  <c r="DI154"/>
  <c r="DH154"/>
  <c r="DG154"/>
  <c r="DF154"/>
  <c r="DE154"/>
  <c r="DD154"/>
  <c r="DC154"/>
  <c r="DB154"/>
  <c r="DA154"/>
  <c r="CZ154"/>
  <c r="CY154"/>
  <c r="CX154"/>
  <c r="CW154"/>
  <c r="CV154"/>
  <c r="CU154"/>
  <c r="CT154"/>
  <c r="CS154"/>
  <c r="CR154"/>
  <c r="CQ154"/>
  <c r="CP154"/>
  <c r="CO154"/>
  <c r="CN154"/>
  <c r="CM154"/>
  <c r="CL154"/>
  <c r="CK154"/>
  <c r="CJ154"/>
  <c r="CI154"/>
  <c r="CH154"/>
  <c r="CG154"/>
  <c r="CF154"/>
  <c r="CE154"/>
  <c r="CD154"/>
  <c r="CC154"/>
  <c r="CB154"/>
  <c r="CA154"/>
  <c r="BZ154"/>
  <c r="BY154"/>
  <c r="BX154"/>
  <c r="BW154"/>
  <c r="BV154"/>
  <c r="BU154"/>
  <c r="BT154"/>
  <c r="BS154"/>
  <c r="BR154"/>
  <c r="BQ154"/>
  <c r="BP154"/>
  <c r="BO154"/>
  <c r="BN154"/>
  <c r="E154"/>
  <c r="E324" s="1"/>
  <c r="D154"/>
  <c r="D324" s="1"/>
  <c r="C154"/>
  <c r="C324" s="1"/>
  <c r="B154"/>
  <c r="B324" s="1"/>
  <c r="A154"/>
  <c r="A324" s="1"/>
  <c r="DU153"/>
  <c r="DT153"/>
  <c r="DS153"/>
  <c r="DR153"/>
  <c r="DQ153"/>
  <c r="DP153"/>
  <c r="DO153"/>
  <c r="DN153"/>
  <c r="DM153"/>
  <c r="DL153"/>
  <c r="DK153"/>
  <c r="DJ153"/>
  <c r="DI153"/>
  <c r="DH153"/>
  <c r="DG153"/>
  <c r="DF153"/>
  <c r="DE153"/>
  <c r="DD153"/>
  <c r="DC153"/>
  <c r="DB153"/>
  <c r="DA153"/>
  <c r="CZ153"/>
  <c r="CY153"/>
  <c r="CX153"/>
  <c r="CW153"/>
  <c r="CV153"/>
  <c r="CU153"/>
  <c r="CT153"/>
  <c r="CS153"/>
  <c r="CR153"/>
  <c r="CQ153"/>
  <c r="CP153"/>
  <c r="CO153"/>
  <c r="CN153"/>
  <c r="CM153"/>
  <c r="CL153"/>
  <c r="CK153"/>
  <c r="CJ153"/>
  <c r="CI153"/>
  <c r="CH153"/>
  <c r="CG153"/>
  <c r="CF153"/>
  <c r="CE153"/>
  <c r="CD153"/>
  <c r="CC153"/>
  <c r="CB153"/>
  <c r="CA153"/>
  <c r="BZ153"/>
  <c r="BY153"/>
  <c r="BX153"/>
  <c r="BW153"/>
  <c r="BV153"/>
  <c r="BU153"/>
  <c r="BT153"/>
  <c r="BS153"/>
  <c r="BR153"/>
  <c r="BQ153"/>
  <c r="BP153"/>
  <c r="BO153"/>
  <c r="BN153"/>
  <c r="E153"/>
  <c r="E323" s="1"/>
  <c r="D153"/>
  <c r="D323" s="1"/>
  <c r="C153"/>
  <c r="C323" s="1"/>
  <c r="B153"/>
  <c r="B323" s="1"/>
  <c r="A153"/>
  <c r="A323" s="1"/>
  <c r="DU152"/>
  <c r="DT152"/>
  <c r="DS152"/>
  <c r="DR152"/>
  <c r="DQ152"/>
  <c r="DP152"/>
  <c r="DO152"/>
  <c r="DN152"/>
  <c r="DM152"/>
  <c r="DL152"/>
  <c r="DK152"/>
  <c r="DJ152"/>
  <c r="DI152"/>
  <c r="DH152"/>
  <c r="DG152"/>
  <c r="DF152"/>
  <c r="DE152"/>
  <c r="DD152"/>
  <c r="DC152"/>
  <c r="DB152"/>
  <c r="DA152"/>
  <c r="CZ152"/>
  <c r="CY152"/>
  <c r="CX152"/>
  <c r="CW152"/>
  <c r="CV152"/>
  <c r="CU152"/>
  <c r="CT152"/>
  <c r="CS152"/>
  <c r="CR152"/>
  <c r="CQ152"/>
  <c r="CP152"/>
  <c r="CO152"/>
  <c r="CN152"/>
  <c r="CM152"/>
  <c r="CL152"/>
  <c r="CK152"/>
  <c r="CJ152"/>
  <c r="CI152"/>
  <c r="CH152"/>
  <c r="CG152"/>
  <c r="CF152"/>
  <c r="CE152"/>
  <c r="CD152"/>
  <c r="CC152"/>
  <c r="CB152"/>
  <c r="CA152"/>
  <c r="BZ152"/>
  <c r="BY152"/>
  <c r="BX152"/>
  <c r="BW152"/>
  <c r="BV152"/>
  <c r="BU152"/>
  <c r="BT152"/>
  <c r="BS152"/>
  <c r="BR152"/>
  <c r="BQ152"/>
  <c r="BP152"/>
  <c r="BO152"/>
  <c r="BN152"/>
  <c r="E152"/>
  <c r="E322" s="1"/>
  <c r="D152"/>
  <c r="D152" i="2" s="1"/>
  <c r="C152" i="3"/>
  <c r="C322" s="1"/>
  <c r="B152"/>
  <c r="A152"/>
  <c r="A322" s="1"/>
  <c r="DU151"/>
  <c r="DT151"/>
  <c r="DS151"/>
  <c r="DR151"/>
  <c r="DQ151"/>
  <c r="DP151"/>
  <c r="DO151"/>
  <c r="DN151"/>
  <c r="DM151"/>
  <c r="DL151"/>
  <c r="DK151"/>
  <c r="DJ151"/>
  <c r="DI151"/>
  <c r="DH151"/>
  <c r="DG151"/>
  <c r="DF151"/>
  <c r="DE151"/>
  <c r="DD151"/>
  <c r="DC151"/>
  <c r="DB151"/>
  <c r="DA151"/>
  <c r="CZ151"/>
  <c r="CY151"/>
  <c r="CX151"/>
  <c r="CW151"/>
  <c r="CV151"/>
  <c r="CU151"/>
  <c r="CT151"/>
  <c r="CS151"/>
  <c r="CR151"/>
  <c r="CQ151"/>
  <c r="CP151"/>
  <c r="CO151"/>
  <c r="CN151"/>
  <c r="CM151"/>
  <c r="CL151"/>
  <c r="CK151"/>
  <c r="CJ151"/>
  <c r="CI151"/>
  <c r="CH151"/>
  <c r="CG151"/>
  <c r="CF151"/>
  <c r="CE151"/>
  <c r="CD151"/>
  <c r="CC151"/>
  <c r="CB151"/>
  <c r="CA151"/>
  <c r="BZ151"/>
  <c r="BY151"/>
  <c r="BX151"/>
  <c r="BW151"/>
  <c r="BV151"/>
  <c r="BU151"/>
  <c r="BT151"/>
  <c r="BS151"/>
  <c r="BR151"/>
  <c r="BQ151"/>
  <c r="BP151"/>
  <c r="BO151"/>
  <c r="BN151"/>
  <c r="E151"/>
  <c r="E321" s="1"/>
  <c r="D151"/>
  <c r="D321" s="1"/>
  <c r="C151"/>
  <c r="C321" s="1"/>
  <c r="B151"/>
  <c r="B321" s="1"/>
  <c r="A151"/>
  <c r="A321" s="1"/>
  <c r="DU150"/>
  <c r="DT150"/>
  <c r="DS150"/>
  <c r="DR150"/>
  <c r="DQ150"/>
  <c r="DP150"/>
  <c r="DO150"/>
  <c r="DN150"/>
  <c r="DM150"/>
  <c r="DL150"/>
  <c r="DK150"/>
  <c r="DJ150"/>
  <c r="DI150"/>
  <c r="DH150"/>
  <c r="DG150"/>
  <c r="DF150"/>
  <c r="DE150"/>
  <c r="DD150"/>
  <c r="DC150"/>
  <c r="DB150"/>
  <c r="DA150"/>
  <c r="CZ150"/>
  <c r="CY150"/>
  <c r="CX150"/>
  <c r="CW150"/>
  <c r="CV150"/>
  <c r="CU150"/>
  <c r="CT150"/>
  <c r="CS150"/>
  <c r="CR150"/>
  <c r="CQ150"/>
  <c r="CP150"/>
  <c r="CO150"/>
  <c r="CN150"/>
  <c r="CM150"/>
  <c r="CL150"/>
  <c r="CK150"/>
  <c r="CJ150"/>
  <c r="CI150"/>
  <c r="CH150"/>
  <c r="CG150"/>
  <c r="CF150"/>
  <c r="CE150"/>
  <c r="CD150"/>
  <c r="CC150"/>
  <c r="CB150"/>
  <c r="CA150"/>
  <c r="BZ150"/>
  <c r="BY150"/>
  <c r="BX150"/>
  <c r="BW150"/>
  <c r="BV150"/>
  <c r="BU150"/>
  <c r="BT150"/>
  <c r="BS150"/>
  <c r="BR150"/>
  <c r="BQ150"/>
  <c r="BP150"/>
  <c r="BO150"/>
  <c r="BN150"/>
  <c r="E150"/>
  <c r="E150" i="2" s="1"/>
  <c r="B150" i="3"/>
  <c r="A150"/>
  <c r="DU149"/>
  <c r="DT149"/>
  <c r="DS149"/>
  <c r="DR149"/>
  <c r="DQ149"/>
  <c r="DP149"/>
  <c r="DO149"/>
  <c r="DN149"/>
  <c r="DM149"/>
  <c r="DL149"/>
  <c r="DK149"/>
  <c r="DJ149"/>
  <c r="DI149"/>
  <c r="DH149"/>
  <c r="DG149"/>
  <c r="DF149"/>
  <c r="DE149"/>
  <c r="DD149"/>
  <c r="DC149"/>
  <c r="DB149"/>
  <c r="DA149"/>
  <c r="CZ149"/>
  <c r="CY149"/>
  <c r="CX149"/>
  <c r="CW149"/>
  <c r="CV149"/>
  <c r="CU149"/>
  <c r="CT149"/>
  <c r="CS149"/>
  <c r="CR149"/>
  <c r="CQ149"/>
  <c r="CP149"/>
  <c r="CO149"/>
  <c r="CN149"/>
  <c r="CM149"/>
  <c r="CL149"/>
  <c r="CK149"/>
  <c r="CJ149"/>
  <c r="CI149"/>
  <c r="CH149"/>
  <c r="CG149"/>
  <c r="CF149"/>
  <c r="CE149"/>
  <c r="CD149"/>
  <c r="CC149"/>
  <c r="CB149"/>
  <c r="CA149"/>
  <c r="BZ149"/>
  <c r="BY149"/>
  <c r="BX149"/>
  <c r="BW149"/>
  <c r="BV149"/>
  <c r="BU149"/>
  <c r="BT149"/>
  <c r="BS149"/>
  <c r="BR149"/>
  <c r="BQ149"/>
  <c r="BP149"/>
  <c r="BO149"/>
  <c r="BN149"/>
  <c r="E149"/>
  <c r="B149"/>
  <c r="B149" i="2" s="1"/>
  <c r="A149" i="3"/>
  <c r="DU148"/>
  <c r="DT148"/>
  <c r="DS148"/>
  <c r="DR148"/>
  <c r="DQ148"/>
  <c r="DP148"/>
  <c r="DO148"/>
  <c r="DN148"/>
  <c r="DM148"/>
  <c r="DL148"/>
  <c r="DK148"/>
  <c r="DJ148"/>
  <c r="DI148"/>
  <c r="DH148"/>
  <c r="DG148"/>
  <c r="DF148"/>
  <c r="DE148"/>
  <c r="DD148"/>
  <c r="DC148"/>
  <c r="DB148"/>
  <c r="DA148"/>
  <c r="CZ148"/>
  <c r="CY148"/>
  <c r="CX148"/>
  <c r="CW148"/>
  <c r="CV148"/>
  <c r="CU148"/>
  <c r="CT148"/>
  <c r="CS148"/>
  <c r="CR148"/>
  <c r="CQ148"/>
  <c r="CP148"/>
  <c r="CO148"/>
  <c r="CN148"/>
  <c r="CM148"/>
  <c r="CL148"/>
  <c r="CK148"/>
  <c r="CJ148"/>
  <c r="CI148"/>
  <c r="CH148"/>
  <c r="CG148"/>
  <c r="CF148"/>
  <c r="CE148"/>
  <c r="CD148"/>
  <c r="CC148"/>
  <c r="CB148"/>
  <c r="CA148"/>
  <c r="BZ148"/>
  <c r="BY148"/>
  <c r="BX148"/>
  <c r="BW148"/>
  <c r="BV148"/>
  <c r="BU148"/>
  <c r="BT148"/>
  <c r="BS148"/>
  <c r="BR148"/>
  <c r="BQ148"/>
  <c r="BP148"/>
  <c r="BO148"/>
  <c r="BN148"/>
  <c r="E148"/>
  <c r="E320" s="1"/>
  <c r="D148"/>
  <c r="D320" s="1"/>
  <c r="C148"/>
  <c r="C320" s="1"/>
  <c r="B148"/>
  <c r="B320" s="1"/>
  <c r="A148"/>
  <c r="A320" s="1"/>
  <c r="DU147"/>
  <c r="DT147"/>
  <c r="DS147"/>
  <c r="DR147"/>
  <c r="DQ147"/>
  <c r="DP147"/>
  <c r="DO147"/>
  <c r="DN147"/>
  <c r="DM147"/>
  <c r="DL147"/>
  <c r="DK147"/>
  <c r="DJ147"/>
  <c r="DI147"/>
  <c r="DH147"/>
  <c r="DG147"/>
  <c r="DF147"/>
  <c r="DE147"/>
  <c r="DD147"/>
  <c r="DC147"/>
  <c r="DB147"/>
  <c r="DA147"/>
  <c r="CZ147"/>
  <c r="CY147"/>
  <c r="CX147"/>
  <c r="CW147"/>
  <c r="CV147"/>
  <c r="CU147"/>
  <c r="CT147"/>
  <c r="CS147"/>
  <c r="CR147"/>
  <c r="CQ147"/>
  <c r="CP147"/>
  <c r="CO147"/>
  <c r="CN147"/>
  <c r="CM147"/>
  <c r="CL147"/>
  <c r="CK147"/>
  <c r="CJ147"/>
  <c r="CI147"/>
  <c r="CH147"/>
  <c r="CG147"/>
  <c r="CF147"/>
  <c r="CE147"/>
  <c r="CD147"/>
  <c r="CC147"/>
  <c r="CB147"/>
  <c r="CA147"/>
  <c r="BZ147"/>
  <c r="BY147"/>
  <c r="BX147"/>
  <c r="BW147"/>
  <c r="BV147"/>
  <c r="BU147"/>
  <c r="BT147"/>
  <c r="BS147"/>
  <c r="BR147"/>
  <c r="BQ147"/>
  <c r="BP147"/>
  <c r="BO147"/>
  <c r="BN147"/>
  <c r="E147"/>
  <c r="E319" s="1"/>
  <c r="D147"/>
  <c r="D319" s="1"/>
  <c r="C147"/>
  <c r="C319" s="1"/>
  <c r="B147"/>
  <c r="B319" s="1"/>
  <c r="A147"/>
  <c r="DU146"/>
  <c r="DT146"/>
  <c r="DS146"/>
  <c r="DR146"/>
  <c r="DQ146"/>
  <c r="DP146"/>
  <c r="DO146"/>
  <c r="DN146"/>
  <c r="DM146"/>
  <c r="DL146"/>
  <c r="DK146"/>
  <c r="DJ146"/>
  <c r="DI146"/>
  <c r="DH146"/>
  <c r="DG146"/>
  <c r="DF146"/>
  <c r="DE146"/>
  <c r="DD146"/>
  <c r="DC146"/>
  <c r="DB146"/>
  <c r="DA146"/>
  <c r="CZ146"/>
  <c r="CY146"/>
  <c r="CX146"/>
  <c r="CW146"/>
  <c r="CV146"/>
  <c r="CU146"/>
  <c r="CT146"/>
  <c r="CS146"/>
  <c r="CR146"/>
  <c r="CQ146"/>
  <c r="CP146"/>
  <c r="CO146"/>
  <c r="CN146"/>
  <c r="CM146"/>
  <c r="CL146"/>
  <c r="CK146"/>
  <c r="CJ146"/>
  <c r="CI146"/>
  <c r="CH146"/>
  <c r="CG146"/>
  <c r="CF146"/>
  <c r="CE146"/>
  <c r="CD146"/>
  <c r="CC146"/>
  <c r="CB146"/>
  <c r="CA146"/>
  <c r="BZ146"/>
  <c r="BY146"/>
  <c r="BX146"/>
  <c r="BW146"/>
  <c r="BV146"/>
  <c r="BU146"/>
  <c r="BT146"/>
  <c r="BS146"/>
  <c r="BR146"/>
  <c r="BQ146"/>
  <c r="BP146"/>
  <c r="BO146"/>
  <c r="BN146"/>
  <c r="E146"/>
  <c r="E318" s="1"/>
  <c r="D146"/>
  <c r="D318" s="1"/>
  <c r="C146"/>
  <c r="C318" s="1"/>
  <c r="B146"/>
  <c r="B318" s="1"/>
  <c r="A146"/>
  <c r="A318" s="1"/>
  <c r="DU145"/>
  <c r="DT145"/>
  <c r="DS145"/>
  <c r="DR145"/>
  <c r="DQ145"/>
  <c r="DP145"/>
  <c r="DO145"/>
  <c r="DN145"/>
  <c r="DM145"/>
  <c r="DL145"/>
  <c r="DK145"/>
  <c r="DJ145"/>
  <c r="DI145"/>
  <c r="DH145"/>
  <c r="DG145"/>
  <c r="DF145"/>
  <c r="DE145"/>
  <c r="DD145"/>
  <c r="DC145"/>
  <c r="DB145"/>
  <c r="DA145"/>
  <c r="CZ145"/>
  <c r="CY145"/>
  <c r="CX145"/>
  <c r="CW145"/>
  <c r="CV145"/>
  <c r="CU145"/>
  <c r="CT145"/>
  <c r="CS145"/>
  <c r="CR145"/>
  <c r="CQ145"/>
  <c r="CP145"/>
  <c r="CO145"/>
  <c r="CN145"/>
  <c r="CM145"/>
  <c r="CL145"/>
  <c r="CK145"/>
  <c r="CJ145"/>
  <c r="CI145"/>
  <c r="CH145"/>
  <c r="CG145"/>
  <c r="CF145"/>
  <c r="CE145"/>
  <c r="CD145"/>
  <c r="CC145"/>
  <c r="CB145"/>
  <c r="CA145"/>
  <c r="BZ145"/>
  <c r="BY145"/>
  <c r="BX145"/>
  <c r="BW145"/>
  <c r="BV145"/>
  <c r="BU145"/>
  <c r="BT145"/>
  <c r="BS145"/>
  <c r="BR145"/>
  <c r="BQ145"/>
  <c r="BP145"/>
  <c r="BO145"/>
  <c r="BN145"/>
  <c r="E145"/>
  <c r="E317" s="1"/>
  <c r="D145"/>
  <c r="D317" s="1"/>
  <c r="C145"/>
  <c r="C317" s="1"/>
  <c r="B145"/>
  <c r="B317" s="1"/>
  <c r="A145"/>
  <c r="A317" s="1"/>
  <c r="DU144"/>
  <c r="DT144"/>
  <c r="DS144"/>
  <c r="DR144"/>
  <c r="DQ144"/>
  <c r="DP144"/>
  <c r="DO144"/>
  <c r="DN144"/>
  <c r="DM144"/>
  <c r="DL144"/>
  <c r="DK144"/>
  <c r="DJ144"/>
  <c r="DI144"/>
  <c r="DH144"/>
  <c r="DG144"/>
  <c r="DF144"/>
  <c r="DE144"/>
  <c r="DD144"/>
  <c r="DC144"/>
  <c r="DB144"/>
  <c r="DA144"/>
  <c r="CZ144"/>
  <c r="CY144"/>
  <c r="CX144"/>
  <c r="CW144"/>
  <c r="CV144"/>
  <c r="CU144"/>
  <c r="CT144"/>
  <c r="CS144"/>
  <c r="CR144"/>
  <c r="CQ144"/>
  <c r="CP144"/>
  <c r="CO144"/>
  <c r="CN144"/>
  <c r="CM144"/>
  <c r="CL144"/>
  <c r="CK144"/>
  <c r="CJ144"/>
  <c r="CI144"/>
  <c r="CH144"/>
  <c r="CG144"/>
  <c r="CF144"/>
  <c r="CE144"/>
  <c r="CD144"/>
  <c r="CC144"/>
  <c r="CB144"/>
  <c r="CA144"/>
  <c r="BZ144"/>
  <c r="BY144"/>
  <c r="BX144"/>
  <c r="BW144"/>
  <c r="BV144"/>
  <c r="BU144"/>
  <c r="BT144"/>
  <c r="BS144"/>
  <c r="BR144"/>
  <c r="BQ144"/>
  <c r="BP144"/>
  <c r="BO144"/>
  <c r="BN144"/>
  <c r="E144"/>
  <c r="D144"/>
  <c r="D316" s="1"/>
  <c r="C144"/>
  <c r="C316" s="1"/>
  <c r="B144"/>
  <c r="B316" s="1"/>
  <c r="A144"/>
  <c r="A316" s="1"/>
  <c r="DU143"/>
  <c r="DT143"/>
  <c r="DS143"/>
  <c r="DR143"/>
  <c r="DQ143"/>
  <c r="DP143"/>
  <c r="DO143"/>
  <c r="DN143"/>
  <c r="DM143"/>
  <c r="DL143"/>
  <c r="DK143"/>
  <c r="DJ143"/>
  <c r="DI143"/>
  <c r="DH143"/>
  <c r="DG143"/>
  <c r="DF143"/>
  <c r="DE143"/>
  <c r="DD143"/>
  <c r="DC143"/>
  <c r="DB143"/>
  <c r="DA143"/>
  <c r="CZ143"/>
  <c r="CY143"/>
  <c r="CX143"/>
  <c r="CW143"/>
  <c r="CV143"/>
  <c r="CU143"/>
  <c r="CT143"/>
  <c r="CS143"/>
  <c r="CR143"/>
  <c r="CQ143"/>
  <c r="CP143"/>
  <c r="CO143"/>
  <c r="CN143"/>
  <c r="CM143"/>
  <c r="CL143"/>
  <c r="CK143"/>
  <c r="CJ143"/>
  <c r="CI143"/>
  <c r="CH143"/>
  <c r="CG143"/>
  <c r="CF143"/>
  <c r="CE143"/>
  <c r="CD143"/>
  <c r="CC143"/>
  <c r="CB143"/>
  <c r="CA143"/>
  <c r="BZ143"/>
  <c r="BY143"/>
  <c r="BX143"/>
  <c r="BW143"/>
  <c r="BV143"/>
  <c r="BU143"/>
  <c r="BT143"/>
  <c r="BS143"/>
  <c r="BR143"/>
  <c r="BQ143"/>
  <c r="BP143"/>
  <c r="BO143"/>
  <c r="BN143"/>
  <c r="E143"/>
  <c r="E315" s="1"/>
  <c r="D143"/>
  <c r="D315" s="1"/>
  <c r="C143"/>
  <c r="C315" s="1"/>
  <c r="B143"/>
  <c r="B143" i="2" s="1"/>
  <c r="A143" i="3"/>
  <c r="A315" s="1"/>
  <c r="DU142"/>
  <c r="DT142"/>
  <c r="DS142"/>
  <c r="DR142"/>
  <c r="DQ142"/>
  <c r="DP142"/>
  <c r="DO142"/>
  <c r="DN142"/>
  <c r="DM142"/>
  <c r="DL142"/>
  <c r="DK142"/>
  <c r="DJ142"/>
  <c r="DI142"/>
  <c r="DH142"/>
  <c r="DG142"/>
  <c r="DF142"/>
  <c r="DE142"/>
  <c r="DD142"/>
  <c r="DC142"/>
  <c r="DB142"/>
  <c r="DA142"/>
  <c r="CZ142"/>
  <c r="CY142"/>
  <c r="CX142"/>
  <c r="CW142"/>
  <c r="CV142"/>
  <c r="CU142"/>
  <c r="CT142"/>
  <c r="CS142"/>
  <c r="CR142"/>
  <c r="CQ142"/>
  <c r="CP142"/>
  <c r="CO142"/>
  <c r="CN142"/>
  <c r="CM142"/>
  <c r="CL142"/>
  <c r="CK142"/>
  <c r="CJ142"/>
  <c r="CI142"/>
  <c r="CH142"/>
  <c r="CG142"/>
  <c r="CF142"/>
  <c r="CE142"/>
  <c r="CD142"/>
  <c r="CC142"/>
  <c r="CB142"/>
  <c r="CA142"/>
  <c r="BZ142"/>
  <c r="BY142"/>
  <c r="BX142"/>
  <c r="BW142"/>
  <c r="BV142"/>
  <c r="BU142"/>
  <c r="BT142"/>
  <c r="BS142"/>
  <c r="BR142"/>
  <c r="BQ142"/>
  <c r="BP142"/>
  <c r="BO142"/>
  <c r="BN142"/>
  <c r="E142"/>
  <c r="E314" s="1"/>
  <c r="D142"/>
  <c r="D314" s="1"/>
  <c r="C142"/>
  <c r="C314" s="1"/>
  <c r="B142"/>
  <c r="A142"/>
  <c r="A314" s="1"/>
  <c r="DU141"/>
  <c r="DT141"/>
  <c r="DS141"/>
  <c r="DR141"/>
  <c r="DQ141"/>
  <c r="DP141"/>
  <c r="DO141"/>
  <c r="DN141"/>
  <c r="DM141"/>
  <c r="DL141"/>
  <c r="DK141"/>
  <c r="DJ141"/>
  <c r="DI141"/>
  <c r="DH141"/>
  <c r="DG141"/>
  <c r="DF141"/>
  <c r="DE141"/>
  <c r="DD141"/>
  <c r="DC141"/>
  <c r="DB141"/>
  <c r="DA141"/>
  <c r="CZ141"/>
  <c r="CY141"/>
  <c r="CX141"/>
  <c r="CW141"/>
  <c r="CV141"/>
  <c r="CU141"/>
  <c r="CT141"/>
  <c r="CS141"/>
  <c r="CR141"/>
  <c r="CQ141"/>
  <c r="CP141"/>
  <c r="CO141"/>
  <c r="CN141"/>
  <c r="CM141"/>
  <c r="CL141"/>
  <c r="CK141"/>
  <c r="CJ141"/>
  <c r="CI141"/>
  <c r="CH141"/>
  <c r="CG141"/>
  <c r="CF141"/>
  <c r="CE141"/>
  <c r="CD141"/>
  <c r="CC141"/>
  <c r="CB141"/>
  <c r="CA141"/>
  <c r="BZ141"/>
  <c r="BY141"/>
  <c r="BX141"/>
  <c r="BW141"/>
  <c r="BV141"/>
  <c r="BU141"/>
  <c r="BT141"/>
  <c r="BS141"/>
  <c r="BR141"/>
  <c r="BQ141"/>
  <c r="BP141"/>
  <c r="BO141"/>
  <c r="BN141"/>
  <c r="E141"/>
  <c r="E313" s="1"/>
  <c r="D141"/>
  <c r="C141"/>
  <c r="C313" s="1"/>
  <c r="B141"/>
  <c r="B313" s="1"/>
  <c r="A141"/>
  <c r="A313" s="1"/>
  <c r="DU140"/>
  <c r="DT140"/>
  <c r="DS140"/>
  <c r="DR140"/>
  <c r="DQ140"/>
  <c r="DP140"/>
  <c r="DO140"/>
  <c r="DN140"/>
  <c r="DM140"/>
  <c r="DL140"/>
  <c r="DK140"/>
  <c r="DJ140"/>
  <c r="DI140"/>
  <c r="DH140"/>
  <c r="DG140"/>
  <c r="DF140"/>
  <c r="DE140"/>
  <c r="DD140"/>
  <c r="DC140"/>
  <c r="DB140"/>
  <c r="DA140"/>
  <c r="CZ140"/>
  <c r="CY140"/>
  <c r="CX140"/>
  <c r="CW140"/>
  <c r="CV140"/>
  <c r="CU140"/>
  <c r="CT140"/>
  <c r="CS140"/>
  <c r="CR140"/>
  <c r="CQ140"/>
  <c r="CP140"/>
  <c r="CO140"/>
  <c r="CN140"/>
  <c r="CM140"/>
  <c r="CL140"/>
  <c r="CK140"/>
  <c r="CJ140"/>
  <c r="CI140"/>
  <c r="CH140"/>
  <c r="CG140"/>
  <c r="CF140"/>
  <c r="CE140"/>
  <c r="CD140"/>
  <c r="CC140"/>
  <c r="CB140"/>
  <c r="CA140"/>
  <c r="BZ140"/>
  <c r="BY140"/>
  <c r="BX140"/>
  <c r="BW140"/>
  <c r="BV140"/>
  <c r="BU140"/>
  <c r="BT140"/>
  <c r="BS140"/>
  <c r="BR140"/>
  <c r="BQ140"/>
  <c r="BP140"/>
  <c r="BO140"/>
  <c r="BN140"/>
  <c r="E140"/>
  <c r="E140" i="2" s="1"/>
  <c r="D140" i="3"/>
  <c r="D312" s="1"/>
  <c r="C140"/>
  <c r="C312" s="1"/>
  <c r="B140"/>
  <c r="B312" s="1"/>
  <c r="A140"/>
  <c r="DU139"/>
  <c r="DT139"/>
  <c r="DS139"/>
  <c r="DR139"/>
  <c r="DQ139"/>
  <c r="DP139"/>
  <c r="DO139"/>
  <c r="DN139"/>
  <c r="DM139"/>
  <c r="DL139"/>
  <c r="DK139"/>
  <c r="DJ139"/>
  <c r="DI139"/>
  <c r="DH139"/>
  <c r="DG139"/>
  <c r="DF139"/>
  <c r="DE139"/>
  <c r="DD139"/>
  <c r="DC139"/>
  <c r="DB139"/>
  <c r="DA139"/>
  <c r="CZ139"/>
  <c r="CY139"/>
  <c r="CX139"/>
  <c r="CW139"/>
  <c r="CV139"/>
  <c r="CU139"/>
  <c r="CT139"/>
  <c r="CS139"/>
  <c r="CR139"/>
  <c r="CQ139"/>
  <c r="CP139"/>
  <c r="CO139"/>
  <c r="CN139"/>
  <c r="CM139"/>
  <c r="CL139"/>
  <c r="CK139"/>
  <c r="CJ139"/>
  <c r="CI139"/>
  <c r="CH139"/>
  <c r="CG139"/>
  <c r="CF139"/>
  <c r="CE139"/>
  <c r="CD139"/>
  <c r="CC139"/>
  <c r="CB139"/>
  <c r="CA139"/>
  <c r="BZ139"/>
  <c r="BY139"/>
  <c r="BX139"/>
  <c r="BW139"/>
  <c r="BV139"/>
  <c r="BU139"/>
  <c r="BT139"/>
  <c r="BS139"/>
  <c r="BR139"/>
  <c r="BQ139"/>
  <c r="BP139"/>
  <c r="BO139"/>
  <c r="BN139"/>
  <c r="E139"/>
  <c r="E311" s="1"/>
  <c r="D139"/>
  <c r="D311" s="1"/>
  <c r="C139"/>
  <c r="C311" s="1"/>
  <c r="B139"/>
  <c r="B311" s="1"/>
  <c r="A139"/>
  <c r="DU138"/>
  <c r="DT138"/>
  <c r="DS138"/>
  <c r="DR138"/>
  <c r="DQ138"/>
  <c r="DP138"/>
  <c r="DO138"/>
  <c r="DN138"/>
  <c r="DM138"/>
  <c r="DL138"/>
  <c r="DK138"/>
  <c r="DJ138"/>
  <c r="DI138"/>
  <c r="DH138"/>
  <c r="DG138"/>
  <c r="DF138"/>
  <c r="DE138"/>
  <c r="DD138"/>
  <c r="DC138"/>
  <c r="DB138"/>
  <c r="DA138"/>
  <c r="CZ138"/>
  <c r="CY138"/>
  <c r="CX138"/>
  <c r="CW138"/>
  <c r="CV138"/>
  <c r="CU138"/>
  <c r="CT138"/>
  <c r="CS138"/>
  <c r="CR138"/>
  <c r="CQ138"/>
  <c r="CP138"/>
  <c r="CO138"/>
  <c r="CN138"/>
  <c r="CM138"/>
  <c r="CL138"/>
  <c r="CK138"/>
  <c r="CJ138"/>
  <c r="CI138"/>
  <c r="CH138"/>
  <c r="CG138"/>
  <c r="CF138"/>
  <c r="CE138"/>
  <c r="CD138"/>
  <c r="CC138"/>
  <c r="CB138"/>
  <c r="CA138"/>
  <c r="BZ138"/>
  <c r="BY138"/>
  <c r="BX138"/>
  <c r="BW138"/>
  <c r="BV138"/>
  <c r="BU138"/>
  <c r="BT138"/>
  <c r="BS138"/>
  <c r="BR138"/>
  <c r="BQ138"/>
  <c r="BP138"/>
  <c r="BO138"/>
  <c r="BN138"/>
  <c r="E138"/>
  <c r="E310" s="1"/>
  <c r="D138"/>
  <c r="D310" s="1"/>
  <c r="C138"/>
  <c r="C310" s="1"/>
  <c r="B138"/>
  <c r="B310" s="1"/>
  <c r="A138"/>
  <c r="A310" s="1"/>
  <c r="DU137"/>
  <c r="DT137"/>
  <c r="DS137"/>
  <c r="DR137"/>
  <c r="DQ137"/>
  <c r="DP137"/>
  <c r="DO137"/>
  <c r="DN137"/>
  <c r="DM137"/>
  <c r="DL137"/>
  <c r="DK137"/>
  <c r="DJ137"/>
  <c r="DI137"/>
  <c r="DH137"/>
  <c r="DG137"/>
  <c r="DF137"/>
  <c r="DE137"/>
  <c r="DD137"/>
  <c r="DC137"/>
  <c r="DB137"/>
  <c r="DA137"/>
  <c r="CZ137"/>
  <c r="CY137"/>
  <c r="CX137"/>
  <c r="CW137"/>
  <c r="CV137"/>
  <c r="CU137"/>
  <c r="CT137"/>
  <c r="CS137"/>
  <c r="CR137"/>
  <c r="CQ137"/>
  <c r="CP137"/>
  <c r="CO137"/>
  <c r="CN137"/>
  <c r="CM137"/>
  <c r="CL137"/>
  <c r="CK137"/>
  <c r="CJ137"/>
  <c r="CI137"/>
  <c r="CH137"/>
  <c r="CG137"/>
  <c r="CF137"/>
  <c r="CE137"/>
  <c r="CD137"/>
  <c r="CC137"/>
  <c r="CB137"/>
  <c r="CA137"/>
  <c r="BZ137"/>
  <c r="BY137"/>
  <c r="BX137"/>
  <c r="BW137"/>
  <c r="BV137"/>
  <c r="BU137"/>
  <c r="BT137"/>
  <c r="BS137"/>
  <c r="BR137"/>
  <c r="BQ137"/>
  <c r="BP137"/>
  <c r="BO137"/>
  <c r="BN137"/>
  <c r="E137"/>
  <c r="B137"/>
  <c r="A137"/>
  <c r="DU136"/>
  <c r="DT136"/>
  <c r="DS136"/>
  <c r="DR136"/>
  <c r="DQ136"/>
  <c r="DP136"/>
  <c r="DO136"/>
  <c r="DN136"/>
  <c r="DM136"/>
  <c r="DL136"/>
  <c r="DK136"/>
  <c r="DJ136"/>
  <c r="DI136"/>
  <c r="DH136"/>
  <c r="DG136"/>
  <c r="DF136"/>
  <c r="DE136"/>
  <c r="DD136"/>
  <c r="DC136"/>
  <c r="DB136"/>
  <c r="DA136"/>
  <c r="CZ136"/>
  <c r="CY136"/>
  <c r="CX136"/>
  <c r="CW136"/>
  <c r="CV136"/>
  <c r="CU136"/>
  <c r="CT136"/>
  <c r="CS136"/>
  <c r="CR136"/>
  <c r="CQ136"/>
  <c r="CP136"/>
  <c r="CO136"/>
  <c r="CN136"/>
  <c r="CM136"/>
  <c r="CL136"/>
  <c r="CK136"/>
  <c r="CJ136"/>
  <c r="CI136"/>
  <c r="CH136"/>
  <c r="CG136"/>
  <c r="CF136"/>
  <c r="CE136"/>
  <c r="CD136"/>
  <c r="CC136"/>
  <c r="CB136"/>
  <c r="CA136"/>
  <c r="BZ136"/>
  <c r="BY136"/>
  <c r="BX136"/>
  <c r="BW136"/>
  <c r="BV136"/>
  <c r="BU136"/>
  <c r="BT136"/>
  <c r="BS136"/>
  <c r="BR136"/>
  <c r="BQ136"/>
  <c r="BP136"/>
  <c r="BO136"/>
  <c r="BN136"/>
  <c r="E136"/>
  <c r="B136"/>
  <c r="A136"/>
  <c r="DU135"/>
  <c r="DT135"/>
  <c r="DS135"/>
  <c r="DR135"/>
  <c r="DQ135"/>
  <c r="DP135"/>
  <c r="DO135"/>
  <c r="DN135"/>
  <c r="DM135"/>
  <c r="DL135"/>
  <c r="DK135"/>
  <c r="DJ135"/>
  <c r="DI135"/>
  <c r="DH135"/>
  <c r="DG135"/>
  <c r="DF135"/>
  <c r="DE135"/>
  <c r="DD135"/>
  <c r="DC135"/>
  <c r="DB135"/>
  <c r="DA135"/>
  <c r="CZ135"/>
  <c r="CY135"/>
  <c r="CX135"/>
  <c r="CW135"/>
  <c r="CV135"/>
  <c r="CU135"/>
  <c r="CT135"/>
  <c r="CS135"/>
  <c r="CR135"/>
  <c r="CQ135"/>
  <c r="CP135"/>
  <c r="CO135"/>
  <c r="CN135"/>
  <c r="CM135"/>
  <c r="CL135"/>
  <c r="CK135"/>
  <c r="CJ135"/>
  <c r="CI135"/>
  <c r="CH135"/>
  <c r="CG135"/>
  <c r="CF135"/>
  <c r="CE135"/>
  <c r="CD135"/>
  <c r="CC135"/>
  <c r="CB135"/>
  <c r="CA135"/>
  <c r="BZ135"/>
  <c r="BY135"/>
  <c r="BX135"/>
  <c r="BW135"/>
  <c r="BV135"/>
  <c r="BU135"/>
  <c r="BT135"/>
  <c r="BS135"/>
  <c r="BR135"/>
  <c r="BQ135"/>
  <c r="BP135"/>
  <c r="BO135"/>
  <c r="BN135"/>
  <c r="E135"/>
  <c r="E135" i="2" s="1"/>
  <c r="B135" i="3"/>
  <c r="A135"/>
  <c r="DU134"/>
  <c r="DT134"/>
  <c r="DS134"/>
  <c r="DR134"/>
  <c r="DQ134"/>
  <c r="DP134"/>
  <c r="DO134"/>
  <c r="DN134"/>
  <c r="DM134"/>
  <c r="DL134"/>
  <c r="DK134"/>
  <c r="DJ134"/>
  <c r="DI134"/>
  <c r="DH134"/>
  <c r="DG134"/>
  <c r="DF134"/>
  <c r="DE134"/>
  <c r="DD134"/>
  <c r="DC134"/>
  <c r="DB134"/>
  <c r="DA134"/>
  <c r="CZ134"/>
  <c r="CY134"/>
  <c r="CX134"/>
  <c r="CW134"/>
  <c r="CV134"/>
  <c r="CU134"/>
  <c r="CT134"/>
  <c r="CS134"/>
  <c r="CR134"/>
  <c r="CQ134"/>
  <c r="CP134"/>
  <c r="CO134"/>
  <c r="CN134"/>
  <c r="CM134"/>
  <c r="CL134"/>
  <c r="CK134"/>
  <c r="CJ134"/>
  <c r="CI134"/>
  <c r="CH134"/>
  <c r="CG134"/>
  <c r="CF134"/>
  <c r="CE134"/>
  <c r="CD134"/>
  <c r="CC134"/>
  <c r="CB134"/>
  <c r="CA134"/>
  <c r="BZ134"/>
  <c r="BY134"/>
  <c r="BX134"/>
  <c r="BW134"/>
  <c r="BV134"/>
  <c r="BU134"/>
  <c r="BT134"/>
  <c r="BS134"/>
  <c r="BR134"/>
  <c r="BQ134"/>
  <c r="BP134"/>
  <c r="BO134"/>
  <c r="BN134"/>
  <c r="E134"/>
  <c r="E134" i="2" s="1"/>
  <c r="B134" i="3"/>
  <c r="B134" i="2" s="1"/>
  <c r="A134" i="3"/>
  <c r="A134" i="2" s="1"/>
  <c r="DU133" i="3"/>
  <c r="DT133"/>
  <c r="DS133"/>
  <c r="DR133"/>
  <c r="DQ133"/>
  <c r="DP133"/>
  <c r="DO133"/>
  <c r="DN133"/>
  <c r="DM133"/>
  <c r="DL133"/>
  <c r="DK133"/>
  <c r="DJ133"/>
  <c r="DI133"/>
  <c r="DH133"/>
  <c r="DG133"/>
  <c r="DF133"/>
  <c r="DE133"/>
  <c r="DD133"/>
  <c r="DC133"/>
  <c r="DB133"/>
  <c r="DA133"/>
  <c r="CZ133"/>
  <c r="CY133"/>
  <c r="CX133"/>
  <c r="CW133"/>
  <c r="CV133"/>
  <c r="CU133"/>
  <c r="CT133"/>
  <c r="CS133"/>
  <c r="CR133"/>
  <c r="CQ133"/>
  <c r="CP133"/>
  <c r="CO133"/>
  <c r="CN133"/>
  <c r="CM133"/>
  <c r="CL133"/>
  <c r="CK133"/>
  <c r="CJ133"/>
  <c r="CI133"/>
  <c r="CH133"/>
  <c r="CG133"/>
  <c r="CF133"/>
  <c r="CE133"/>
  <c r="CD133"/>
  <c r="CC133"/>
  <c r="CB133"/>
  <c r="CA133"/>
  <c r="BZ133"/>
  <c r="BY133"/>
  <c r="BX133"/>
  <c r="BW133"/>
  <c r="BV133"/>
  <c r="BU133"/>
  <c r="BT133"/>
  <c r="BS133"/>
  <c r="BR133"/>
  <c r="BQ133"/>
  <c r="BP133"/>
  <c r="BO133"/>
  <c r="BN133"/>
  <c r="E133"/>
  <c r="B133"/>
  <c r="B133" i="2" s="1"/>
  <c r="A133" i="3"/>
  <c r="A133" i="2" s="1"/>
  <c r="DU132" i="3"/>
  <c r="DT132"/>
  <c r="DS132"/>
  <c r="DR132"/>
  <c r="DQ132"/>
  <c r="DP132"/>
  <c r="DO132"/>
  <c r="DN132"/>
  <c r="DM132"/>
  <c r="DL132"/>
  <c r="DK132"/>
  <c r="DJ132"/>
  <c r="DI132"/>
  <c r="DH132"/>
  <c r="DG132"/>
  <c r="DF132"/>
  <c r="DE132"/>
  <c r="DD132"/>
  <c r="DC132"/>
  <c r="DB132"/>
  <c r="DA132"/>
  <c r="CZ132"/>
  <c r="CY132"/>
  <c r="CX132"/>
  <c r="CW132"/>
  <c r="CV132"/>
  <c r="CU132"/>
  <c r="CT132"/>
  <c r="CS132"/>
  <c r="CR132"/>
  <c r="CQ132"/>
  <c r="CP132"/>
  <c r="CO132"/>
  <c r="CN132"/>
  <c r="CM132"/>
  <c r="CL132"/>
  <c r="CK132"/>
  <c r="CJ132"/>
  <c r="CI132"/>
  <c r="CH132"/>
  <c r="CG132"/>
  <c r="CF132"/>
  <c r="CE132"/>
  <c r="CD132"/>
  <c r="CC132"/>
  <c r="CB132"/>
  <c r="CA132"/>
  <c r="BZ132"/>
  <c r="BY132"/>
  <c r="BX132"/>
  <c r="BW132"/>
  <c r="BV132"/>
  <c r="BU132"/>
  <c r="BT132"/>
  <c r="BS132"/>
  <c r="BR132"/>
  <c r="BQ132"/>
  <c r="BP132"/>
  <c r="BO132"/>
  <c r="BN132"/>
  <c r="E132"/>
  <c r="E132" i="2" s="1"/>
  <c r="B132" i="3"/>
  <c r="A132"/>
  <c r="A132" i="2" s="1"/>
  <c r="DU131" i="3"/>
  <c r="DT131"/>
  <c r="DS131"/>
  <c r="DR131"/>
  <c r="DQ131"/>
  <c r="DP131"/>
  <c r="DO131"/>
  <c r="DN131"/>
  <c r="DM131"/>
  <c r="DL131"/>
  <c r="DK131"/>
  <c r="DJ131"/>
  <c r="DI131"/>
  <c r="DH131"/>
  <c r="DG131"/>
  <c r="DF131"/>
  <c r="DE131"/>
  <c r="DD131"/>
  <c r="DC131"/>
  <c r="DB131"/>
  <c r="DA131"/>
  <c r="CZ131"/>
  <c r="CY131"/>
  <c r="CX131"/>
  <c r="CW131"/>
  <c r="CV131"/>
  <c r="CU131"/>
  <c r="CT131"/>
  <c r="CS131"/>
  <c r="CR131"/>
  <c r="CQ131"/>
  <c r="CP131"/>
  <c r="CO131"/>
  <c r="CN131"/>
  <c r="CM131"/>
  <c r="CL131"/>
  <c r="CK131"/>
  <c r="CJ131"/>
  <c r="CI131"/>
  <c r="CH131"/>
  <c r="CG131"/>
  <c r="CF131"/>
  <c r="CE131"/>
  <c r="CD131"/>
  <c r="CC131"/>
  <c r="CB131"/>
  <c r="CA131"/>
  <c r="BZ131"/>
  <c r="BY131"/>
  <c r="BX131"/>
  <c r="BW131"/>
  <c r="BV131"/>
  <c r="BU131"/>
  <c r="BT131"/>
  <c r="BS131"/>
  <c r="BR131"/>
  <c r="BQ131"/>
  <c r="BP131"/>
  <c r="BO131"/>
  <c r="BN131"/>
  <c r="E131"/>
  <c r="B131"/>
  <c r="B131" i="2" s="1"/>
  <c r="A131" i="3"/>
  <c r="A131" i="2" s="1"/>
  <c r="DU130" i="3"/>
  <c r="DT130"/>
  <c r="DS130"/>
  <c r="DR130"/>
  <c r="DQ130"/>
  <c r="DP130"/>
  <c r="DO130"/>
  <c r="DN130"/>
  <c r="DM130"/>
  <c r="DL130"/>
  <c r="DK130"/>
  <c r="DJ130"/>
  <c r="DI130"/>
  <c r="DH130"/>
  <c r="DG130"/>
  <c r="DF130"/>
  <c r="DE130"/>
  <c r="DD130"/>
  <c r="DC130"/>
  <c r="DB130"/>
  <c r="DA130"/>
  <c r="CZ130"/>
  <c r="CY130"/>
  <c r="CX130"/>
  <c r="CW130"/>
  <c r="CV130"/>
  <c r="CU130"/>
  <c r="CT130"/>
  <c r="CS130"/>
  <c r="CR130"/>
  <c r="CQ130"/>
  <c r="CP130"/>
  <c r="CO130"/>
  <c r="CN130"/>
  <c r="CM130"/>
  <c r="CL130"/>
  <c r="CK130"/>
  <c r="CJ130"/>
  <c r="CI130"/>
  <c r="CH130"/>
  <c r="CG130"/>
  <c r="CF130"/>
  <c r="CE130"/>
  <c r="CD130"/>
  <c r="CC130"/>
  <c r="CB130"/>
  <c r="CA130"/>
  <c r="BZ130"/>
  <c r="BY130"/>
  <c r="BX130"/>
  <c r="BW130"/>
  <c r="BV130"/>
  <c r="BU130"/>
  <c r="BT130"/>
  <c r="BS130"/>
  <c r="BR130"/>
  <c r="BQ130"/>
  <c r="BP130"/>
  <c r="BO130"/>
  <c r="BN130"/>
  <c r="E130"/>
  <c r="B130"/>
  <c r="A130"/>
  <c r="A130" i="2" s="1"/>
  <c r="DU129" i="3"/>
  <c r="DT129"/>
  <c r="DS129"/>
  <c r="DR129"/>
  <c r="DQ129"/>
  <c r="DP129"/>
  <c r="DO129"/>
  <c r="DN129"/>
  <c r="DM129"/>
  <c r="DL129"/>
  <c r="DK129"/>
  <c r="DJ129"/>
  <c r="DI129"/>
  <c r="DH129"/>
  <c r="DG129"/>
  <c r="DF129"/>
  <c r="DE129"/>
  <c r="DD129"/>
  <c r="DC129"/>
  <c r="DB129"/>
  <c r="DA129"/>
  <c r="CZ129"/>
  <c r="CY129"/>
  <c r="CX129"/>
  <c r="CW129"/>
  <c r="CV129"/>
  <c r="CU129"/>
  <c r="CT129"/>
  <c r="CS129"/>
  <c r="CR129"/>
  <c r="CQ129"/>
  <c r="CP129"/>
  <c r="CO129"/>
  <c r="CN129"/>
  <c r="CM129"/>
  <c r="CL129"/>
  <c r="CK129"/>
  <c r="CJ129"/>
  <c r="CI129"/>
  <c r="CH129"/>
  <c r="CG129"/>
  <c r="CF129"/>
  <c r="CE129"/>
  <c r="CD129"/>
  <c r="CC129"/>
  <c r="CB129"/>
  <c r="CA129"/>
  <c r="BZ129"/>
  <c r="BY129"/>
  <c r="BX129"/>
  <c r="BW129"/>
  <c r="BV129"/>
  <c r="BU129"/>
  <c r="BT129"/>
  <c r="BS129"/>
  <c r="BR129"/>
  <c r="BQ129"/>
  <c r="BP129"/>
  <c r="BO129"/>
  <c r="BN129"/>
  <c r="E129"/>
  <c r="B129"/>
  <c r="A129"/>
  <c r="DU128"/>
  <c r="DT128"/>
  <c r="DS128"/>
  <c r="DR128"/>
  <c r="DQ128"/>
  <c r="DP128"/>
  <c r="DO128"/>
  <c r="DN128"/>
  <c r="DM128"/>
  <c r="DL128"/>
  <c r="DK128"/>
  <c r="DJ128"/>
  <c r="DI128"/>
  <c r="DH128"/>
  <c r="DG128"/>
  <c r="DF128"/>
  <c r="DE128"/>
  <c r="DD128"/>
  <c r="DC128"/>
  <c r="DB128"/>
  <c r="DA128"/>
  <c r="CZ128"/>
  <c r="CY128"/>
  <c r="CX128"/>
  <c r="CW128"/>
  <c r="CV128"/>
  <c r="CU128"/>
  <c r="CT128"/>
  <c r="CS128"/>
  <c r="CR128"/>
  <c r="CQ128"/>
  <c r="CP128"/>
  <c r="CO128"/>
  <c r="CN128"/>
  <c r="CM128"/>
  <c r="CL128"/>
  <c r="CK128"/>
  <c r="CJ128"/>
  <c r="CI128"/>
  <c r="CH128"/>
  <c r="CG128"/>
  <c r="CF128"/>
  <c r="CE128"/>
  <c r="CD128"/>
  <c r="CC128"/>
  <c r="CB128"/>
  <c r="CA128"/>
  <c r="BZ128"/>
  <c r="BY128"/>
  <c r="BX128"/>
  <c r="BW128"/>
  <c r="BV128"/>
  <c r="BU128"/>
  <c r="BT128"/>
  <c r="BS128"/>
  <c r="BR128"/>
  <c r="BQ128"/>
  <c r="BP128"/>
  <c r="BO128"/>
  <c r="BN128"/>
  <c r="E128"/>
  <c r="B128"/>
  <c r="A128"/>
  <c r="DU127"/>
  <c r="DT127"/>
  <c r="DS127"/>
  <c r="DR127"/>
  <c r="DQ127"/>
  <c r="DP127"/>
  <c r="DO127"/>
  <c r="DN127"/>
  <c r="DM127"/>
  <c r="DL127"/>
  <c r="DK127"/>
  <c r="DJ127"/>
  <c r="DI127"/>
  <c r="DH127"/>
  <c r="DG127"/>
  <c r="DF127"/>
  <c r="DE127"/>
  <c r="DD127"/>
  <c r="DC127"/>
  <c r="DB127"/>
  <c r="DA127"/>
  <c r="CZ127"/>
  <c r="CY127"/>
  <c r="CX127"/>
  <c r="CW127"/>
  <c r="CV127"/>
  <c r="CU127"/>
  <c r="CT127"/>
  <c r="CS127"/>
  <c r="CR127"/>
  <c r="CQ127"/>
  <c r="CP127"/>
  <c r="CO127"/>
  <c r="CN127"/>
  <c r="CM127"/>
  <c r="CL127"/>
  <c r="CK127"/>
  <c r="CJ127"/>
  <c r="CI127"/>
  <c r="CH127"/>
  <c r="CG127"/>
  <c r="CF127"/>
  <c r="CE127"/>
  <c r="CD127"/>
  <c r="CC127"/>
  <c r="CB127"/>
  <c r="CA127"/>
  <c r="BZ127"/>
  <c r="BY127"/>
  <c r="BX127"/>
  <c r="BW127"/>
  <c r="BV127"/>
  <c r="BU127"/>
  <c r="BT127"/>
  <c r="BS127"/>
  <c r="BR127"/>
  <c r="BQ127"/>
  <c r="BP127"/>
  <c r="BO127"/>
  <c r="BN127"/>
  <c r="E127"/>
  <c r="E127" i="2" s="1"/>
  <c r="B127" i="3"/>
  <c r="A127"/>
  <c r="DU126"/>
  <c r="DT126"/>
  <c r="DS126"/>
  <c r="DR126"/>
  <c r="DQ126"/>
  <c r="DP126"/>
  <c r="DO126"/>
  <c r="DN126"/>
  <c r="DM126"/>
  <c r="DL126"/>
  <c r="DK126"/>
  <c r="DJ126"/>
  <c r="DI126"/>
  <c r="DH126"/>
  <c r="DG126"/>
  <c r="DF126"/>
  <c r="DE126"/>
  <c r="DD126"/>
  <c r="DC126"/>
  <c r="DB126"/>
  <c r="DA126"/>
  <c r="CZ126"/>
  <c r="CY126"/>
  <c r="CX126"/>
  <c r="CW126"/>
  <c r="CV126"/>
  <c r="CU126"/>
  <c r="CT126"/>
  <c r="CS126"/>
  <c r="CR126"/>
  <c r="CQ126"/>
  <c r="CP126"/>
  <c r="CO126"/>
  <c r="CN126"/>
  <c r="CM126"/>
  <c r="CL126"/>
  <c r="CK126"/>
  <c r="CJ126"/>
  <c r="CI126"/>
  <c r="CH126"/>
  <c r="CG126"/>
  <c r="CF126"/>
  <c r="CE126"/>
  <c r="CD126"/>
  <c r="CC126"/>
  <c r="CB126"/>
  <c r="CA126"/>
  <c r="BZ126"/>
  <c r="BY126"/>
  <c r="BX126"/>
  <c r="BW126"/>
  <c r="BV126"/>
  <c r="BU126"/>
  <c r="BT126"/>
  <c r="BS126"/>
  <c r="BR126"/>
  <c r="BQ126"/>
  <c r="BP126"/>
  <c r="BO126"/>
  <c r="BN126"/>
  <c r="E126"/>
  <c r="E126" i="2" s="1"/>
  <c r="B126" i="3"/>
  <c r="B126" i="2" s="1"/>
  <c r="A126" i="3"/>
  <c r="A126" i="2" s="1"/>
  <c r="DU125" i="3"/>
  <c r="DT125"/>
  <c r="DS125"/>
  <c r="DR125"/>
  <c r="DQ125"/>
  <c r="DP125"/>
  <c r="DO125"/>
  <c r="DN125"/>
  <c r="DM125"/>
  <c r="DL125"/>
  <c r="DK125"/>
  <c r="DJ125"/>
  <c r="DI125"/>
  <c r="DH125"/>
  <c r="DG125"/>
  <c r="DF125"/>
  <c r="DE125"/>
  <c r="DD125"/>
  <c r="DC125"/>
  <c r="DB125"/>
  <c r="DA125"/>
  <c r="CZ125"/>
  <c r="CY125"/>
  <c r="CX125"/>
  <c r="CW125"/>
  <c r="CV125"/>
  <c r="CU125"/>
  <c r="CT125"/>
  <c r="CS125"/>
  <c r="CR125"/>
  <c r="CQ125"/>
  <c r="CP125"/>
  <c r="CO125"/>
  <c r="CN125"/>
  <c r="CM125"/>
  <c r="CL125"/>
  <c r="CK125"/>
  <c r="CJ125"/>
  <c r="CI125"/>
  <c r="CH125"/>
  <c r="CG125"/>
  <c r="CF125"/>
  <c r="CE125"/>
  <c r="CD125"/>
  <c r="CC125"/>
  <c r="CB125"/>
  <c r="CA125"/>
  <c r="BZ125"/>
  <c r="BY125"/>
  <c r="BX125"/>
  <c r="BW125"/>
  <c r="BV125"/>
  <c r="BU125"/>
  <c r="BT125"/>
  <c r="BS125"/>
  <c r="BR125"/>
  <c r="BQ125"/>
  <c r="BP125"/>
  <c r="BO125"/>
  <c r="BN125"/>
  <c r="E125"/>
  <c r="B125"/>
  <c r="B125" i="2" s="1"/>
  <c r="A125" i="3"/>
  <c r="A125" i="2" s="1"/>
  <c r="DU124" i="3"/>
  <c r="DT124"/>
  <c r="DS124"/>
  <c r="DR124"/>
  <c r="DQ124"/>
  <c r="DP124"/>
  <c r="DO124"/>
  <c r="DN124"/>
  <c r="DM124"/>
  <c r="DL124"/>
  <c r="DK124"/>
  <c r="DJ124"/>
  <c r="DI124"/>
  <c r="DH124"/>
  <c r="DG124"/>
  <c r="DF124"/>
  <c r="DE124"/>
  <c r="DD124"/>
  <c r="DC124"/>
  <c r="DB124"/>
  <c r="DA124"/>
  <c r="CZ124"/>
  <c r="CY124"/>
  <c r="CX124"/>
  <c r="CW124"/>
  <c r="CV124"/>
  <c r="CU124"/>
  <c r="CT124"/>
  <c r="CS124"/>
  <c r="CR124"/>
  <c r="CQ124"/>
  <c r="CP124"/>
  <c r="CO124"/>
  <c r="CN124"/>
  <c r="CM124"/>
  <c r="CL124"/>
  <c r="CK124"/>
  <c r="CJ124"/>
  <c r="CI124"/>
  <c r="CH124"/>
  <c r="CG124"/>
  <c r="CF124"/>
  <c r="CE124"/>
  <c r="CD124"/>
  <c r="CC124"/>
  <c r="CB124"/>
  <c r="CA124"/>
  <c r="BZ124"/>
  <c r="BY124"/>
  <c r="BX124"/>
  <c r="BW124"/>
  <c r="BV124"/>
  <c r="BU124"/>
  <c r="BT124"/>
  <c r="BS124"/>
  <c r="BR124"/>
  <c r="BQ124"/>
  <c r="BP124"/>
  <c r="BO124"/>
  <c r="BN124"/>
  <c r="E124"/>
  <c r="E124" i="2" s="1"/>
  <c r="B124" i="3"/>
  <c r="A124"/>
  <c r="A124" i="2" s="1"/>
  <c r="DU123" i="3"/>
  <c r="DT123"/>
  <c r="DS123"/>
  <c r="DR123"/>
  <c r="DQ123"/>
  <c r="DP123"/>
  <c r="DO123"/>
  <c r="DN123"/>
  <c r="DM123"/>
  <c r="DL123"/>
  <c r="DK123"/>
  <c r="DJ123"/>
  <c r="DI123"/>
  <c r="DH123"/>
  <c r="DG123"/>
  <c r="DF123"/>
  <c r="DE123"/>
  <c r="DD123"/>
  <c r="DC123"/>
  <c r="DB123"/>
  <c r="DA123"/>
  <c r="CZ123"/>
  <c r="CY123"/>
  <c r="CX123"/>
  <c r="CW123"/>
  <c r="CV123"/>
  <c r="CU123"/>
  <c r="CT123"/>
  <c r="CS123"/>
  <c r="CR123"/>
  <c r="CQ123"/>
  <c r="CP123"/>
  <c r="CO123"/>
  <c r="CN123"/>
  <c r="CM123"/>
  <c r="CL123"/>
  <c r="CK123"/>
  <c r="CJ123"/>
  <c r="CI123"/>
  <c r="CH123"/>
  <c r="CG123"/>
  <c r="CF123"/>
  <c r="CE123"/>
  <c r="CD123"/>
  <c r="CC123"/>
  <c r="CB123"/>
  <c r="CA123"/>
  <c r="BZ123"/>
  <c r="BY123"/>
  <c r="BX123"/>
  <c r="BW123"/>
  <c r="BV123"/>
  <c r="BU123"/>
  <c r="BT123"/>
  <c r="BS123"/>
  <c r="BR123"/>
  <c r="BQ123"/>
  <c r="BP123"/>
  <c r="BO123"/>
  <c r="BN123"/>
  <c r="E123"/>
  <c r="B123"/>
  <c r="B123" i="2" s="1"/>
  <c r="A123" i="3"/>
  <c r="A123" i="2" s="1"/>
  <c r="DU122" i="3"/>
  <c r="DT122"/>
  <c r="DS122"/>
  <c r="DR122"/>
  <c r="DQ122"/>
  <c r="DP122"/>
  <c r="DO122"/>
  <c r="DN122"/>
  <c r="DM122"/>
  <c r="DL122"/>
  <c r="DK122"/>
  <c r="DJ122"/>
  <c r="DI122"/>
  <c r="DH122"/>
  <c r="DG122"/>
  <c r="DF122"/>
  <c r="DE122"/>
  <c r="DD122"/>
  <c r="DC122"/>
  <c r="DB122"/>
  <c r="DA122"/>
  <c r="CZ122"/>
  <c r="CY122"/>
  <c r="CX122"/>
  <c r="CW122"/>
  <c r="CV122"/>
  <c r="CU122"/>
  <c r="CT122"/>
  <c r="CS122"/>
  <c r="CR122"/>
  <c r="CQ122"/>
  <c r="CP122"/>
  <c r="CO122"/>
  <c r="CN122"/>
  <c r="CM122"/>
  <c r="CL122"/>
  <c r="CK122"/>
  <c r="CJ122"/>
  <c r="CI122"/>
  <c r="CH122"/>
  <c r="CG122"/>
  <c r="CF122"/>
  <c r="CE122"/>
  <c r="CD122"/>
  <c r="CC122"/>
  <c r="CB122"/>
  <c r="CA122"/>
  <c r="BZ122"/>
  <c r="BY122"/>
  <c r="BX122"/>
  <c r="BW122"/>
  <c r="BV122"/>
  <c r="BU122"/>
  <c r="BT122"/>
  <c r="BS122"/>
  <c r="BR122"/>
  <c r="BQ122"/>
  <c r="BP122"/>
  <c r="BO122"/>
  <c r="BN122"/>
  <c r="E122"/>
  <c r="B122"/>
  <c r="A122"/>
  <c r="A122" i="2" s="1"/>
  <c r="DU121" i="3"/>
  <c r="DT121"/>
  <c r="DS121"/>
  <c r="DR121"/>
  <c r="DQ121"/>
  <c r="DP121"/>
  <c r="DO121"/>
  <c r="DN121"/>
  <c r="DM121"/>
  <c r="DL121"/>
  <c r="DK121"/>
  <c r="DJ121"/>
  <c r="DI121"/>
  <c r="DH121"/>
  <c r="DG121"/>
  <c r="DF121"/>
  <c r="DE121"/>
  <c r="DD121"/>
  <c r="DC121"/>
  <c r="DB121"/>
  <c r="DA121"/>
  <c r="CZ121"/>
  <c r="CY121"/>
  <c r="CX121"/>
  <c r="CW121"/>
  <c r="CV121"/>
  <c r="CU121"/>
  <c r="CT121"/>
  <c r="CS121"/>
  <c r="CR121"/>
  <c r="CQ121"/>
  <c r="CP121"/>
  <c r="CO121"/>
  <c r="CN121"/>
  <c r="CM121"/>
  <c r="CL121"/>
  <c r="CK121"/>
  <c r="CJ121"/>
  <c r="CI121"/>
  <c r="CH121"/>
  <c r="CG121"/>
  <c r="CF121"/>
  <c r="CE121"/>
  <c r="CD121"/>
  <c r="CC121"/>
  <c r="CB121"/>
  <c r="CA121"/>
  <c r="BZ121"/>
  <c r="BY121"/>
  <c r="BX121"/>
  <c r="BW121"/>
  <c r="BV121"/>
  <c r="BU121"/>
  <c r="BT121"/>
  <c r="BS121"/>
  <c r="BR121"/>
  <c r="BQ121"/>
  <c r="BP121"/>
  <c r="BO121"/>
  <c r="BN121"/>
  <c r="E121"/>
  <c r="B121"/>
  <c r="A121"/>
  <c r="DU120"/>
  <c r="DT120"/>
  <c r="DS120"/>
  <c r="DR120"/>
  <c r="DQ120"/>
  <c r="DP120"/>
  <c r="DO120"/>
  <c r="DN120"/>
  <c r="DM120"/>
  <c r="DL120"/>
  <c r="DK120"/>
  <c r="DJ120"/>
  <c r="DI120"/>
  <c r="DH120"/>
  <c r="DG120"/>
  <c r="DF120"/>
  <c r="DE120"/>
  <c r="DD120"/>
  <c r="DC120"/>
  <c r="DB120"/>
  <c r="DA120"/>
  <c r="CZ120"/>
  <c r="CY120"/>
  <c r="CX120"/>
  <c r="CW120"/>
  <c r="CV120"/>
  <c r="CU120"/>
  <c r="CT120"/>
  <c r="CS120"/>
  <c r="CR120"/>
  <c r="CQ120"/>
  <c r="CP120"/>
  <c r="CO120"/>
  <c r="CN120"/>
  <c r="CM120"/>
  <c r="CL120"/>
  <c r="CK120"/>
  <c r="CJ120"/>
  <c r="CI120"/>
  <c r="CH120"/>
  <c r="CG120"/>
  <c r="CF120"/>
  <c r="CE120"/>
  <c r="CD120"/>
  <c r="CC120"/>
  <c r="CB120"/>
  <c r="CA120"/>
  <c r="BZ120"/>
  <c r="BY120"/>
  <c r="BX120"/>
  <c r="BW120"/>
  <c r="BV120"/>
  <c r="BU120"/>
  <c r="BT120"/>
  <c r="BS120"/>
  <c r="BR120"/>
  <c r="BQ120"/>
  <c r="BP120"/>
  <c r="BO120"/>
  <c r="BN120"/>
  <c r="E120"/>
  <c r="B120"/>
  <c r="A120"/>
  <c r="DU119"/>
  <c r="DT119"/>
  <c r="DS119"/>
  <c r="DR119"/>
  <c r="DQ119"/>
  <c r="DP119"/>
  <c r="DO119"/>
  <c r="DN119"/>
  <c r="DM119"/>
  <c r="DL119"/>
  <c r="DK119"/>
  <c r="DJ119"/>
  <c r="DI119"/>
  <c r="DH119"/>
  <c r="DG119"/>
  <c r="DF119"/>
  <c r="DE119"/>
  <c r="DD119"/>
  <c r="DC119"/>
  <c r="DB119"/>
  <c r="DA119"/>
  <c r="CZ119"/>
  <c r="CY119"/>
  <c r="CX119"/>
  <c r="CW119"/>
  <c r="CV119"/>
  <c r="CU119"/>
  <c r="CT119"/>
  <c r="CS119"/>
  <c r="CR119"/>
  <c r="CQ119"/>
  <c r="CP119"/>
  <c r="CO119"/>
  <c r="CN119"/>
  <c r="CM119"/>
  <c r="CL119"/>
  <c r="CK119"/>
  <c r="CJ119"/>
  <c r="CI119"/>
  <c r="CH119"/>
  <c r="CG119"/>
  <c r="CF119"/>
  <c r="CE119"/>
  <c r="CD119"/>
  <c r="CC119"/>
  <c r="CB119"/>
  <c r="CA119"/>
  <c r="BZ119"/>
  <c r="BY119"/>
  <c r="BX119"/>
  <c r="BW119"/>
  <c r="BV119"/>
  <c r="BU119"/>
  <c r="BT119"/>
  <c r="BS119"/>
  <c r="BR119"/>
  <c r="BQ119"/>
  <c r="BP119"/>
  <c r="BO119"/>
  <c r="BN119"/>
  <c r="E119"/>
  <c r="E119" i="2" s="1"/>
  <c r="B119" i="3"/>
  <c r="A119"/>
  <c r="DU118"/>
  <c r="DT118"/>
  <c r="DS118"/>
  <c r="DR118"/>
  <c r="DQ118"/>
  <c r="DP118"/>
  <c r="DO118"/>
  <c r="DN118"/>
  <c r="DM118"/>
  <c r="DL118"/>
  <c r="DK118"/>
  <c r="DJ118"/>
  <c r="DI118"/>
  <c r="DH118"/>
  <c r="DG118"/>
  <c r="DF118"/>
  <c r="DE118"/>
  <c r="DD118"/>
  <c r="DC118"/>
  <c r="DB118"/>
  <c r="DA118"/>
  <c r="CZ118"/>
  <c r="CY118"/>
  <c r="CX118"/>
  <c r="CW118"/>
  <c r="CV118"/>
  <c r="CU118"/>
  <c r="CT118"/>
  <c r="CS118"/>
  <c r="CR118"/>
  <c r="CQ118"/>
  <c r="CP118"/>
  <c r="CO118"/>
  <c r="CN118"/>
  <c r="CM118"/>
  <c r="CL118"/>
  <c r="CK118"/>
  <c r="CJ118"/>
  <c r="CI118"/>
  <c r="CH118"/>
  <c r="CG118"/>
  <c r="CF118"/>
  <c r="CE118"/>
  <c r="CD118"/>
  <c r="CC118"/>
  <c r="CB118"/>
  <c r="CA118"/>
  <c r="BZ118"/>
  <c r="BY118"/>
  <c r="BX118"/>
  <c r="BW118"/>
  <c r="BV118"/>
  <c r="BU118"/>
  <c r="BT118"/>
  <c r="BS118"/>
  <c r="BR118"/>
  <c r="BQ118"/>
  <c r="BP118"/>
  <c r="BO118"/>
  <c r="BN118"/>
  <c r="E118"/>
  <c r="E118" i="2" s="1"/>
  <c r="B118" i="3"/>
  <c r="B118" i="2" s="1"/>
  <c r="A118" i="3"/>
  <c r="A118" i="2" s="1"/>
  <c r="DU117" i="3"/>
  <c r="DT117"/>
  <c r="DS117"/>
  <c r="DR117"/>
  <c r="DQ117"/>
  <c r="DP117"/>
  <c r="DO117"/>
  <c r="DN117"/>
  <c r="DM117"/>
  <c r="DL117"/>
  <c r="DK117"/>
  <c r="DJ117"/>
  <c r="DI117"/>
  <c r="DH117"/>
  <c r="DG117"/>
  <c r="DF117"/>
  <c r="DE117"/>
  <c r="DD117"/>
  <c r="DC117"/>
  <c r="DB117"/>
  <c r="DA117"/>
  <c r="CZ117"/>
  <c r="CY117"/>
  <c r="CX117"/>
  <c r="CW117"/>
  <c r="CV117"/>
  <c r="CU117"/>
  <c r="CT117"/>
  <c r="CS117"/>
  <c r="CR117"/>
  <c r="CQ117"/>
  <c r="CP117"/>
  <c r="CO117"/>
  <c r="CN117"/>
  <c r="CM117"/>
  <c r="CL117"/>
  <c r="CK117"/>
  <c r="CJ117"/>
  <c r="CI117"/>
  <c r="CH117"/>
  <c r="CG117"/>
  <c r="CF117"/>
  <c r="CE117"/>
  <c r="CD117"/>
  <c r="CC117"/>
  <c r="CB117"/>
  <c r="CA117"/>
  <c r="BZ117"/>
  <c r="BY117"/>
  <c r="BX117"/>
  <c r="BW117"/>
  <c r="BV117"/>
  <c r="BU117"/>
  <c r="BT117"/>
  <c r="BS117"/>
  <c r="BR117"/>
  <c r="BQ117"/>
  <c r="BP117"/>
  <c r="BO117"/>
  <c r="BN117"/>
  <c r="E117"/>
  <c r="B117"/>
  <c r="B117" i="2" s="1"/>
  <c r="A117" i="3"/>
  <c r="A117" i="2" s="1"/>
  <c r="DU116" i="3"/>
  <c r="DT116"/>
  <c r="DS116"/>
  <c r="DR116"/>
  <c r="DQ116"/>
  <c r="DP116"/>
  <c r="DO116"/>
  <c r="DN116"/>
  <c r="DM116"/>
  <c r="DL116"/>
  <c r="DK116"/>
  <c r="DJ116"/>
  <c r="DI116"/>
  <c r="DH116"/>
  <c r="DG116"/>
  <c r="DF116"/>
  <c r="DE116"/>
  <c r="DD116"/>
  <c r="DC116"/>
  <c r="DB116"/>
  <c r="DA116"/>
  <c r="CZ116"/>
  <c r="CY116"/>
  <c r="CX116"/>
  <c r="CW116"/>
  <c r="CV116"/>
  <c r="CU116"/>
  <c r="CT116"/>
  <c r="CS116"/>
  <c r="CR116"/>
  <c r="CQ116"/>
  <c r="CP116"/>
  <c r="CO116"/>
  <c r="CN116"/>
  <c r="CM116"/>
  <c r="CL116"/>
  <c r="CK116"/>
  <c r="CJ116"/>
  <c r="CI116"/>
  <c r="CH116"/>
  <c r="CG116"/>
  <c r="CF116"/>
  <c r="CE116"/>
  <c r="CD116"/>
  <c r="CC116"/>
  <c r="CB116"/>
  <c r="CA116"/>
  <c r="BZ116"/>
  <c r="BY116"/>
  <c r="BX116"/>
  <c r="BW116"/>
  <c r="BV116"/>
  <c r="BU116"/>
  <c r="BT116"/>
  <c r="BS116"/>
  <c r="BR116"/>
  <c r="BQ116"/>
  <c r="BP116"/>
  <c r="BO116"/>
  <c r="BN116"/>
  <c r="E116"/>
  <c r="E116" i="2" s="1"/>
  <c r="B116" i="3"/>
  <c r="A116"/>
  <c r="A116" i="2" s="1"/>
  <c r="DU115" i="3"/>
  <c r="DT115"/>
  <c r="DS115"/>
  <c r="DR115"/>
  <c r="DQ115"/>
  <c r="DP115"/>
  <c r="DO115"/>
  <c r="DN115"/>
  <c r="DM115"/>
  <c r="DL115"/>
  <c r="DK115"/>
  <c r="DJ115"/>
  <c r="DI115"/>
  <c r="DH115"/>
  <c r="DG115"/>
  <c r="DF115"/>
  <c r="DE115"/>
  <c r="DD115"/>
  <c r="DC115"/>
  <c r="DB115"/>
  <c r="DA115"/>
  <c r="CZ115"/>
  <c r="CY115"/>
  <c r="CX115"/>
  <c r="CW115"/>
  <c r="CV115"/>
  <c r="CU115"/>
  <c r="CT115"/>
  <c r="CS115"/>
  <c r="CR115"/>
  <c r="CQ115"/>
  <c r="CP115"/>
  <c r="CO115"/>
  <c r="CN115"/>
  <c r="CM115"/>
  <c r="CL115"/>
  <c r="CK115"/>
  <c r="CJ115"/>
  <c r="CI115"/>
  <c r="CH115"/>
  <c r="CG115"/>
  <c r="CF115"/>
  <c r="CE115"/>
  <c r="CD115"/>
  <c r="CC115"/>
  <c r="CB115"/>
  <c r="CA115"/>
  <c r="BZ115"/>
  <c r="BY115"/>
  <c r="BX115"/>
  <c r="BW115"/>
  <c r="BV115"/>
  <c r="BU115"/>
  <c r="BT115"/>
  <c r="BS115"/>
  <c r="BR115"/>
  <c r="BQ115"/>
  <c r="BP115"/>
  <c r="BO115"/>
  <c r="BN115"/>
  <c r="E115"/>
  <c r="B115"/>
  <c r="B115" i="2" s="1"/>
  <c r="A115" i="3"/>
  <c r="A115" i="2" s="1"/>
  <c r="DU114" i="3"/>
  <c r="DT114"/>
  <c r="DS114"/>
  <c r="DR114"/>
  <c r="DQ114"/>
  <c r="DP114"/>
  <c r="DO114"/>
  <c r="DN114"/>
  <c r="DM114"/>
  <c r="DL114"/>
  <c r="DK114"/>
  <c r="DJ114"/>
  <c r="DI114"/>
  <c r="DH114"/>
  <c r="DG114"/>
  <c r="DF114"/>
  <c r="DE114"/>
  <c r="DD114"/>
  <c r="DC114"/>
  <c r="DB114"/>
  <c r="DA114"/>
  <c r="CZ114"/>
  <c r="CY114"/>
  <c r="CX114"/>
  <c r="CW114"/>
  <c r="CV114"/>
  <c r="CU114"/>
  <c r="CT114"/>
  <c r="CS114"/>
  <c r="CR114"/>
  <c r="CQ114"/>
  <c r="CP114"/>
  <c r="CO114"/>
  <c r="CN114"/>
  <c r="CM114"/>
  <c r="CL114"/>
  <c r="CK114"/>
  <c r="CJ114"/>
  <c r="CI114"/>
  <c r="CH114"/>
  <c r="CG114"/>
  <c r="CF114"/>
  <c r="CE114"/>
  <c r="CD114"/>
  <c r="CC114"/>
  <c r="CB114"/>
  <c r="CA114"/>
  <c r="BZ114"/>
  <c r="BY114"/>
  <c r="BX114"/>
  <c r="BW114"/>
  <c r="BV114"/>
  <c r="BU114"/>
  <c r="BT114"/>
  <c r="BS114"/>
  <c r="BR114"/>
  <c r="BQ114"/>
  <c r="BP114"/>
  <c r="BO114"/>
  <c r="BN114"/>
  <c r="E114"/>
  <c r="B114"/>
  <c r="A114"/>
  <c r="A114" i="2" s="1"/>
  <c r="DU113" i="3"/>
  <c r="DT113"/>
  <c r="DS113"/>
  <c r="DR113"/>
  <c r="DQ113"/>
  <c r="DP113"/>
  <c r="DO113"/>
  <c r="DN113"/>
  <c r="DM113"/>
  <c r="DL113"/>
  <c r="DK113"/>
  <c r="DJ113"/>
  <c r="DI113"/>
  <c r="DH113"/>
  <c r="DG113"/>
  <c r="DF113"/>
  <c r="DE113"/>
  <c r="DD113"/>
  <c r="DC113"/>
  <c r="DB113"/>
  <c r="DA113"/>
  <c r="CZ113"/>
  <c r="CY113"/>
  <c r="CX113"/>
  <c r="CW113"/>
  <c r="CV113"/>
  <c r="CU113"/>
  <c r="CT113"/>
  <c r="CS113"/>
  <c r="CR113"/>
  <c r="CQ113"/>
  <c r="CP113"/>
  <c r="CO113"/>
  <c r="CN113"/>
  <c r="CM113"/>
  <c r="CL113"/>
  <c r="CK113"/>
  <c r="CJ113"/>
  <c r="CI113"/>
  <c r="CH113"/>
  <c r="CG113"/>
  <c r="CF113"/>
  <c r="CE113"/>
  <c r="CD113"/>
  <c r="CC113"/>
  <c r="CB113"/>
  <c r="CA113"/>
  <c r="BZ113"/>
  <c r="BY113"/>
  <c r="BX113"/>
  <c r="BW113"/>
  <c r="BV113"/>
  <c r="BU113"/>
  <c r="BT113"/>
  <c r="BS113"/>
  <c r="BR113"/>
  <c r="BQ113"/>
  <c r="BP113"/>
  <c r="BO113"/>
  <c r="BN113"/>
  <c r="E113"/>
  <c r="B113"/>
  <c r="A113"/>
  <c r="DU112"/>
  <c r="DT112"/>
  <c r="DS112"/>
  <c r="DR112"/>
  <c r="DQ112"/>
  <c r="DP112"/>
  <c r="DO112"/>
  <c r="DN112"/>
  <c r="DM112"/>
  <c r="DL112"/>
  <c r="DK112"/>
  <c r="DJ112"/>
  <c r="DI112"/>
  <c r="DH112"/>
  <c r="DG112"/>
  <c r="DF112"/>
  <c r="DE112"/>
  <c r="DD112"/>
  <c r="DC112"/>
  <c r="DB112"/>
  <c r="DA112"/>
  <c r="CZ112"/>
  <c r="CY112"/>
  <c r="CX112"/>
  <c r="CW112"/>
  <c r="CV112"/>
  <c r="CU112"/>
  <c r="CT112"/>
  <c r="CS112"/>
  <c r="CR112"/>
  <c r="CQ112"/>
  <c r="CP112"/>
  <c r="CO112"/>
  <c r="CN112"/>
  <c r="CM112"/>
  <c r="CL112"/>
  <c r="CK112"/>
  <c r="CJ112"/>
  <c r="CI112"/>
  <c r="CH112"/>
  <c r="CG112"/>
  <c r="CF112"/>
  <c r="CE112"/>
  <c r="CD112"/>
  <c r="CC112"/>
  <c r="CB112"/>
  <c r="CA112"/>
  <c r="BZ112"/>
  <c r="BY112"/>
  <c r="BX112"/>
  <c r="BW112"/>
  <c r="BV112"/>
  <c r="BU112"/>
  <c r="BT112"/>
  <c r="BS112"/>
  <c r="BR112"/>
  <c r="BQ112"/>
  <c r="BP112"/>
  <c r="BO112"/>
  <c r="BN112"/>
  <c r="E112"/>
  <c r="B112"/>
  <c r="B112" i="2" s="1"/>
  <c r="A112" i="3"/>
  <c r="DU111"/>
  <c r="DT111"/>
  <c r="DS111"/>
  <c r="DR111"/>
  <c r="DQ111"/>
  <c r="DP111"/>
  <c r="DO111"/>
  <c r="DN111"/>
  <c r="DM111"/>
  <c r="DL111"/>
  <c r="DK111"/>
  <c r="DJ111"/>
  <c r="DI111"/>
  <c r="DH111"/>
  <c r="DG111"/>
  <c r="DF111"/>
  <c r="DE111"/>
  <c r="DD111"/>
  <c r="DC111"/>
  <c r="DB111"/>
  <c r="DA111"/>
  <c r="CZ111"/>
  <c r="CY111"/>
  <c r="CX111"/>
  <c r="CW111"/>
  <c r="CV111"/>
  <c r="CU111"/>
  <c r="CT111"/>
  <c r="CS111"/>
  <c r="CR111"/>
  <c r="CQ111"/>
  <c r="CP111"/>
  <c r="CO111"/>
  <c r="CN111"/>
  <c r="CM111"/>
  <c r="CL111"/>
  <c r="CK111"/>
  <c r="CJ111"/>
  <c r="CI111"/>
  <c r="CH111"/>
  <c r="CG111"/>
  <c r="CF111"/>
  <c r="CE111"/>
  <c r="CD111"/>
  <c r="CC111"/>
  <c r="CB111"/>
  <c r="CA111"/>
  <c r="BZ111"/>
  <c r="BY111"/>
  <c r="BX111"/>
  <c r="BW111"/>
  <c r="BV111"/>
  <c r="BU111"/>
  <c r="BT111"/>
  <c r="BS111"/>
  <c r="BR111"/>
  <c r="BQ111"/>
  <c r="BP111"/>
  <c r="BO111"/>
  <c r="BN111"/>
  <c r="E111"/>
  <c r="E111" i="2" s="1"/>
  <c r="B111" i="3"/>
  <c r="A111"/>
  <c r="DU110"/>
  <c r="DT110"/>
  <c r="DS110"/>
  <c r="DR110"/>
  <c r="DQ110"/>
  <c r="DP110"/>
  <c r="DO110"/>
  <c r="DN110"/>
  <c r="DM110"/>
  <c r="DL110"/>
  <c r="DK110"/>
  <c r="DJ110"/>
  <c r="DI110"/>
  <c r="DH110"/>
  <c r="DG110"/>
  <c r="DF110"/>
  <c r="DE110"/>
  <c r="DD110"/>
  <c r="DC110"/>
  <c r="DB110"/>
  <c r="DA110"/>
  <c r="CZ110"/>
  <c r="CY110"/>
  <c r="CX110"/>
  <c r="CW110"/>
  <c r="CV110"/>
  <c r="CU110"/>
  <c r="CT110"/>
  <c r="CS110"/>
  <c r="CR110"/>
  <c r="CQ110"/>
  <c r="CP110"/>
  <c r="CO110"/>
  <c r="CN110"/>
  <c r="CM110"/>
  <c r="CL110"/>
  <c r="CK110"/>
  <c r="CJ110"/>
  <c r="CI110"/>
  <c r="CH110"/>
  <c r="CG110"/>
  <c r="CF110"/>
  <c r="CE110"/>
  <c r="CD110"/>
  <c r="CC110"/>
  <c r="CB110"/>
  <c r="CA110"/>
  <c r="BZ110"/>
  <c r="BY110"/>
  <c r="BX110"/>
  <c r="BW110"/>
  <c r="BV110"/>
  <c r="BU110"/>
  <c r="BT110"/>
  <c r="BS110"/>
  <c r="BR110"/>
  <c r="BQ110"/>
  <c r="BP110"/>
  <c r="BO110"/>
  <c r="BN110"/>
  <c r="E110"/>
  <c r="B110"/>
  <c r="B110" i="2" s="1"/>
  <c r="A110" i="3"/>
  <c r="A110" i="2" s="1"/>
  <c r="DU109" i="3"/>
  <c r="DT109"/>
  <c r="DS109"/>
  <c r="DR109"/>
  <c r="DQ109"/>
  <c r="DP109"/>
  <c r="DO109"/>
  <c r="DN109"/>
  <c r="DM109"/>
  <c r="DL109"/>
  <c r="DK109"/>
  <c r="DJ109"/>
  <c r="DI109"/>
  <c r="DH109"/>
  <c r="DG109"/>
  <c r="DF109"/>
  <c r="DE109"/>
  <c r="DD109"/>
  <c r="DC109"/>
  <c r="DB109"/>
  <c r="DA109"/>
  <c r="CZ109"/>
  <c r="CY109"/>
  <c r="CX109"/>
  <c r="CW109"/>
  <c r="CV109"/>
  <c r="CU109"/>
  <c r="CT109"/>
  <c r="CS109"/>
  <c r="CR109"/>
  <c r="CQ109"/>
  <c r="CP109"/>
  <c r="CO109"/>
  <c r="CN109"/>
  <c r="CM109"/>
  <c r="CL109"/>
  <c r="CK109"/>
  <c r="CJ109"/>
  <c r="CI109"/>
  <c r="CH109"/>
  <c r="CG109"/>
  <c r="CF109"/>
  <c r="CE109"/>
  <c r="CD109"/>
  <c r="CC109"/>
  <c r="CB109"/>
  <c r="CA109"/>
  <c r="BZ109"/>
  <c r="BY109"/>
  <c r="BX109"/>
  <c r="BW109"/>
  <c r="BV109"/>
  <c r="BU109"/>
  <c r="BT109"/>
  <c r="BS109"/>
  <c r="BR109"/>
  <c r="BQ109"/>
  <c r="BP109"/>
  <c r="BO109"/>
  <c r="BN109"/>
  <c r="E109"/>
  <c r="E109" i="2" s="1"/>
  <c r="B109" i="3"/>
  <c r="A109"/>
  <c r="DU108"/>
  <c r="DT108"/>
  <c r="DS108"/>
  <c r="DR108"/>
  <c r="DQ108"/>
  <c r="DP108"/>
  <c r="DO108"/>
  <c r="DN108"/>
  <c r="DM108"/>
  <c r="DL108"/>
  <c r="DK108"/>
  <c r="DJ108"/>
  <c r="DI108"/>
  <c r="DH108"/>
  <c r="DG108"/>
  <c r="DF108"/>
  <c r="DE108"/>
  <c r="DD108"/>
  <c r="DC108"/>
  <c r="DB108"/>
  <c r="DA108"/>
  <c r="CZ108"/>
  <c r="CY108"/>
  <c r="CX108"/>
  <c r="CW108"/>
  <c r="CV108"/>
  <c r="CU108"/>
  <c r="CT108"/>
  <c r="CS108"/>
  <c r="CR108"/>
  <c r="CQ108"/>
  <c r="CP108"/>
  <c r="CO108"/>
  <c r="CN108"/>
  <c r="CM108"/>
  <c r="CL108"/>
  <c r="CK108"/>
  <c r="CJ108"/>
  <c r="CI108"/>
  <c r="CH108"/>
  <c r="CG108"/>
  <c r="CF108"/>
  <c r="CE108"/>
  <c r="CD108"/>
  <c r="CC108"/>
  <c r="CB108"/>
  <c r="CA108"/>
  <c r="BZ108"/>
  <c r="BY108"/>
  <c r="BX108"/>
  <c r="BW108"/>
  <c r="BV108"/>
  <c r="BU108"/>
  <c r="BT108"/>
  <c r="BS108"/>
  <c r="BR108"/>
  <c r="BQ108"/>
  <c r="BP108"/>
  <c r="BO108"/>
  <c r="BN108"/>
  <c r="E108"/>
  <c r="E108" i="2" s="1"/>
  <c r="B108" i="3"/>
  <c r="B108" i="2" s="1"/>
  <c r="A108" i="3"/>
  <c r="DU107"/>
  <c r="DT107"/>
  <c r="DS107"/>
  <c r="DR107"/>
  <c r="DQ107"/>
  <c r="DP107"/>
  <c r="DO107"/>
  <c r="DN107"/>
  <c r="DM107"/>
  <c r="DL107"/>
  <c r="DK107"/>
  <c r="DJ107"/>
  <c r="DI107"/>
  <c r="DH107"/>
  <c r="DG107"/>
  <c r="DF107"/>
  <c r="DE107"/>
  <c r="DD107"/>
  <c r="DC107"/>
  <c r="DB107"/>
  <c r="DA107"/>
  <c r="CZ107"/>
  <c r="CY107"/>
  <c r="CX107"/>
  <c r="CW107"/>
  <c r="CV107"/>
  <c r="CU107"/>
  <c r="CT107"/>
  <c r="CS107"/>
  <c r="CR107"/>
  <c r="CQ107"/>
  <c r="CP107"/>
  <c r="CO107"/>
  <c r="CN107"/>
  <c r="CM107"/>
  <c r="CL107"/>
  <c r="CK107"/>
  <c r="CJ107"/>
  <c r="CI107"/>
  <c r="CH107"/>
  <c r="CG107"/>
  <c r="CF107"/>
  <c r="CE107"/>
  <c r="CD107"/>
  <c r="CC107"/>
  <c r="CB107"/>
  <c r="CA107"/>
  <c r="BZ107"/>
  <c r="BY107"/>
  <c r="BX107"/>
  <c r="BW107"/>
  <c r="BV107"/>
  <c r="BU107"/>
  <c r="BT107"/>
  <c r="BS107"/>
  <c r="BR107"/>
  <c r="BQ107"/>
  <c r="BP107"/>
  <c r="BO107"/>
  <c r="BN107"/>
  <c r="E107"/>
  <c r="B107"/>
  <c r="B107" i="2" s="1"/>
  <c r="A107" i="3"/>
  <c r="A107" i="2" s="1"/>
  <c r="DU106" i="3"/>
  <c r="DT106"/>
  <c r="DS106"/>
  <c r="DR106"/>
  <c r="DQ106"/>
  <c r="DP106"/>
  <c r="DO106"/>
  <c r="DN106"/>
  <c r="DM106"/>
  <c r="DL106"/>
  <c r="DK106"/>
  <c r="DJ106"/>
  <c r="DI106"/>
  <c r="DH106"/>
  <c r="DG106"/>
  <c r="DF106"/>
  <c r="DE106"/>
  <c r="DD106"/>
  <c r="DC106"/>
  <c r="DB106"/>
  <c r="DA106"/>
  <c r="CZ106"/>
  <c r="CY106"/>
  <c r="CX106"/>
  <c r="CW106"/>
  <c r="CV106"/>
  <c r="CU106"/>
  <c r="CT106"/>
  <c r="CS106"/>
  <c r="CR106"/>
  <c r="CQ106"/>
  <c r="CP106"/>
  <c r="CO106"/>
  <c r="CN106"/>
  <c r="CM106"/>
  <c r="CL106"/>
  <c r="CK106"/>
  <c r="CJ106"/>
  <c r="CI106"/>
  <c r="CH106"/>
  <c r="CG106"/>
  <c r="CF106"/>
  <c r="CE106"/>
  <c r="CD106"/>
  <c r="CC106"/>
  <c r="CB106"/>
  <c r="CA106"/>
  <c r="BZ106"/>
  <c r="BY106"/>
  <c r="BX106"/>
  <c r="BW106"/>
  <c r="BV106"/>
  <c r="BU106"/>
  <c r="BT106"/>
  <c r="BS106"/>
  <c r="BR106"/>
  <c r="BQ106"/>
  <c r="BP106"/>
  <c r="BO106"/>
  <c r="BN106"/>
  <c r="E106"/>
  <c r="B106"/>
  <c r="A106"/>
  <c r="A106" i="2" s="1"/>
  <c r="DU105" i="3"/>
  <c r="DT105"/>
  <c r="DS105"/>
  <c r="DR105"/>
  <c r="DQ105"/>
  <c r="DP105"/>
  <c r="DO105"/>
  <c r="DN105"/>
  <c r="DM105"/>
  <c r="DL105"/>
  <c r="DK105"/>
  <c r="DJ105"/>
  <c r="DI105"/>
  <c r="DH105"/>
  <c r="DG105"/>
  <c r="DF105"/>
  <c r="DE105"/>
  <c r="DD105"/>
  <c r="DC105"/>
  <c r="DB105"/>
  <c r="DA105"/>
  <c r="CZ105"/>
  <c r="CY105"/>
  <c r="CX105"/>
  <c r="CW105"/>
  <c r="CV105"/>
  <c r="CU105"/>
  <c r="CT105"/>
  <c r="CS105"/>
  <c r="CR105"/>
  <c r="CQ105"/>
  <c r="CP105"/>
  <c r="CO105"/>
  <c r="CN105"/>
  <c r="CM105"/>
  <c r="CL105"/>
  <c r="CK105"/>
  <c r="CJ105"/>
  <c r="CI105"/>
  <c r="CH105"/>
  <c r="CG105"/>
  <c r="CF105"/>
  <c r="CE105"/>
  <c r="CD105"/>
  <c r="CC105"/>
  <c r="CB105"/>
  <c r="CA105"/>
  <c r="BZ105"/>
  <c r="BY105"/>
  <c r="BX105"/>
  <c r="BW105"/>
  <c r="BV105"/>
  <c r="BU105"/>
  <c r="BT105"/>
  <c r="BS105"/>
  <c r="BR105"/>
  <c r="BQ105"/>
  <c r="BP105"/>
  <c r="BO105"/>
  <c r="BN105"/>
  <c r="E105"/>
  <c r="B105"/>
  <c r="A105"/>
  <c r="DU104"/>
  <c r="DT104"/>
  <c r="DS104"/>
  <c r="DR104"/>
  <c r="DQ104"/>
  <c r="DP104"/>
  <c r="DO104"/>
  <c r="DN104"/>
  <c r="DM104"/>
  <c r="DL104"/>
  <c r="DK104"/>
  <c r="DJ104"/>
  <c r="DI104"/>
  <c r="DH104"/>
  <c r="DG104"/>
  <c r="DF104"/>
  <c r="DE104"/>
  <c r="DD104"/>
  <c r="DC104"/>
  <c r="DB104"/>
  <c r="DA104"/>
  <c r="CZ104"/>
  <c r="CY104"/>
  <c r="CX104"/>
  <c r="CW104"/>
  <c r="CV104"/>
  <c r="CU104"/>
  <c r="CT104"/>
  <c r="CS104"/>
  <c r="CR104"/>
  <c r="CQ104"/>
  <c r="CP104"/>
  <c r="CO104"/>
  <c r="CN104"/>
  <c r="CM104"/>
  <c r="CL104"/>
  <c r="CK104"/>
  <c r="CJ104"/>
  <c r="CI104"/>
  <c r="CH104"/>
  <c r="CG104"/>
  <c r="CF104"/>
  <c r="CE104"/>
  <c r="CD104"/>
  <c r="CC104"/>
  <c r="CB104"/>
  <c r="CA104"/>
  <c r="BZ104"/>
  <c r="BY104"/>
  <c r="BX104"/>
  <c r="BW104"/>
  <c r="BV104"/>
  <c r="BU104"/>
  <c r="BT104"/>
  <c r="BS104"/>
  <c r="BR104"/>
  <c r="BQ104"/>
  <c r="BP104"/>
  <c r="BO104"/>
  <c r="BN104"/>
  <c r="E104"/>
  <c r="B104"/>
  <c r="A104"/>
  <c r="DU103"/>
  <c r="DT103"/>
  <c r="DS103"/>
  <c r="DR103"/>
  <c r="DQ103"/>
  <c r="DP103"/>
  <c r="DO103"/>
  <c r="DN103"/>
  <c r="DM103"/>
  <c r="DL103"/>
  <c r="DK103"/>
  <c r="DJ103"/>
  <c r="DI103"/>
  <c r="DH103"/>
  <c r="DG103"/>
  <c r="DF103"/>
  <c r="DE103"/>
  <c r="DD103"/>
  <c r="DC103"/>
  <c r="DB103"/>
  <c r="DA103"/>
  <c r="CZ103"/>
  <c r="CY103"/>
  <c r="CX103"/>
  <c r="CW103"/>
  <c r="CV103"/>
  <c r="CU103"/>
  <c r="CT103"/>
  <c r="CS103"/>
  <c r="CR103"/>
  <c r="CQ103"/>
  <c r="CP103"/>
  <c r="CO103"/>
  <c r="CN103"/>
  <c r="CM103"/>
  <c r="CL103"/>
  <c r="CK103"/>
  <c r="CJ103"/>
  <c r="CI103"/>
  <c r="CH103"/>
  <c r="CG103"/>
  <c r="CF103"/>
  <c r="CE103"/>
  <c r="CD103"/>
  <c r="CC103"/>
  <c r="CB103"/>
  <c r="CA103"/>
  <c r="BZ103"/>
  <c r="BY103"/>
  <c r="BX103"/>
  <c r="BW103"/>
  <c r="BV103"/>
  <c r="BU103"/>
  <c r="BT103"/>
  <c r="BS103"/>
  <c r="BR103"/>
  <c r="BQ103"/>
  <c r="BP103"/>
  <c r="BO103"/>
  <c r="BN103"/>
  <c r="E103"/>
  <c r="E103" i="2" s="1"/>
  <c r="B103" i="3"/>
  <c r="A103"/>
  <c r="DU102"/>
  <c r="DT102"/>
  <c r="DS102"/>
  <c r="DR102"/>
  <c r="DQ102"/>
  <c r="DP102"/>
  <c r="DO102"/>
  <c r="DN102"/>
  <c r="DM102"/>
  <c r="DL102"/>
  <c r="DK102"/>
  <c r="DJ102"/>
  <c r="DI102"/>
  <c r="DH102"/>
  <c r="DG102"/>
  <c r="DF102"/>
  <c r="DE102"/>
  <c r="DD102"/>
  <c r="DC102"/>
  <c r="DB102"/>
  <c r="DA102"/>
  <c r="CZ102"/>
  <c r="CY102"/>
  <c r="CX102"/>
  <c r="CW102"/>
  <c r="CV102"/>
  <c r="CU102"/>
  <c r="CT102"/>
  <c r="CS102"/>
  <c r="CR102"/>
  <c r="CQ102"/>
  <c r="CP102"/>
  <c r="CO102"/>
  <c r="CN102"/>
  <c r="CM102"/>
  <c r="CL102"/>
  <c r="CK102"/>
  <c r="CJ102"/>
  <c r="CI102"/>
  <c r="CH102"/>
  <c r="CG102"/>
  <c r="CF102"/>
  <c r="CE102"/>
  <c r="CD102"/>
  <c r="CC102"/>
  <c r="CB102"/>
  <c r="CA102"/>
  <c r="BZ102"/>
  <c r="BY102"/>
  <c r="BX102"/>
  <c r="BW102"/>
  <c r="BV102"/>
  <c r="BU102"/>
  <c r="BT102"/>
  <c r="BS102"/>
  <c r="BR102"/>
  <c r="BQ102"/>
  <c r="BP102"/>
  <c r="BO102"/>
  <c r="BN102"/>
  <c r="E102"/>
  <c r="B102"/>
  <c r="B102" i="2" s="1"/>
  <c r="A102" i="3"/>
  <c r="A102" i="2" s="1"/>
  <c r="DU101" i="3"/>
  <c r="DT101"/>
  <c r="DS101"/>
  <c r="DR101"/>
  <c r="DQ101"/>
  <c r="DP101"/>
  <c r="DO101"/>
  <c r="DN101"/>
  <c r="DM101"/>
  <c r="DL101"/>
  <c r="DK101"/>
  <c r="DJ101"/>
  <c r="DI101"/>
  <c r="DH101"/>
  <c r="DG101"/>
  <c r="DF101"/>
  <c r="DE101"/>
  <c r="DD101"/>
  <c r="DC101"/>
  <c r="DB101"/>
  <c r="DA101"/>
  <c r="CZ101"/>
  <c r="CY101"/>
  <c r="CX101"/>
  <c r="CW101"/>
  <c r="CV101"/>
  <c r="CU101"/>
  <c r="CT101"/>
  <c r="CS101"/>
  <c r="CR101"/>
  <c r="CQ101"/>
  <c r="CP101"/>
  <c r="CO101"/>
  <c r="CN101"/>
  <c r="CM101"/>
  <c r="CL101"/>
  <c r="CK101"/>
  <c r="CJ101"/>
  <c r="CI101"/>
  <c r="CH101"/>
  <c r="CG101"/>
  <c r="CF101"/>
  <c r="CE101"/>
  <c r="CD101"/>
  <c r="CC101"/>
  <c r="CB101"/>
  <c r="CA101"/>
  <c r="BZ101"/>
  <c r="BY101"/>
  <c r="BX101"/>
  <c r="BW101"/>
  <c r="BV101"/>
  <c r="BU101"/>
  <c r="BT101"/>
  <c r="BS101"/>
  <c r="BR101"/>
  <c r="BQ101"/>
  <c r="BP101"/>
  <c r="BO101"/>
  <c r="BN101"/>
  <c r="E101"/>
  <c r="E101" i="2" s="1"/>
  <c r="B101" i="3"/>
  <c r="A101"/>
  <c r="DU100"/>
  <c r="DT100"/>
  <c r="DS100"/>
  <c r="DR100"/>
  <c r="DQ100"/>
  <c r="DP100"/>
  <c r="DO100"/>
  <c r="DN100"/>
  <c r="DM100"/>
  <c r="DL100"/>
  <c r="DK100"/>
  <c r="DJ100"/>
  <c r="DI100"/>
  <c r="DH100"/>
  <c r="DG100"/>
  <c r="DF100"/>
  <c r="DE100"/>
  <c r="DD100"/>
  <c r="DC100"/>
  <c r="DB100"/>
  <c r="DA100"/>
  <c r="CZ100"/>
  <c r="CY100"/>
  <c r="CX100"/>
  <c r="CW100"/>
  <c r="CV100"/>
  <c r="CU100"/>
  <c r="CT100"/>
  <c r="CS100"/>
  <c r="CR100"/>
  <c r="CQ100"/>
  <c r="CP100"/>
  <c r="CO100"/>
  <c r="CN100"/>
  <c r="CM100"/>
  <c r="CL100"/>
  <c r="CK100"/>
  <c r="CJ100"/>
  <c r="CI100"/>
  <c r="CH100"/>
  <c r="CG100"/>
  <c r="CF100"/>
  <c r="CE100"/>
  <c r="CD100"/>
  <c r="CC100"/>
  <c r="CB100"/>
  <c r="CA100"/>
  <c r="BZ100"/>
  <c r="BY100"/>
  <c r="BX100"/>
  <c r="BW100"/>
  <c r="BV100"/>
  <c r="BU100"/>
  <c r="BT100"/>
  <c r="BS100"/>
  <c r="BR100"/>
  <c r="BQ100"/>
  <c r="BP100"/>
  <c r="BO100"/>
  <c r="BN100"/>
  <c r="E100"/>
  <c r="E100" i="2" s="1"/>
  <c r="B100" i="3"/>
  <c r="B100" i="2" s="1"/>
  <c r="A100" i="3"/>
  <c r="DU99"/>
  <c r="DT99"/>
  <c r="DS99"/>
  <c r="DR99"/>
  <c r="DQ99"/>
  <c r="DP99"/>
  <c r="DO99"/>
  <c r="DN99"/>
  <c r="DM99"/>
  <c r="DL99"/>
  <c r="DK99"/>
  <c r="DJ99"/>
  <c r="DI99"/>
  <c r="DH99"/>
  <c r="DG99"/>
  <c r="DF99"/>
  <c r="DE99"/>
  <c r="DD99"/>
  <c r="DC99"/>
  <c r="DB99"/>
  <c r="DA99"/>
  <c r="CZ99"/>
  <c r="CY99"/>
  <c r="CX99"/>
  <c r="CW99"/>
  <c r="CV99"/>
  <c r="CU99"/>
  <c r="CT99"/>
  <c r="CS99"/>
  <c r="CR99"/>
  <c r="CQ99"/>
  <c r="CP99"/>
  <c r="CO99"/>
  <c r="CN99"/>
  <c r="CM99"/>
  <c r="CL99"/>
  <c r="CK99"/>
  <c r="CJ99"/>
  <c r="CI99"/>
  <c r="CH99"/>
  <c r="CG99"/>
  <c r="CF99"/>
  <c r="CE99"/>
  <c r="CD99"/>
  <c r="CC99"/>
  <c r="CB99"/>
  <c r="CA99"/>
  <c r="BZ99"/>
  <c r="BY99"/>
  <c r="BX99"/>
  <c r="BW99"/>
  <c r="BV99"/>
  <c r="BU99"/>
  <c r="BT99"/>
  <c r="BS99"/>
  <c r="BR99"/>
  <c r="BQ99"/>
  <c r="BP99"/>
  <c r="BO99"/>
  <c r="BN99"/>
  <c r="E99"/>
  <c r="B99"/>
  <c r="B99" i="2" s="1"/>
  <c r="A99" i="3"/>
  <c r="A99" i="2" s="1"/>
  <c r="DU98" i="3"/>
  <c r="DT98"/>
  <c r="DS98"/>
  <c r="DR98"/>
  <c r="DQ98"/>
  <c r="DP98"/>
  <c r="DO98"/>
  <c r="DN98"/>
  <c r="DM98"/>
  <c r="DL98"/>
  <c r="DK98"/>
  <c r="DJ98"/>
  <c r="DI98"/>
  <c r="DH98"/>
  <c r="DG98"/>
  <c r="DF98"/>
  <c r="DE98"/>
  <c r="DD98"/>
  <c r="DC98"/>
  <c r="DB98"/>
  <c r="DA98"/>
  <c r="CZ98"/>
  <c r="CY98"/>
  <c r="CX98"/>
  <c r="CW98"/>
  <c r="CV98"/>
  <c r="CU98"/>
  <c r="CT98"/>
  <c r="CS98"/>
  <c r="CR98"/>
  <c r="CQ98"/>
  <c r="CP98"/>
  <c r="CO98"/>
  <c r="CN98"/>
  <c r="CM98"/>
  <c r="CL98"/>
  <c r="CK98"/>
  <c r="CJ98"/>
  <c r="CI98"/>
  <c r="CH98"/>
  <c r="CG98"/>
  <c r="CF98"/>
  <c r="CE98"/>
  <c r="CD98"/>
  <c r="CC98"/>
  <c r="CB98"/>
  <c r="CA98"/>
  <c r="BZ98"/>
  <c r="BY98"/>
  <c r="BX98"/>
  <c r="BW98"/>
  <c r="BV98"/>
  <c r="BU98"/>
  <c r="BT98"/>
  <c r="BS98"/>
  <c r="BR98"/>
  <c r="BQ98"/>
  <c r="BP98"/>
  <c r="BO98"/>
  <c r="BN98"/>
  <c r="E98"/>
  <c r="B98"/>
  <c r="A98"/>
  <c r="DU97"/>
  <c r="DT97"/>
  <c r="DS97"/>
  <c r="DR97"/>
  <c r="DQ97"/>
  <c r="DP97"/>
  <c r="DO97"/>
  <c r="DN97"/>
  <c r="DM97"/>
  <c r="DL97"/>
  <c r="DK97"/>
  <c r="DJ97"/>
  <c r="DI97"/>
  <c r="DH97"/>
  <c r="DG97"/>
  <c r="DF97"/>
  <c r="DE97"/>
  <c r="DD97"/>
  <c r="DC97"/>
  <c r="DB97"/>
  <c r="DA97"/>
  <c r="CZ97"/>
  <c r="CY97"/>
  <c r="CX97"/>
  <c r="CW97"/>
  <c r="CV97"/>
  <c r="CU97"/>
  <c r="CT97"/>
  <c r="CS97"/>
  <c r="CR97"/>
  <c r="CQ97"/>
  <c r="CP97"/>
  <c r="CO97"/>
  <c r="CN97"/>
  <c r="CM97"/>
  <c r="CL97"/>
  <c r="CK97"/>
  <c r="CJ97"/>
  <c r="CI97"/>
  <c r="CH97"/>
  <c r="CG97"/>
  <c r="CF97"/>
  <c r="CE97"/>
  <c r="CD97"/>
  <c r="CC97"/>
  <c r="CB97"/>
  <c r="CA97"/>
  <c r="BZ97"/>
  <c r="BY97"/>
  <c r="BX97"/>
  <c r="BW97"/>
  <c r="BV97"/>
  <c r="BU97"/>
  <c r="BT97"/>
  <c r="BS97"/>
  <c r="BR97"/>
  <c r="BQ97"/>
  <c r="BP97"/>
  <c r="BO97"/>
  <c r="BN97"/>
  <c r="E97"/>
  <c r="B97"/>
  <c r="A97"/>
  <c r="DU96"/>
  <c r="DT96"/>
  <c r="DS96"/>
  <c r="DR96"/>
  <c r="DQ96"/>
  <c r="DP96"/>
  <c r="DO96"/>
  <c r="DN96"/>
  <c r="DM96"/>
  <c r="DL96"/>
  <c r="DK96"/>
  <c r="DJ96"/>
  <c r="DI96"/>
  <c r="DH96"/>
  <c r="DG96"/>
  <c r="DF96"/>
  <c r="DE96"/>
  <c r="DD96"/>
  <c r="DC96"/>
  <c r="DB96"/>
  <c r="DA96"/>
  <c r="CZ96"/>
  <c r="CY96"/>
  <c r="CX96"/>
  <c r="CW96"/>
  <c r="CV96"/>
  <c r="CU96"/>
  <c r="CT96"/>
  <c r="CS96"/>
  <c r="CR96"/>
  <c r="CQ96"/>
  <c r="CP96"/>
  <c r="CO96"/>
  <c r="CN96"/>
  <c r="CM96"/>
  <c r="CL96"/>
  <c r="CK96"/>
  <c r="CJ96"/>
  <c r="CI96"/>
  <c r="CH96"/>
  <c r="CG96"/>
  <c r="CF96"/>
  <c r="CE96"/>
  <c r="CD96"/>
  <c r="CC96"/>
  <c r="CB96"/>
  <c r="CA96"/>
  <c r="BZ96"/>
  <c r="BY96"/>
  <c r="BX96"/>
  <c r="BW96"/>
  <c r="BV96"/>
  <c r="BU96"/>
  <c r="BT96"/>
  <c r="BS96"/>
  <c r="BR96"/>
  <c r="BQ96"/>
  <c r="BP96"/>
  <c r="BO96"/>
  <c r="BN96"/>
  <c r="E96"/>
  <c r="B96"/>
  <c r="A96"/>
  <c r="DU95"/>
  <c r="DT95"/>
  <c r="DS95"/>
  <c r="DR95"/>
  <c r="DQ95"/>
  <c r="DP95"/>
  <c r="DO95"/>
  <c r="DN95"/>
  <c r="DM95"/>
  <c r="DL95"/>
  <c r="DK95"/>
  <c r="DJ95"/>
  <c r="DI95"/>
  <c r="DH95"/>
  <c r="DG95"/>
  <c r="DF95"/>
  <c r="DE95"/>
  <c r="DD95"/>
  <c r="DC95"/>
  <c r="DB95"/>
  <c r="DA95"/>
  <c r="CZ95"/>
  <c r="CY95"/>
  <c r="CX95"/>
  <c r="CW95"/>
  <c r="CV95"/>
  <c r="CU95"/>
  <c r="CT95"/>
  <c r="CS95"/>
  <c r="CR95"/>
  <c r="CQ95"/>
  <c r="CP95"/>
  <c r="CO95"/>
  <c r="CN95"/>
  <c r="CM95"/>
  <c r="CL95"/>
  <c r="CK95"/>
  <c r="CJ95"/>
  <c r="CI95"/>
  <c r="CH95"/>
  <c r="CG95"/>
  <c r="CF95"/>
  <c r="CE95"/>
  <c r="CD95"/>
  <c r="CC95"/>
  <c r="CB95"/>
  <c r="CA95"/>
  <c r="BZ95"/>
  <c r="BY95"/>
  <c r="BX95"/>
  <c r="BW95"/>
  <c r="BV95"/>
  <c r="BU95"/>
  <c r="BT95"/>
  <c r="BS95"/>
  <c r="BR95"/>
  <c r="BQ95"/>
  <c r="BP95"/>
  <c r="BO95"/>
  <c r="BN95"/>
  <c r="E95"/>
  <c r="B95"/>
  <c r="A95"/>
  <c r="DU94"/>
  <c r="DT94"/>
  <c r="DS94"/>
  <c r="DR94"/>
  <c r="DQ94"/>
  <c r="DP94"/>
  <c r="DO94"/>
  <c r="DN94"/>
  <c r="DM94"/>
  <c r="DL94"/>
  <c r="DK94"/>
  <c r="DJ94"/>
  <c r="DI94"/>
  <c r="DH94"/>
  <c r="DG94"/>
  <c r="DF94"/>
  <c r="DE94"/>
  <c r="DD94"/>
  <c r="DC94"/>
  <c r="DB94"/>
  <c r="DA94"/>
  <c r="CZ94"/>
  <c r="CY94"/>
  <c r="CX94"/>
  <c r="CW94"/>
  <c r="CV94"/>
  <c r="CU94"/>
  <c r="CT94"/>
  <c r="CS94"/>
  <c r="CR94"/>
  <c r="CQ94"/>
  <c r="CP94"/>
  <c r="CO94"/>
  <c r="CN94"/>
  <c r="CM94"/>
  <c r="CL94"/>
  <c r="CK94"/>
  <c r="CJ94"/>
  <c r="CI94"/>
  <c r="CH94"/>
  <c r="CG94"/>
  <c r="CF94"/>
  <c r="CE94"/>
  <c r="CD94"/>
  <c r="CC94"/>
  <c r="CB94"/>
  <c r="CA94"/>
  <c r="BZ94"/>
  <c r="BY94"/>
  <c r="BX94"/>
  <c r="BW94"/>
  <c r="BV94"/>
  <c r="BU94"/>
  <c r="BT94"/>
  <c r="BS94"/>
  <c r="BR94"/>
  <c r="BQ94"/>
  <c r="BP94"/>
  <c r="BO94"/>
  <c r="BN94"/>
  <c r="E94"/>
  <c r="E94" i="2" s="1"/>
  <c r="B94" i="3"/>
  <c r="A94"/>
  <c r="DU93"/>
  <c r="DT93"/>
  <c r="DS93"/>
  <c r="DR93"/>
  <c r="DQ93"/>
  <c r="DP93"/>
  <c r="DO93"/>
  <c r="DN93"/>
  <c r="DM93"/>
  <c r="DL93"/>
  <c r="DK93"/>
  <c r="DJ93"/>
  <c r="DI93"/>
  <c r="DH93"/>
  <c r="DG93"/>
  <c r="DF93"/>
  <c r="DE93"/>
  <c r="DD93"/>
  <c r="DC93"/>
  <c r="DB93"/>
  <c r="DA93"/>
  <c r="CZ93"/>
  <c r="CY93"/>
  <c r="CX93"/>
  <c r="CW93"/>
  <c r="CV93"/>
  <c r="CU93"/>
  <c r="CT93"/>
  <c r="CS93"/>
  <c r="CR93"/>
  <c r="CQ93"/>
  <c r="CP93"/>
  <c r="CO93"/>
  <c r="CN93"/>
  <c r="CM93"/>
  <c r="CL93"/>
  <c r="CK93"/>
  <c r="CJ93"/>
  <c r="CI93"/>
  <c r="CH93"/>
  <c r="CG93"/>
  <c r="CF93"/>
  <c r="CE93"/>
  <c r="CD93"/>
  <c r="CC93"/>
  <c r="CB93"/>
  <c r="CA93"/>
  <c r="BZ93"/>
  <c r="BY93"/>
  <c r="BX93"/>
  <c r="BW93"/>
  <c r="BV93"/>
  <c r="BU93"/>
  <c r="BT93"/>
  <c r="BS93"/>
  <c r="BR93"/>
  <c r="BQ93"/>
  <c r="BP93"/>
  <c r="BO93"/>
  <c r="BN93"/>
  <c r="E93"/>
  <c r="B93"/>
  <c r="A93"/>
  <c r="DU92"/>
  <c r="DT92"/>
  <c r="DS92"/>
  <c r="DR92"/>
  <c r="DQ92"/>
  <c r="DP92"/>
  <c r="DO92"/>
  <c r="DN92"/>
  <c r="DM92"/>
  <c r="DL92"/>
  <c r="DK92"/>
  <c r="DJ92"/>
  <c r="DI92"/>
  <c r="DH92"/>
  <c r="DG92"/>
  <c r="DF92"/>
  <c r="DE92"/>
  <c r="DD92"/>
  <c r="DC92"/>
  <c r="DB92"/>
  <c r="DA92"/>
  <c r="CZ92"/>
  <c r="CY92"/>
  <c r="CX92"/>
  <c r="CW92"/>
  <c r="CV92"/>
  <c r="CU92"/>
  <c r="CT92"/>
  <c r="CS92"/>
  <c r="CR92"/>
  <c r="CQ92"/>
  <c r="CP92"/>
  <c r="CO92"/>
  <c r="CN92"/>
  <c r="CM92"/>
  <c r="CL92"/>
  <c r="CK92"/>
  <c r="CJ92"/>
  <c r="CI92"/>
  <c r="CH92"/>
  <c r="CG92"/>
  <c r="CF92"/>
  <c r="CE92"/>
  <c r="CD92"/>
  <c r="CC92"/>
  <c r="CB92"/>
  <c r="CA92"/>
  <c r="BZ92"/>
  <c r="BY92"/>
  <c r="BX92"/>
  <c r="BW92"/>
  <c r="BV92"/>
  <c r="BU92"/>
  <c r="BT92"/>
  <c r="BS92"/>
  <c r="BR92"/>
  <c r="BQ92"/>
  <c r="BP92"/>
  <c r="BO92"/>
  <c r="BN92"/>
  <c r="E92"/>
  <c r="B92"/>
  <c r="A92"/>
  <c r="DU91"/>
  <c r="DT91"/>
  <c r="DS91"/>
  <c r="DR91"/>
  <c r="DQ91"/>
  <c r="DP91"/>
  <c r="DO91"/>
  <c r="DN91"/>
  <c r="DM91"/>
  <c r="DL91"/>
  <c r="DK91"/>
  <c r="DJ91"/>
  <c r="DI91"/>
  <c r="DH91"/>
  <c r="DG91"/>
  <c r="DF91"/>
  <c r="DE91"/>
  <c r="DD91"/>
  <c r="DC91"/>
  <c r="DB91"/>
  <c r="DA91"/>
  <c r="CZ91"/>
  <c r="CY91"/>
  <c r="CX91"/>
  <c r="CW91"/>
  <c r="CV91"/>
  <c r="CU91"/>
  <c r="CT91"/>
  <c r="CS91"/>
  <c r="CR91"/>
  <c r="CQ91"/>
  <c r="CP91"/>
  <c r="CO91"/>
  <c r="CN91"/>
  <c r="CM91"/>
  <c r="CL91"/>
  <c r="CK91"/>
  <c r="CJ91"/>
  <c r="CI91"/>
  <c r="CH91"/>
  <c r="CG91"/>
  <c r="CF91"/>
  <c r="CE91"/>
  <c r="CD91"/>
  <c r="CC91"/>
  <c r="CB91"/>
  <c r="CA91"/>
  <c r="BZ91"/>
  <c r="BY91"/>
  <c r="BX91"/>
  <c r="BW91"/>
  <c r="BV91"/>
  <c r="BU91"/>
  <c r="BT91"/>
  <c r="BS91"/>
  <c r="BR91"/>
  <c r="BQ91"/>
  <c r="BP91"/>
  <c r="BO91"/>
  <c r="BN91"/>
  <c r="E91"/>
  <c r="B91"/>
  <c r="A91"/>
  <c r="DU90"/>
  <c r="DT90"/>
  <c r="DS90"/>
  <c r="DR90"/>
  <c r="DQ90"/>
  <c r="DP90"/>
  <c r="DO90"/>
  <c r="DN90"/>
  <c r="DM90"/>
  <c r="DL90"/>
  <c r="DK90"/>
  <c r="DJ90"/>
  <c r="DI90"/>
  <c r="DH90"/>
  <c r="DG90"/>
  <c r="DF90"/>
  <c r="DE90"/>
  <c r="DD90"/>
  <c r="DC90"/>
  <c r="DB90"/>
  <c r="DA90"/>
  <c r="CZ90"/>
  <c r="CY90"/>
  <c r="CX90"/>
  <c r="CW90"/>
  <c r="CV90"/>
  <c r="CU90"/>
  <c r="CT90"/>
  <c r="CS90"/>
  <c r="CR90"/>
  <c r="CQ90"/>
  <c r="CP90"/>
  <c r="CO90"/>
  <c r="CN90"/>
  <c r="CM90"/>
  <c r="CL90"/>
  <c r="CK90"/>
  <c r="CJ90"/>
  <c r="CI90"/>
  <c r="CH90"/>
  <c r="CG90"/>
  <c r="CF90"/>
  <c r="CE90"/>
  <c r="CD90"/>
  <c r="CC90"/>
  <c r="CB90"/>
  <c r="CA90"/>
  <c r="BZ90"/>
  <c r="BY90"/>
  <c r="BX90"/>
  <c r="BW90"/>
  <c r="BV90"/>
  <c r="BU90"/>
  <c r="BT90"/>
  <c r="BS90"/>
  <c r="BR90"/>
  <c r="BQ90"/>
  <c r="BP90"/>
  <c r="BO90"/>
  <c r="BN90"/>
  <c r="E90"/>
  <c r="B90"/>
  <c r="A90"/>
  <c r="DU89"/>
  <c r="DT89"/>
  <c r="DS89"/>
  <c r="DR89"/>
  <c r="DQ89"/>
  <c r="DP89"/>
  <c r="DO89"/>
  <c r="DN89"/>
  <c r="DM89"/>
  <c r="DL89"/>
  <c r="DK89"/>
  <c r="DJ89"/>
  <c r="DI89"/>
  <c r="DH89"/>
  <c r="DG89"/>
  <c r="DF89"/>
  <c r="DE89"/>
  <c r="DD89"/>
  <c r="DC89"/>
  <c r="DB89"/>
  <c r="DA89"/>
  <c r="CZ89"/>
  <c r="CY89"/>
  <c r="CX89"/>
  <c r="CW89"/>
  <c r="CV89"/>
  <c r="CU89"/>
  <c r="CT89"/>
  <c r="CS89"/>
  <c r="CR89"/>
  <c r="CQ89"/>
  <c r="CP89"/>
  <c r="CO89"/>
  <c r="CN89"/>
  <c r="CM89"/>
  <c r="CL89"/>
  <c r="CK89"/>
  <c r="CJ89"/>
  <c r="CI89"/>
  <c r="CH89"/>
  <c r="CG89"/>
  <c r="CF89"/>
  <c r="CE89"/>
  <c r="CD89"/>
  <c r="CC89"/>
  <c r="CB89"/>
  <c r="CA89"/>
  <c r="BZ89"/>
  <c r="BY89"/>
  <c r="BX89"/>
  <c r="BW89"/>
  <c r="BV89"/>
  <c r="BU89"/>
  <c r="BT89"/>
  <c r="BS89"/>
  <c r="BR89"/>
  <c r="BQ89"/>
  <c r="BP89"/>
  <c r="BO89"/>
  <c r="BN89"/>
  <c r="E89"/>
  <c r="B89"/>
  <c r="B89" i="2" s="1"/>
  <c r="A89" i="3"/>
  <c r="DU88"/>
  <c r="DT88"/>
  <c r="DS88"/>
  <c r="DR88"/>
  <c r="DQ88"/>
  <c r="DP88"/>
  <c r="DO88"/>
  <c r="DN88"/>
  <c r="DM88"/>
  <c r="DL88"/>
  <c r="DK88"/>
  <c r="DJ88"/>
  <c r="DI88"/>
  <c r="DH88"/>
  <c r="DG88"/>
  <c r="DF88"/>
  <c r="DE88"/>
  <c r="DD88"/>
  <c r="DC88"/>
  <c r="DB88"/>
  <c r="DA88"/>
  <c r="CZ88"/>
  <c r="CY88"/>
  <c r="CX88"/>
  <c r="CW88"/>
  <c r="CV88"/>
  <c r="CU88"/>
  <c r="CT88"/>
  <c r="CS88"/>
  <c r="CR88"/>
  <c r="CQ88"/>
  <c r="CP88"/>
  <c r="CO88"/>
  <c r="CN88"/>
  <c r="CM88"/>
  <c r="CL88"/>
  <c r="CK88"/>
  <c r="CJ88"/>
  <c r="CI88"/>
  <c r="CH88"/>
  <c r="CG88"/>
  <c r="CF88"/>
  <c r="CE88"/>
  <c r="CD88"/>
  <c r="CC88"/>
  <c r="CB88"/>
  <c r="CA88"/>
  <c r="BZ88"/>
  <c r="BY88"/>
  <c r="BX88"/>
  <c r="BW88"/>
  <c r="BV88"/>
  <c r="BU88"/>
  <c r="BT88"/>
  <c r="BS88"/>
  <c r="BR88"/>
  <c r="BQ88"/>
  <c r="BP88"/>
  <c r="BO88"/>
  <c r="BN88"/>
  <c r="E88"/>
  <c r="B88"/>
  <c r="A88"/>
  <c r="DU87"/>
  <c r="DT87"/>
  <c r="DS87"/>
  <c r="DR87"/>
  <c r="DQ87"/>
  <c r="DP87"/>
  <c r="DO87"/>
  <c r="DN87"/>
  <c r="DM87"/>
  <c r="DL87"/>
  <c r="DK87"/>
  <c r="DJ87"/>
  <c r="DI87"/>
  <c r="DH87"/>
  <c r="DG87"/>
  <c r="DF87"/>
  <c r="DE87"/>
  <c r="DD87"/>
  <c r="DC87"/>
  <c r="DB87"/>
  <c r="DA87"/>
  <c r="CZ87"/>
  <c r="CY87"/>
  <c r="CX87"/>
  <c r="CW87"/>
  <c r="CV87"/>
  <c r="CU87"/>
  <c r="CT87"/>
  <c r="CS87"/>
  <c r="CR87"/>
  <c r="CQ87"/>
  <c r="CP87"/>
  <c r="CO87"/>
  <c r="CN87"/>
  <c r="CM87"/>
  <c r="CL87"/>
  <c r="CK87"/>
  <c r="CJ87"/>
  <c r="CI87"/>
  <c r="CH87"/>
  <c r="CG87"/>
  <c r="CF87"/>
  <c r="CE87"/>
  <c r="CD87"/>
  <c r="CC87"/>
  <c r="CB87"/>
  <c r="CA87"/>
  <c r="BZ87"/>
  <c r="BY87"/>
  <c r="BX87"/>
  <c r="BW87"/>
  <c r="BV87"/>
  <c r="BU87"/>
  <c r="BT87"/>
  <c r="BS87"/>
  <c r="BR87"/>
  <c r="BQ87"/>
  <c r="BP87"/>
  <c r="BO87"/>
  <c r="BN87"/>
  <c r="E87"/>
  <c r="B87"/>
  <c r="A87"/>
  <c r="DU86"/>
  <c r="DT86"/>
  <c r="DS86"/>
  <c r="DR86"/>
  <c r="DQ86"/>
  <c r="DP86"/>
  <c r="DO86"/>
  <c r="DN86"/>
  <c r="DM86"/>
  <c r="DL86"/>
  <c r="DK86"/>
  <c r="DJ86"/>
  <c r="DI86"/>
  <c r="DH86"/>
  <c r="DG86"/>
  <c r="DF86"/>
  <c r="DE86"/>
  <c r="DD86"/>
  <c r="DC86"/>
  <c r="DB86"/>
  <c r="DA86"/>
  <c r="CZ86"/>
  <c r="CY86"/>
  <c r="CX86"/>
  <c r="CW86"/>
  <c r="CV86"/>
  <c r="CU86"/>
  <c r="CT86"/>
  <c r="CS86"/>
  <c r="CR86"/>
  <c r="CQ86"/>
  <c r="CP86"/>
  <c r="CO86"/>
  <c r="CN86"/>
  <c r="CM86"/>
  <c r="CL86"/>
  <c r="CK86"/>
  <c r="CJ86"/>
  <c r="CI86"/>
  <c r="CH86"/>
  <c r="CG86"/>
  <c r="CF86"/>
  <c r="CE86"/>
  <c r="CD86"/>
  <c r="CC86"/>
  <c r="CB86"/>
  <c r="CA86"/>
  <c r="BZ86"/>
  <c r="BY86"/>
  <c r="BX86"/>
  <c r="BW86"/>
  <c r="BV86"/>
  <c r="BU86"/>
  <c r="BT86"/>
  <c r="BS86"/>
  <c r="BR86"/>
  <c r="BQ86"/>
  <c r="BP86"/>
  <c r="BO86"/>
  <c r="BN86"/>
  <c r="E86"/>
  <c r="B86"/>
  <c r="A86"/>
  <c r="DU85"/>
  <c r="DT85"/>
  <c r="DS85"/>
  <c r="DR85"/>
  <c r="DQ85"/>
  <c r="DP85"/>
  <c r="DO85"/>
  <c r="DN85"/>
  <c r="DM85"/>
  <c r="DL85"/>
  <c r="DK85"/>
  <c r="DJ85"/>
  <c r="DI85"/>
  <c r="DH85"/>
  <c r="DG85"/>
  <c r="DF85"/>
  <c r="DE85"/>
  <c r="DD85"/>
  <c r="DC85"/>
  <c r="DB85"/>
  <c r="DA85"/>
  <c r="CZ85"/>
  <c r="CY85"/>
  <c r="CX85"/>
  <c r="CW85"/>
  <c r="CV85"/>
  <c r="CU85"/>
  <c r="CT85"/>
  <c r="CS85"/>
  <c r="CR85"/>
  <c r="CQ85"/>
  <c r="CP85"/>
  <c r="CO85"/>
  <c r="CN85"/>
  <c r="CM85"/>
  <c r="CL85"/>
  <c r="CK85"/>
  <c r="CJ85"/>
  <c r="CI85"/>
  <c r="CH85"/>
  <c r="CG85"/>
  <c r="CF85"/>
  <c r="CE85"/>
  <c r="CD85"/>
  <c r="CC85"/>
  <c r="CB85"/>
  <c r="CA85"/>
  <c r="BZ85"/>
  <c r="BY85"/>
  <c r="BX85"/>
  <c r="BW85"/>
  <c r="BV85"/>
  <c r="BU85"/>
  <c r="BT85"/>
  <c r="BS85"/>
  <c r="BR85"/>
  <c r="BQ85"/>
  <c r="BP85"/>
  <c r="BO85"/>
  <c r="BN85"/>
  <c r="E85"/>
  <c r="B85"/>
  <c r="A85"/>
  <c r="DU84"/>
  <c r="DT84"/>
  <c r="DS84"/>
  <c r="DR84"/>
  <c r="DQ84"/>
  <c r="DP84"/>
  <c r="DO84"/>
  <c r="DN84"/>
  <c r="DM84"/>
  <c r="DL84"/>
  <c r="DK84"/>
  <c r="DJ84"/>
  <c r="DI84"/>
  <c r="DH84"/>
  <c r="DG84"/>
  <c r="DF84"/>
  <c r="DE84"/>
  <c r="DD84"/>
  <c r="DC84"/>
  <c r="DB84"/>
  <c r="DA84"/>
  <c r="CZ84"/>
  <c r="CY84"/>
  <c r="CX84"/>
  <c r="CW84"/>
  <c r="CV84"/>
  <c r="CU84"/>
  <c r="CT84"/>
  <c r="CS84"/>
  <c r="CR84"/>
  <c r="CQ84"/>
  <c r="CP84"/>
  <c r="CO84"/>
  <c r="CN84"/>
  <c r="CM84"/>
  <c r="CL84"/>
  <c r="CK84"/>
  <c r="CJ84"/>
  <c r="CI84"/>
  <c r="CH84"/>
  <c r="CG84"/>
  <c r="CF84"/>
  <c r="CE84"/>
  <c r="CD84"/>
  <c r="CC84"/>
  <c r="CB84"/>
  <c r="CA84"/>
  <c r="BZ84"/>
  <c r="BY84"/>
  <c r="BX84"/>
  <c r="BW84"/>
  <c r="BV84"/>
  <c r="BU84"/>
  <c r="BT84"/>
  <c r="BS84"/>
  <c r="BR84"/>
  <c r="BQ84"/>
  <c r="BP84"/>
  <c r="BO84"/>
  <c r="BN84"/>
  <c r="E84"/>
  <c r="B84"/>
  <c r="A84"/>
  <c r="DU83"/>
  <c r="DT83"/>
  <c r="DS83"/>
  <c r="DR83"/>
  <c r="DQ83"/>
  <c r="DP83"/>
  <c r="DO83"/>
  <c r="DN83"/>
  <c r="DM83"/>
  <c r="DL83"/>
  <c r="DK83"/>
  <c r="DJ83"/>
  <c r="DI83"/>
  <c r="DH83"/>
  <c r="DG83"/>
  <c r="DF83"/>
  <c r="DE83"/>
  <c r="DD83"/>
  <c r="DC83"/>
  <c r="DB83"/>
  <c r="DA83"/>
  <c r="CZ83"/>
  <c r="CY83"/>
  <c r="CX83"/>
  <c r="CW83"/>
  <c r="CV83"/>
  <c r="CU83"/>
  <c r="CT83"/>
  <c r="CS83"/>
  <c r="CR83"/>
  <c r="CQ83"/>
  <c r="CP83"/>
  <c r="CO83"/>
  <c r="CN83"/>
  <c r="CM83"/>
  <c r="CL83"/>
  <c r="CK83"/>
  <c r="CJ83"/>
  <c r="CI83"/>
  <c r="CH83"/>
  <c r="CG83"/>
  <c r="CF83"/>
  <c r="CE83"/>
  <c r="CD83"/>
  <c r="CC83"/>
  <c r="CB83"/>
  <c r="CA83"/>
  <c r="BZ83"/>
  <c r="BY83"/>
  <c r="BX83"/>
  <c r="BW83"/>
  <c r="BV83"/>
  <c r="BU83"/>
  <c r="BT83"/>
  <c r="BS83"/>
  <c r="BR83"/>
  <c r="BQ83"/>
  <c r="BP83"/>
  <c r="BO83"/>
  <c r="BN83"/>
  <c r="E83"/>
  <c r="E83" i="2" s="1"/>
  <c r="B83" i="3"/>
  <c r="A83"/>
  <c r="DU82"/>
  <c r="DT82"/>
  <c r="DS82"/>
  <c r="DR82"/>
  <c r="DQ82"/>
  <c r="DP82"/>
  <c r="DO82"/>
  <c r="DN82"/>
  <c r="DM82"/>
  <c r="DL82"/>
  <c r="DK82"/>
  <c r="DJ82"/>
  <c r="DI82"/>
  <c r="DH82"/>
  <c r="DG82"/>
  <c r="DF82"/>
  <c r="DE82"/>
  <c r="DD82"/>
  <c r="DC82"/>
  <c r="DB82"/>
  <c r="DA82"/>
  <c r="CZ82"/>
  <c r="CY82"/>
  <c r="CX82"/>
  <c r="CW82"/>
  <c r="CV82"/>
  <c r="CU82"/>
  <c r="CT82"/>
  <c r="CS82"/>
  <c r="CR82"/>
  <c r="CQ82"/>
  <c r="CP82"/>
  <c r="CO82"/>
  <c r="CN82"/>
  <c r="CM82"/>
  <c r="CL82"/>
  <c r="CK82"/>
  <c r="CJ82"/>
  <c r="CI82"/>
  <c r="CH82"/>
  <c r="CG82"/>
  <c r="CF82"/>
  <c r="CE82"/>
  <c r="CD82"/>
  <c r="CC82"/>
  <c r="CB82"/>
  <c r="CA82"/>
  <c r="BZ82"/>
  <c r="BY82"/>
  <c r="BX82"/>
  <c r="BW82"/>
  <c r="BV82"/>
  <c r="BU82"/>
  <c r="BT82"/>
  <c r="BS82"/>
  <c r="BR82"/>
  <c r="BQ82"/>
  <c r="BP82"/>
  <c r="BO82"/>
  <c r="BN82"/>
  <c r="E82"/>
  <c r="B82"/>
  <c r="A82"/>
  <c r="DU81"/>
  <c r="DT81"/>
  <c r="DS81"/>
  <c r="DR81"/>
  <c r="DQ81"/>
  <c r="DP81"/>
  <c r="DO81"/>
  <c r="DN81"/>
  <c r="DM81"/>
  <c r="DL81"/>
  <c r="DK81"/>
  <c r="DJ81"/>
  <c r="DI81"/>
  <c r="DH81"/>
  <c r="DG81"/>
  <c r="DF81"/>
  <c r="DE81"/>
  <c r="DD81"/>
  <c r="DC81"/>
  <c r="DB81"/>
  <c r="DA81"/>
  <c r="CZ81"/>
  <c r="CY81"/>
  <c r="CX81"/>
  <c r="CW81"/>
  <c r="CV81"/>
  <c r="CU81"/>
  <c r="CT81"/>
  <c r="CS81"/>
  <c r="CR81"/>
  <c r="CQ81"/>
  <c r="CP81"/>
  <c r="CO81"/>
  <c r="CN81"/>
  <c r="CM81"/>
  <c r="CL81"/>
  <c r="CK81"/>
  <c r="CJ81"/>
  <c r="CI81"/>
  <c r="CH81"/>
  <c r="CG81"/>
  <c r="CF81"/>
  <c r="CE81"/>
  <c r="CD81"/>
  <c r="CC81"/>
  <c r="CB81"/>
  <c r="CA81"/>
  <c r="BZ81"/>
  <c r="BY81"/>
  <c r="BX81"/>
  <c r="BW81"/>
  <c r="BV81"/>
  <c r="BU81"/>
  <c r="BT81"/>
  <c r="BS81"/>
  <c r="BR81"/>
  <c r="BQ81"/>
  <c r="BP81"/>
  <c r="BO81"/>
  <c r="BN81"/>
  <c r="E81"/>
  <c r="E309" s="1"/>
  <c r="D81"/>
  <c r="D309" s="1"/>
  <c r="C81"/>
  <c r="B81"/>
  <c r="B309" s="1"/>
  <c r="A81"/>
  <c r="A309" s="1"/>
  <c r="DU80"/>
  <c r="DT80"/>
  <c r="DS80"/>
  <c r="DR80"/>
  <c r="DQ80"/>
  <c r="DP80"/>
  <c r="DO80"/>
  <c r="DN80"/>
  <c r="DM80"/>
  <c r="DL80"/>
  <c r="DK80"/>
  <c r="DJ80"/>
  <c r="DI80"/>
  <c r="DH80"/>
  <c r="DG80"/>
  <c r="DF80"/>
  <c r="DE80"/>
  <c r="DD80"/>
  <c r="DC80"/>
  <c r="DB80"/>
  <c r="DA80"/>
  <c r="CZ80"/>
  <c r="CY80"/>
  <c r="CX80"/>
  <c r="CW80"/>
  <c r="CV80"/>
  <c r="CU80"/>
  <c r="CT80"/>
  <c r="CS80"/>
  <c r="CR80"/>
  <c r="CQ80"/>
  <c r="CP80"/>
  <c r="CO80"/>
  <c r="CN80"/>
  <c r="CM80"/>
  <c r="CL80"/>
  <c r="CK80"/>
  <c r="CJ80"/>
  <c r="CI80"/>
  <c r="CH80"/>
  <c r="CG80"/>
  <c r="CF80"/>
  <c r="CE80"/>
  <c r="CD80"/>
  <c r="CC80"/>
  <c r="CB80"/>
  <c r="CA80"/>
  <c r="BZ80"/>
  <c r="BY80"/>
  <c r="BX80"/>
  <c r="BW80"/>
  <c r="BV80"/>
  <c r="BU80"/>
  <c r="BT80"/>
  <c r="BS80"/>
  <c r="BR80"/>
  <c r="BQ80"/>
  <c r="BP80"/>
  <c r="BO80"/>
  <c r="BN80"/>
  <c r="E80"/>
  <c r="E308" s="1"/>
  <c r="D80"/>
  <c r="D308" s="1"/>
  <c r="C80"/>
  <c r="C308" s="1"/>
  <c r="B80"/>
  <c r="B308" s="1"/>
  <c r="A80"/>
  <c r="A308" s="1"/>
  <c r="DU79"/>
  <c r="DT79"/>
  <c r="DS79"/>
  <c r="DR79"/>
  <c r="DQ79"/>
  <c r="DP79"/>
  <c r="DO79"/>
  <c r="DN79"/>
  <c r="DM79"/>
  <c r="DL79"/>
  <c r="DK79"/>
  <c r="DJ79"/>
  <c r="DI79"/>
  <c r="DH79"/>
  <c r="DG79"/>
  <c r="DF79"/>
  <c r="DE79"/>
  <c r="DD79"/>
  <c r="DC79"/>
  <c r="DB79"/>
  <c r="DA79"/>
  <c r="CZ79"/>
  <c r="CY79"/>
  <c r="CX79"/>
  <c r="CW79"/>
  <c r="CV79"/>
  <c r="CU79"/>
  <c r="CT79"/>
  <c r="CS79"/>
  <c r="CR79"/>
  <c r="CQ79"/>
  <c r="CP79"/>
  <c r="CO79"/>
  <c r="CN79"/>
  <c r="CM79"/>
  <c r="CL79"/>
  <c r="CK79"/>
  <c r="CJ79"/>
  <c r="CI79"/>
  <c r="CH79"/>
  <c r="CG79"/>
  <c r="CF79"/>
  <c r="CE79"/>
  <c r="CD79"/>
  <c r="CC79"/>
  <c r="CB79"/>
  <c r="CA79"/>
  <c r="BZ79"/>
  <c r="BY79"/>
  <c r="BX79"/>
  <c r="BW79"/>
  <c r="BV79"/>
  <c r="BU79"/>
  <c r="BT79"/>
  <c r="BS79"/>
  <c r="BR79"/>
  <c r="BQ79"/>
  <c r="BP79"/>
  <c r="BO79"/>
  <c r="BN79"/>
  <c r="E79"/>
  <c r="B79"/>
  <c r="A79"/>
  <c r="DU78"/>
  <c r="DT78"/>
  <c r="DS78"/>
  <c r="DR78"/>
  <c r="DQ78"/>
  <c r="DP78"/>
  <c r="DO78"/>
  <c r="DN78"/>
  <c r="DM78"/>
  <c r="DL78"/>
  <c r="DK78"/>
  <c r="DJ78"/>
  <c r="DI78"/>
  <c r="DH78"/>
  <c r="DG78"/>
  <c r="DF78"/>
  <c r="DE78"/>
  <c r="DD78"/>
  <c r="DC78"/>
  <c r="DB78"/>
  <c r="DA78"/>
  <c r="CZ78"/>
  <c r="CY78"/>
  <c r="CX78"/>
  <c r="CW78"/>
  <c r="CV78"/>
  <c r="CU78"/>
  <c r="CT78"/>
  <c r="CS78"/>
  <c r="CR78"/>
  <c r="CQ78"/>
  <c r="CP78"/>
  <c r="CO78"/>
  <c r="CN78"/>
  <c r="CM78"/>
  <c r="CL78"/>
  <c r="CK78"/>
  <c r="CJ78"/>
  <c r="CI78"/>
  <c r="CH78"/>
  <c r="CG78"/>
  <c r="CF78"/>
  <c r="CE78"/>
  <c r="CD78"/>
  <c r="CC78"/>
  <c r="CB78"/>
  <c r="CA78"/>
  <c r="BZ78"/>
  <c r="BY78"/>
  <c r="BX78"/>
  <c r="BW78"/>
  <c r="BV78"/>
  <c r="BU78"/>
  <c r="BT78"/>
  <c r="BS78"/>
  <c r="BR78"/>
  <c r="BQ78"/>
  <c r="BP78"/>
  <c r="BO78"/>
  <c r="BN78"/>
  <c r="E78"/>
  <c r="E307" s="1"/>
  <c r="D78"/>
  <c r="D307" s="1"/>
  <c r="C78"/>
  <c r="C307" s="1"/>
  <c r="B78"/>
  <c r="B307" s="1"/>
  <c r="A78"/>
  <c r="A307" s="1"/>
  <c r="DU77"/>
  <c r="DT77"/>
  <c r="DS77"/>
  <c r="DR77"/>
  <c r="DQ77"/>
  <c r="DP77"/>
  <c r="DO77"/>
  <c r="DN77"/>
  <c r="DM77"/>
  <c r="DL77"/>
  <c r="DK77"/>
  <c r="DJ77"/>
  <c r="DI77"/>
  <c r="DH77"/>
  <c r="DG77"/>
  <c r="DF77"/>
  <c r="DE77"/>
  <c r="DD77"/>
  <c r="DC77"/>
  <c r="DB77"/>
  <c r="DA77"/>
  <c r="CZ77"/>
  <c r="CY77"/>
  <c r="CX77"/>
  <c r="CW77"/>
  <c r="CV77"/>
  <c r="CU77"/>
  <c r="CT77"/>
  <c r="CS77"/>
  <c r="CR77"/>
  <c r="CQ77"/>
  <c r="CP77"/>
  <c r="CO77"/>
  <c r="CN77"/>
  <c r="CM77"/>
  <c r="CL77"/>
  <c r="CK77"/>
  <c r="CJ77"/>
  <c r="CI77"/>
  <c r="CH77"/>
  <c r="CG77"/>
  <c r="CF77"/>
  <c r="CE77"/>
  <c r="CD77"/>
  <c r="CC77"/>
  <c r="CB77"/>
  <c r="CA77"/>
  <c r="BZ77"/>
  <c r="BY77"/>
  <c r="BX77"/>
  <c r="BW77"/>
  <c r="BV77"/>
  <c r="BU77"/>
  <c r="BT77"/>
  <c r="BS77"/>
  <c r="BR77"/>
  <c r="BQ77"/>
  <c r="BP77"/>
  <c r="BO77"/>
  <c r="BN77"/>
  <c r="E77"/>
  <c r="E306" s="1"/>
  <c r="D77"/>
  <c r="D306" s="1"/>
  <c r="C77"/>
  <c r="C306" s="1"/>
  <c r="B77"/>
  <c r="B306" s="1"/>
  <c r="A77"/>
  <c r="A306" s="1"/>
  <c r="DU76"/>
  <c r="DT76"/>
  <c r="DS76"/>
  <c r="DR76"/>
  <c r="DQ76"/>
  <c r="DP76"/>
  <c r="DO76"/>
  <c r="DN76"/>
  <c r="DM76"/>
  <c r="DL76"/>
  <c r="DK76"/>
  <c r="DJ76"/>
  <c r="DI76"/>
  <c r="DH76"/>
  <c r="DG76"/>
  <c r="DF76"/>
  <c r="DE76"/>
  <c r="DD76"/>
  <c r="DC76"/>
  <c r="DB76"/>
  <c r="DA76"/>
  <c r="CZ76"/>
  <c r="CY76"/>
  <c r="CX76"/>
  <c r="CW76"/>
  <c r="CV76"/>
  <c r="CU76"/>
  <c r="CT76"/>
  <c r="CS76"/>
  <c r="CR76"/>
  <c r="CQ76"/>
  <c r="CP76"/>
  <c r="CO76"/>
  <c r="CN76"/>
  <c r="CM76"/>
  <c r="CL76"/>
  <c r="CK76"/>
  <c r="CJ76"/>
  <c r="CI76"/>
  <c r="CH76"/>
  <c r="CG76"/>
  <c r="CF76"/>
  <c r="CE76"/>
  <c r="CD76"/>
  <c r="CC76"/>
  <c r="CB76"/>
  <c r="CA76"/>
  <c r="BZ76"/>
  <c r="BY76"/>
  <c r="BX76"/>
  <c r="BW76"/>
  <c r="BV76"/>
  <c r="BU76"/>
  <c r="BT76"/>
  <c r="BS76"/>
  <c r="BR76"/>
  <c r="BQ76"/>
  <c r="BP76"/>
  <c r="BO76"/>
  <c r="BN76"/>
  <c r="E76"/>
  <c r="E305" s="1"/>
  <c r="D76"/>
  <c r="D305" s="1"/>
  <c r="C76"/>
  <c r="C305" s="1"/>
  <c r="B76"/>
  <c r="B305" s="1"/>
  <c r="A76"/>
  <c r="A305" s="1"/>
  <c r="DU75"/>
  <c r="DT75"/>
  <c r="DS75"/>
  <c r="DR75"/>
  <c r="DQ75"/>
  <c r="DP75"/>
  <c r="DO75"/>
  <c r="DN75"/>
  <c r="DM75"/>
  <c r="DL75"/>
  <c r="DK75"/>
  <c r="DJ75"/>
  <c r="DI75"/>
  <c r="DH75"/>
  <c r="DG75"/>
  <c r="DF75"/>
  <c r="DE75"/>
  <c r="DD75"/>
  <c r="DC75"/>
  <c r="DB75"/>
  <c r="DA75"/>
  <c r="CZ75"/>
  <c r="CY75"/>
  <c r="CX75"/>
  <c r="CW75"/>
  <c r="CV75"/>
  <c r="CU75"/>
  <c r="CT75"/>
  <c r="CS75"/>
  <c r="CR75"/>
  <c r="CQ75"/>
  <c r="CP75"/>
  <c r="CO75"/>
  <c r="CN75"/>
  <c r="CM75"/>
  <c r="CL75"/>
  <c r="CK75"/>
  <c r="CJ75"/>
  <c r="CI75"/>
  <c r="CH75"/>
  <c r="CG75"/>
  <c r="CF75"/>
  <c r="CE75"/>
  <c r="CD75"/>
  <c r="CC75"/>
  <c r="CB75"/>
  <c r="CA75"/>
  <c r="BZ75"/>
  <c r="BY75"/>
  <c r="BX75"/>
  <c r="BW75"/>
  <c r="BV75"/>
  <c r="BU75"/>
  <c r="BT75"/>
  <c r="BS75"/>
  <c r="BR75"/>
  <c r="BQ75"/>
  <c r="BP75"/>
  <c r="BO75"/>
  <c r="BN75"/>
  <c r="E75"/>
  <c r="E304" s="1"/>
  <c r="D75"/>
  <c r="D304" s="1"/>
  <c r="C75"/>
  <c r="C304" s="1"/>
  <c r="B75"/>
  <c r="B304" s="1"/>
  <c r="A75"/>
  <c r="A304" s="1"/>
  <c r="DU74"/>
  <c r="DT74"/>
  <c r="DS74"/>
  <c r="DR74"/>
  <c r="DQ74"/>
  <c r="DP74"/>
  <c r="DO74"/>
  <c r="DN74"/>
  <c r="DM74"/>
  <c r="DL74"/>
  <c r="DK74"/>
  <c r="DJ74"/>
  <c r="DI74"/>
  <c r="DH74"/>
  <c r="DG74"/>
  <c r="DF74"/>
  <c r="DE74"/>
  <c r="DD74"/>
  <c r="DC74"/>
  <c r="DB74"/>
  <c r="DA74"/>
  <c r="CZ74"/>
  <c r="CY74"/>
  <c r="CX74"/>
  <c r="CW74"/>
  <c r="CV74"/>
  <c r="CU74"/>
  <c r="CT74"/>
  <c r="CS74"/>
  <c r="CR74"/>
  <c r="CQ74"/>
  <c r="CP74"/>
  <c r="CO74"/>
  <c r="CN74"/>
  <c r="CM74"/>
  <c r="CL74"/>
  <c r="CK74"/>
  <c r="CJ74"/>
  <c r="CI74"/>
  <c r="CH74"/>
  <c r="CG74"/>
  <c r="CF74"/>
  <c r="CE74"/>
  <c r="CD74"/>
  <c r="CC74"/>
  <c r="CB74"/>
  <c r="CA74"/>
  <c r="BZ74"/>
  <c r="BY74"/>
  <c r="BX74"/>
  <c r="BW74"/>
  <c r="BV74"/>
  <c r="BU74"/>
  <c r="BT74"/>
  <c r="BS74"/>
  <c r="BR74"/>
  <c r="BQ74"/>
  <c r="BP74"/>
  <c r="BO74"/>
  <c r="BN74"/>
  <c r="E74"/>
  <c r="E303" s="1"/>
  <c r="D74"/>
  <c r="D303" s="1"/>
  <c r="C74"/>
  <c r="C303" s="1"/>
  <c r="B74"/>
  <c r="B303" s="1"/>
  <c r="A74"/>
  <c r="A303" s="1"/>
  <c r="DU73"/>
  <c r="DT73"/>
  <c r="DS73"/>
  <c r="DR73"/>
  <c r="DQ73"/>
  <c r="DP73"/>
  <c r="DO73"/>
  <c r="DN73"/>
  <c r="DM73"/>
  <c r="DL73"/>
  <c r="DK73"/>
  <c r="DJ73"/>
  <c r="DI73"/>
  <c r="DH73"/>
  <c r="DG73"/>
  <c r="DF73"/>
  <c r="DE73"/>
  <c r="DD73"/>
  <c r="DC73"/>
  <c r="DB73"/>
  <c r="DA73"/>
  <c r="CZ73"/>
  <c r="CY73"/>
  <c r="CX73"/>
  <c r="CW73"/>
  <c r="CV73"/>
  <c r="CU73"/>
  <c r="CT73"/>
  <c r="CS73"/>
  <c r="CR73"/>
  <c r="CQ73"/>
  <c r="CP73"/>
  <c r="CO73"/>
  <c r="CN73"/>
  <c r="CM73"/>
  <c r="CL73"/>
  <c r="CK73"/>
  <c r="CJ73"/>
  <c r="CI73"/>
  <c r="CH73"/>
  <c r="CG73"/>
  <c r="CF73"/>
  <c r="CE73"/>
  <c r="CD73"/>
  <c r="CC73"/>
  <c r="CB73"/>
  <c r="CA73"/>
  <c r="BZ73"/>
  <c r="BY73"/>
  <c r="BX73"/>
  <c r="BW73"/>
  <c r="BV73"/>
  <c r="BU73"/>
  <c r="BT73"/>
  <c r="BS73"/>
  <c r="BR73"/>
  <c r="BQ73"/>
  <c r="BP73"/>
  <c r="BO73"/>
  <c r="BN73"/>
  <c r="E73"/>
  <c r="E302" s="1"/>
  <c r="D73"/>
  <c r="D302" s="1"/>
  <c r="C73"/>
  <c r="B73"/>
  <c r="B302" s="1"/>
  <c r="A73"/>
  <c r="A302" s="1"/>
  <c r="DU72"/>
  <c r="DT72"/>
  <c r="DS72"/>
  <c r="DR72"/>
  <c r="DQ72"/>
  <c r="DP72"/>
  <c r="DO72"/>
  <c r="DN72"/>
  <c r="DM72"/>
  <c r="DL72"/>
  <c r="DK72"/>
  <c r="DJ72"/>
  <c r="DI72"/>
  <c r="DH72"/>
  <c r="DG72"/>
  <c r="DF72"/>
  <c r="DE72"/>
  <c r="DD72"/>
  <c r="DC72"/>
  <c r="DB72"/>
  <c r="DA72"/>
  <c r="CZ72"/>
  <c r="CY72"/>
  <c r="CX72"/>
  <c r="CW72"/>
  <c r="CV72"/>
  <c r="CU72"/>
  <c r="CT72"/>
  <c r="CS72"/>
  <c r="CR72"/>
  <c r="CQ72"/>
  <c r="CP72"/>
  <c r="CO72"/>
  <c r="CN72"/>
  <c r="CM72"/>
  <c r="CL72"/>
  <c r="CK72"/>
  <c r="CJ72"/>
  <c r="CI72"/>
  <c r="CH72"/>
  <c r="CG72"/>
  <c r="CF72"/>
  <c r="CE72"/>
  <c r="CD72"/>
  <c r="CC72"/>
  <c r="CB72"/>
  <c r="CA72"/>
  <c r="BZ72"/>
  <c r="BY72"/>
  <c r="BX72"/>
  <c r="BW72"/>
  <c r="BV72"/>
  <c r="BU72"/>
  <c r="BT72"/>
  <c r="BS72"/>
  <c r="BR72"/>
  <c r="BQ72"/>
  <c r="BP72"/>
  <c r="BO72"/>
  <c r="BN72"/>
  <c r="E72"/>
  <c r="E301" s="1"/>
  <c r="D72"/>
  <c r="D301" s="1"/>
  <c r="C72"/>
  <c r="B72"/>
  <c r="B301" s="1"/>
  <c r="A72"/>
  <c r="A301" s="1"/>
  <c r="DU71"/>
  <c r="DT71"/>
  <c r="DS71"/>
  <c r="DR71"/>
  <c r="DQ71"/>
  <c r="DP71"/>
  <c r="DO71"/>
  <c r="DN71"/>
  <c r="DM71"/>
  <c r="DL71"/>
  <c r="DK71"/>
  <c r="DJ71"/>
  <c r="DI71"/>
  <c r="DH71"/>
  <c r="DG71"/>
  <c r="DF71"/>
  <c r="DE71"/>
  <c r="DD71"/>
  <c r="DC71"/>
  <c r="DB71"/>
  <c r="DA71"/>
  <c r="CZ71"/>
  <c r="CY71"/>
  <c r="CX71"/>
  <c r="CW71"/>
  <c r="CV71"/>
  <c r="CU71"/>
  <c r="CT71"/>
  <c r="CS71"/>
  <c r="CR71"/>
  <c r="CQ71"/>
  <c r="CP71"/>
  <c r="CO71"/>
  <c r="CN71"/>
  <c r="CM71"/>
  <c r="CL71"/>
  <c r="CK71"/>
  <c r="CJ71"/>
  <c r="CI71"/>
  <c r="CH71"/>
  <c r="CG71"/>
  <c r="CF71"/>
  <c r="CE71"/>
  <c r="CD71"/>
  <c r="CC71"/>
  <c r="CB71"/>
  <c r="CA71"/>
  <c r="BZ71"/>
  <c r="BY71"/>
  <c r="BX71"/>
  <c r="BW71"/>
  <c r="BV71"/>
  <c r="BU71"/>
  <c r="BT71"/>
  <c r="BS71"/>
  <c r="BR71"/>
  <c r="BQ71"/>
  <c r="BP71"/>
  <c r="BO71"/>
  <c r="BN71"/>
  <c r="E71"/>
  <c r="E300" s="1"/>
  <c r="D71"/>
  <c r="D300" s="1"/>
  <c r="C71"/>
  <c r="C300" s="1"/>
  <c r="B71"/>
  <c r="B300" s="1"/>
  <c r="A71"/>
  <c r="A300" s="1"/>
  <c r="DU70"/>
  <c r="DT70"/>
  <c r="DS70"/>
  <c r="DR70"/>
  <c r="DQ70"/>
  <c r="DP70"/>
  <c r="DO70"/>
  <c r="DN70"/>
  <c r="DM70"/>
  <c r="DL70"/>
  <c r="DK70"/>
  <c r="DJ70"/>
  <c r="DI70"/>
  <c r="DH70"/>
  <c r="DG70"/>
  <c r="DF70"/>
  <c r="DE70"/>
  <c r="DD70"/>
  <c r="DC70"/>
  <c r="DB70"/>
  <c r="DA70"/>
  <c r="CZ70"/>
  <c r="CY70"/>
  <c r="CX70"/>
  <c r="CW70"/>
  <c r="CV70"/>
  <c r="CU70"/>
  <c r="CT70"/>
  <c r="CS70"/>
  <c r="CR70"/>
  <c r="CQ70"/>
  <c r="CP70"/>
  <c r="CO70"/>
  <c r="CN70"/>
  <c r="CM70"/>
  <c r="CL70"/>
  <c r="CK70"/>
  <c r="CJ70"/>
  <c r="CI70"/>
  <c r="CH70"/>
  <c r="CG70"/>
  <c r="CF70"/>
  <c r="CE70"/>
  <c r="CD70"/>
  <c r="CC70"/>
  <c r="CB70"/>
  <c r="CA70"/>
  <c r="BZ70"/>
  <c r="BY70"/>
  <c r="BX70"/>
  <c r="BW70"/>
  <c r="BV70"/>
  <c r="BU70"/>
  <c r="BT70"/>
  <c r="BS70"/>
  <c r="BR70"/>
  <c r="BQ70"/>
  <c r="BP70"/>
  <c r="BO70"/>
  <c r="BN70"/>
  <c r="E70"/>
  <c r="E299" s="1"/>
  <c r="D70"/>
  <c r="D299" s="1"/>
  <c r="C70"/>
  <c r="C299" s="1"/>
  <c r="B70"/>
  <c r="B299" s="1"/>
  <c r="A70"/>
  <c r="A299" s="1"/>
  <c r="DU69"/>
  <c r="DT69"/>
  <c r="DS69"/>
  <c r="DR69"/>
  <c r="DQ69"/>
  <c r="DP69"/>
  <c r="DO69"/>
  <c r="DN69"/>
  <c r="DM69"/>
  <c r="DL69"/>
  <c r="DK69"/>
  <c r="DJ69"/>
  <c r="DI69"/>
  <c r="DH69"/>
  <c r="DG69"/>
  <c r="DF69"/>
  <c r="DE69"/>
  <c r="DD69"/>
  <c r="DC69"/>
  <c r="DB69"/>
  <c r="DA69"/>
  <c r="CZ69"/>
  <c r="CY69"/>
  <c r="CX69"/>
  <c r="CW69"/>
  <c r="CV69"/>
  <c r="CU69"/>
  <c r="CT69"/>
  <c r="CS69"/>
  <c r="CR69"/>
  <c r="CQ69"/>
  <c r="CP69"/>
  <c r="CO69"/>
  <c r="CN69"/>
  <c r="CM69"/>
  <c r="CL69"/>
  <c r="CK69"/>
  <c r="CJ69"/>
  <c r="CI69"/>
  <c r="CH69"/>
  <c r="CG69"/>
  <c r="CF69"/>
  <c r="CE69"/>
  <c r="CD69"/>
  <c r="CC69"/>
  <c r="CB69"/>
  <c r="CA69"/>
  <c r="BZ69"/>
  <c r="BY69"/>
  <c r="BX69"/>
  <c r="BW69"/>
  <c r="BV69"/>
  <c r="BU69"/>
  <c r="BT69"/>
  <c r="BS69"/>
  <c r="BR69"/>
  <c r="BQ69"/>
  <c r="BP69"/>
  <c r="BO69"/>
  <c r="BN69"/>
  <c r="E69"/>
  <c r="E298" s="1"/>
  <c r="D69"/>
  <c r="D298" s="1"/>
  <c r="C69"/>
  <c r="B69"/>
  <c r="B298" s="1"/>
  <c r="A69"/>
  <c r="A298" s="1"/>
  <c r="DU68"/>
  <c r="DT68"/>
  <c r="DS68"/>
  <c r="DR68"/>
  <c r="DQ68"/>
  <c r="DP68"/>
  <c r="DO68"/>
  <c r="DN68"/>
  <c r="DM68"/>
  <c r="DL68"/>
  <c r="DK68"/>
  <c r="DJ68"/>
  <c r="DI68"/>
  <c r="DH68"/>
  <c r="DG68"/>
  <c r="DF68"/>
  <c r="DE68"/>
  <c r="DD68"/>
  <c r="DC68"/>
  <c r="DB68"/>
  <c r="DA68"/>
  <c r="CZ68"/>
  <c r="CY68"/>
  <c r="CX68"/>
  <c r="CW68"/>
  <c r="CV68"/>
  <c r="CU68"/>
  <c r="CT68"/>
  <c r="CS68"/>
  <c r="CR68"/>
  <c r="CQ68"/>
  <c r="CP68"/>
  <c r="CO68"/>
  <c r="CN68"/>
  <c r="CM68"/>
  <c r="CL68"/>
  <c r="CK68"/>
  <c r="CJ68"/>
  <c r="CI68"/>
  <c r="CH68"/>
  <c r="CG68"/>
  <c r="CF68"/>
  <c r="CE68"/>
  <c r="CD68"/>
  <c r="CC68"/>
  <c r="CB68"/>
  <c r="CA68"/>
  <c r="BZ68"/>
  <c r="BY68"/>
  <c r="BX68"/>
  <c r="BW68"/>
  <c r="BV68"/>
  <c r="BU68"/>
  <c r="BT68"/>
  <c r="BS68"/>
  <c r="BR68"/>
  <c r="BQ68"/>
  <c r="BP68"/>
  <c r="BO68"/>
  <c r="BN68"/>
  <c r="E68"/>
  <c r="E297" s="1"/>
  <c r="D68"/>
  <c r="D297" s="1"/>
  <c r="C68"/>
  <c r="C297" s="1"/>
  <c r="B68"/>
  <c r="B297" s="1"/>
  <c r="A68"/>
  <c r="A297" s="1"/>
  <c r="DU67"/>
  <c r="DT67"/>
  <c r="DS67"/>
  <c r="DR67"/>
  <c r="DQ67"/>
  <c r="DP67"/>
  <c r="DO67"/>
  <c r="DN67"/>
  <c r="DM67"/>
  <c r="DL67"/>
  <c r="DK67"/>
  <c r="DJ67"/>
  <c r="DI67"/>
  <c r="DH67"/>
  <c r="DG67"/>
  <c r="DF67"/>
  <c r="DE67"/>
  <c r="DD67"/>
  <c r="DC67"/>
  <c r="DB67"/>
  <c r="DA67"/>
  <c r="CZ67"/>
  <c r="CY67"/>
  <c r="CX67"/>
  <c r="CW67"/>
  <c r="CV67"/>
  <c r="CU67"/>
  <c r="CT67"/>
  <c r="CS67"/>
  <c r="CR67"/>
  <c r="CQ67"/>
  <c r="CP67"/>
  <c r="CO67"/>
  <c r="CN67"/>
  <c r="CM67"/>
  <c r="CL67"/>
  <c r="CK67"/>
  <c r="CJ67"/>
  <c r="CI67"/>
  <c r="CH67"/>
  <c r="CG67"/>
  <c r="CF67"/>
  <c r="CE67"/>
  <c r="CD67"/>
  <c r="CC67"/>
  <c r="CB67"/>
  <c r="CA67"/>
  <c r="BZ67"/>
  <c r="BY67"/>
  <c r="BX67"/>
  <c r="BW67"/>
  <c r="BV67"/>
  <c r="BU67"/>
  <c r="BT67"/>
  <c r="BS67"/>
  <c r="BR67"/>
  <c r="BQ67"/>
  <c r="BP67"/>
  <c r="BO67"/>
  <c r="BN67"/>
  <c r="E67"/>
  <c r="E296" s="1"/>
  <c r="D67"/>
  <c r="D296" s="1"/>
  <c r="C67"/>
  <c r="C296" s="1"/>
  <c r="B67"/>
  <c r="B296" s="1"/>
  <c r="A67"/>
  <c r="A296" s="1"/>
  <c r="DU66"/>
  <c r="DT66"/>
  <c r="DS66"/>
  <c r="DR66"/>
  <c r="DQ66"/>
  <c r="DP66"/>
  <c r="DO66"/>
  <c r="DN66"/>
  <c r="DM66"/>
  <c r="DL66"/>
  <c r="DK66"/>
  <c r="DJ66"/>
  <c r="DI66"/>
  <c r="DH66"/>
  <c r="DG66"/>
  <c r="DF66"/>
  <c r="DE66"/>
  <c r="DD66"/>
  <c r="DC66"/>
  <c r="DB66"/>
  <c r="DA66"/>
  <c r="CZ66"/>
  <c r="CY66"/>
  <c r="CX66"/>
  <c r="CW66"/>
  <c r="CV66"/>
  <c r="CU66"/>
  <c r="CT66"/>
  <c r="CS66"/>
  <c r="CR66"/>
  <c r="CQ66"/>
  <c r="CP66"/>
  <c r="CO66"/>
  <c r="CN66"/>
  <c r="CM66"/>
  <c r="CL66"/>
  <c r="CK66"/>
  <c r="CJ66"/>
  <c r="CI66"/>
  <c r="CH66"/>
  <c r="CG66"/>
  <c r="CF66"/>
  <c r="CE66"/>
  <c r="CD66"/>
  <c r="CC66"/>
  <c r="CB66"/>
  <c r="CA66"/>
  <c r="BZ66"/>
  <c r="BY66"/>
  <c r="BX66"/>
  <c r="BW66"/>
  <c r="BV66"/>
  <c r="BU66"/>
  <c r="BT66"/>
  <c r="BS66"/>
  <c r="BR66"/>
  <c r="BQ66"/>
  <c r="BP66"/>
  <c r="BO66"/>
  <c r="BN66"/>
  <c r="E66"/>
  <c r="E295" s="1"/>
  <c r="D66"/>
  <c r="D295" s="1"/>
  <c r="C66"/>
  <c r="C295" s="1"/>
  <c r="B66"/>
  <c r="B295" s="1"/>
  <c r="A66"/>
  <c r="A295" s="1"/>
  <c r="DU65"/>
  <c r="DT65"/>
  <c r="DS65"/>
  <c r="DR65"/>
  <c r="DQ65"/>
  <c r="DP65"/>
  <c r="DO65"/>
  <c r="DN65"/>
  <c r="DM65"/>
  <c r="DL65"/>
  <c r="DK65"/>
  <c r="DJ65"/>
  <c r="DI65"/>
  <c r="DH65"/>
  <c r="DG65"/>
  <c r="DF65"/>
  <c r="DE65"/>
  <c r="DD65"/>
  <c r="DC65"/>
  <c r="DB65"/>
  <c r="DA65"/>
  <c r="CZ65"/>
  <c r="CY65"/>
  <c r="CX65"/>
  <c r="CW65"/>
  <c r="CV65"/>
  <c r="CU65"/>
  <c r="CT65"/>
  <c r="CS65"/>
  <c r="CR65"/>
  <c r="CQ65"/>
  <c r="CP65"/>
  <c r="CO65"/>
  <c r="CN65"/>
  <c r="CM65"/>
  <c r="CL65"/>
  <c r="CK65"/>
  <c r="CJ65"/>
  <c r="CI65"/>
  <c r="CH65"/>
  <c r="CG65"/>
  <c r="CF65"/>
  <c r="CE65"/>
  <c r="CD65"/>
  <c r="CC65"/>
  <c r="CB65"/>
  <c r="CA65"/>
  <c r="BZ65"/>
  <c r="BY65"/>
  <c r="BX65"/>
  <c r="BW65"/>
  <c r="BV65"/>
  <c r="BU65"/>
  <c r="BT65"/>
  <c r="BS65"/>
  <c r="BR65"/>
  <c r="BQ65"/>
  <c r="BP65"/>
  <c r="BO65"/>
  <c r="BN65"/>
  <c r="E65"/>
  <c r="E294" s="1"/>
  <c r="D65"/>
  <c r="D294" s="1"/>
  <c r="C65"/>
  <c r="C294" s="1"/>
  <c r="B65"/>
  <c r="B294" s="1"/>
  <c r="A65"/>
  <c r="A294" s="1"/>
  <c r="DU64"/>
  <c r="DT64"/>
  <c r="DS64"/>
  <c r="DR64"/>
  <c r="DQ64"/>
  <c r="DP64"/>
  <c r="DO64"/>
  <c r="DN64"/>
  <c r="DM64"/>
  <c r="DL64"/>
  <c r="DK64"/>
  <c r="DJ64"/>
  <c r="DI64"/>
  <c r="DH64"/>
  <c r="DG64"/>
  <c r="DF64"/>
  <c r="DE64"/>
  <c r="DD64"/>
  <c r="DC64"/>
  <c r="DB64"/>
  <c r="DA64"/>
  <c r="CZ64"/>
  <c r="CY64"/>
  <c r="CX64"/>
  <c r="CW64"/>
  <c r="CV64"/>
  <c r="CU64"/>
  <c r="CT64"/>
  <c r="CS64"/>
  <c r="CR64"/>
  <c r="CQ64"/>
  <c r="CP64"/>
  <c r="CO64"/>
  <c r="CN64"/>
  <c r="CM64"/>
  <c r="CL64"/>
  <c r="CK64"/>
  <c r="CJ64"/>
  <c r="CI64"/>
  <c r="CH64"/>
  <c r="CG64"/>
  <c r="CF64"/>
  <c r="CE64"/>
  <c r="CD64"/>
  <c r="CC64"/>
  <c r="CB64"/>
  <c r="CA64"/>
  <c r="BZ64"/>
  <c r="BY64"/>
  <c r="BX64"/>
  <c r="BW64"/>
  <c r="BV64"/>
  <c r="BU64"/>
  <c r="BT64"/>
  <c r="BS64"/>
  <c r="BR64"/>
  <c r="BQ64"/>
  <c r="BP64"/>
  <c r="BO64"/>
  <c r="BN64"/>
  <c r="E64"/>
  <c r="E293" s="1"/>
  <c r="D64"/>
  <c r="D293" s="1"/>
  <c r="C64"/>
  <c r="C293" s="1"/>
  <c r="B64"/>
  <c r="B293" s="1"/>
  <c r="A64"/>
  <c r="A293" s="1"/>
  <c r="DU63"/>
  <c r="DT63"/>
  <c r="DS63"/>
  <c r="DR63"/>
  <c r="DQ63"/>
  <c r="DP63"/>
  <c r="DO63"/>
  <c r="DN63"/>
  <c r="DM63"/>
  <c r="DL63"/>
  <c r="DK63"/>
  <c r="DJ63"/>
  <c r="DI63"/>
  <c r="DH63"/>
  <c r="DG63"/>
  <c r="DF63"/>
  <c r="DE63"/>
  <c r="DD63"/>
  <c r="DC63"/>
  <c r="DB63"/>
  <c r="DA63"/>
  <c r="CZ63"/>
  <c r="CY63"/>
  <c r="CX63"/>
  <c r="CW63"/>
  <c r="CV63"/>
  <c r="CU63"/>
  <c r="CT63"/>
  <c r="CS63"/>
  <c r="CR63"/>
  <c r="CQ63"/>
  <c r="CP63"/>
  <c r="CO63"/>
  <c r="CN63"/>
  <c r="CM63"/>
  <c r="CL63"/>
  <c r="CK63"/>
  <c r="CJ63"/>
  <c r="CI63"/>
  <c r="CH63"/>
  <c r="CG63"/>
  <c r="CF63"/>
  <c r="CE63"/>
  <c r="CD63"/>
  <c r="CC63"/>
  <c r="CB63"/>
  <c r="CA63"/>
  <c r="BZ63"/>
  <c r="BY63"/>
  <c r="BX63"/>
  <c r="BW63"/>
  <c r="BV63"/>
  <c r="BU63"/>
  <c r="BT63"/>
  <c r="BS63"/>
  <c r="BR63"/>
  <c r="BQ63"/>
  <c r="BP63"/>
  <c r="BO63"/>
  <c r="BN63"/>
  <c r="E63"/>
  <c r="E292" s="1"/>
  <c r="D63"/>
  <c r="D292" s="1"/>
  <c r="C63"/>
  <c r="C292" s="1"/>
  <c r="B63"/>
  <c r="B292" s="1"/>
  <c r="A63"/>
  <c r="A292" s="1"/>
  <c r="DU62"/>
  <c r="DT62"/>
  <c r="DS62"/>
  <c r="DR62"/>
  <c r="DQ62"/>
  <c r="DP62"/>
  <c r="DO62"/>
  <c r="DN62"/>
  <c r="DM62"/>
  <c r="DL62"/>
  <c r="DK62"/>
  <c r="DJ62"/>
  <c r="DI62"/>
  <c r="DH62"/>
  <c r="DG62"/>
  <c r="DF62"/>
  <c r="DE62"/>
  <c r="DD62"/>
  <c r="DC62"/>
  <c r="DB62"/>
  <c r="DA62"/>
  <c r="CZ62"/>
  <c r="CY62"/>
  <c r="CX62"/>
  <c r="CW62"/>
  <c r="CV62"/>
  <c r="CU62"/>
  <c r="CT62"/>
  <c r="CS62"/>
  <c r="CR62"/>
  <c r="CQ62"/>
  <c r="CP62"/>
  <c r="CO62"/>
  <c r="CN62"/>
  <c r="CM62"/>
  <c r="CL62"/>
  <c r="CK62"/>
  <c r="CJ62"/>
  <c r="CI62"/>
  <c r="CH62"/>
  <c r="CG62"/>
  <c r="CF62"/>
  <c r="CE62"/>
  <c r="CD62"/>
  <c r="CC62"/>
  <c r="CB62"/>
  <c r="CA62"/>
  <c r="BZ62"/>
  <c r="BY62"/>
  <c r="BX62"/>
  <c r="BW62"/>
  <c r="BV62"/>
  <c r="BU62"/>
  <c r="BT62"/>
  <c r="BS62"/>
  <c r="BR62"/>
  <c r="BQ62"/>
  <c r="BP62"/>
  <c r="BO62"/>
  <c r="BN62"/>
  <c r="E62"/>
  <c r="E291" s="1"/>
  <c r="D62"/>
  <c r="D291" s="1"/>
  <c r="C62"/>
  <c r="C291" s="1"/>
  <c r="B62"/>
  <c r="B291" s="1"/>
  <c r="A62"/>
  <c r="DU61"/>
  <c r="DT61"/>
  <c r="DS61"/>
  <c r="DR61"/>
  <c r="DQ61"/>
  <c r="DP61"/>
  <c r="DO61"/>
  <c r="DN61"/>
  <c r="DM61"/>
  <c r="DL61"/>
  <c r="DK61"/>
  <c r="DJ61"/>
  <c r="DI61"/>
  <c r="DH61"/>
  <c r="DG61"/>
  <c r="DF61"/>
  <c r="DE61"/>
  <c r="DD61"/>
  <c r="DC61"/>
  <c r="DB61"/>
  <c r="DA61"/>
  <c r="CZ61"/>
  <c r="CY61"/>
  <c r="CX61"/>
  <c r="CW61"/>
  <c r="CV61"/>
  <c r="CU61"/>
  <c r="CT61"/>
  <c r="CS61"/>
  <c r="CR61"/>
  <c r="CQ61"/>
  <c r="CP61"/>
  <c r="CO61"/>
  <c r="CN61"/>
  <c r="CM61"/>
  <c r="CL61"/>
  <c r="CK61"/>
  <c r="CJ61"/>
  <c r="CI61"/>
  <c r="CH61"/>
  <c r="CG61"/>
  <c r="CF61"/>
  <c r="CE61"/>
  <c r="CD61"/>
  <c r="CC61"/>
  <c r="CB61"/>
  <c r="CA61"/>
  <c r="BZ61"/>
  <c r="BY61"/>
  <c r="BX61"/>
  <c r="BW61"/>
  <c r="BV61"/>
  <c r="BU61"/>
  <c r="BT61"/>
  <c r="BS61"/>
  <c r="BR61"/>
  <c r="BQ61"/>
  <c r="BP61"/>
  <c r="BO61"/>
  <c r="BN61"/>
  <c r="E61"/>
  <c r="E290" s="1"/>
  <c r="D61"/>
  <c r="D290" s="1"/>
  <c r="C61"/>
  <c r="C290" s="1"/>
  <c r="B61"/>
  <c r="B290" s="1"/>
  <c r="A61"/>
  <c r="A290" s="1"/>
  <c r="DU60"/>
  <c r="DT60"/>
  <c r="DS60"/>
  <c r="DR60"/>
  <c r="DQ60"/>
  <c r="DP60"/>
  <c r="DO60"/>
  <c r="DN60"/>
  <c r="DM60"/>
  <c r="DL60"/>
  <c r="DK60"/>
  <c r="DJ60"/>
  <c r="DI60"/>
  <c r="DH60"/>
  <c r="DG60"/>
  <c r="DF60"/>
  <c r="DE60"/>
  <c r="DD60"/>
  <c r="DC60"/>
  <c r="DB60"/>
  <c r="DA60"/>
  <c r="CZ60"/>
  <c r="CY60"/>
  <c r="CX60"/>
  <c r="CW60"/>
  <c r="CV60"/>
  <c r="CU60"/>
  <c r="CT60"/>
  <c r="CS60"/>
  <c r="CR60"/>
  <c r="CQ60"/>
  <c r="CP60"/>
  <c r="CO60"/>
  <c r="CN60"/>
  <c r="CM60"/>
  <c r="CL60"/>
  <c r="CK60"/>
  <c r="CJ60"/>
  <c r="CI60"/>
  <c r="CH60"/>
  <c r="CG60"/>
  <c r="CF60"/>
  <c r="CE60"/>
  <c r="CD60"/>
  <c r="CC60"/>
  <c r="CB60"/>
  <c r="CA60"/>
  <c r="BZ60"/>
  <c r="BY60"/>
  <c r="BX60"/>
  <c r="BW60"/>
  <c r="BV60"/>
  <c r="BU60"/>
  <c r="BT60"/>
  <c r="BS60"/>
  <c r="BR60"/>
  <c r="BQ60"/>
  <c r="BP60"/>
  <c r="BO60"/>
  <c r="BN60"/>
  <c r="E60"/>
  <c r="B60"/>
  <c r="A60"/>
  <c r="DU59"/>
  <c r="DT59"/>
  <c r="DS59"/>
  <c r="DR59"/>
  <c r="DQ59"/>
  <c r="DP59"/>
  <c r="DO59"/>
  <c r="DN59"/>
  <c r="DM59"/>
  <c r="DL59"/>
  <c r="DK59"/>
  <c r="DJ59"/>
  <c r="DI59"/>
  <c r="DH59"/>
  <c r="DG59"/>
  <c r="DF59"/>
  <c r="DE59"/>
  <c r="DD59"/>
  <c r="DC59"/>
  <c r="DB59"/>
  <c r="DA59"/>
  <c r="CZ59"/>
  <c r="CY59"/>
  <c r="CX59"/>
  <c r="CW59"/>
  <c r="CV59"/>
  <c r="CU59"/>
  <c r="CT59"/>
  <c r="CS59"/>
  <c r="CR59"/>
  <c r="CQ59"/>
  <c r="CP59"/>
  <c r="CO59"/>
  <c r="CN59"/>
  <c r="CM59"/>
  <c r="CL59"/>
  <c r="CK59"/>
  <c r="CJ59"/>
  <c r="CI59"/>
  <c r="CH59"/>
  <c r="CG59"/>
  <c r="CF59"/>
  <c r="CE59"/>
  <c r="CD59"/>
  <c r="CC59"/>
  <c r="CB59"/>
  <c r="CA59"/>
  <c r="BZ59"/>
  <c r="BY59"/>
  <c r="BX59"/>
  <c r="BW59"/>
  <c r="BV59"/>
  <c r="BU59"/>
  <c r="BT59"/>
  <c r="BS59"/>
  <c r="BR59"/>
  <c r="BQ59"/>
  <c r="BP59"/>
  <c r="BO59"/>
  <c r="BN59"/>
  <c r="E59"/>
  <c r="E289" s="1"/>
  <c r="D59"/>
  <c r="D289" s="1"/>
  <c r="C59"/>
  <c r="C289" s="1"/>
  <c r="B59"/>
  <c r="B289" s="1"/>
  <c r="A59"/>
  <c r="A289" s="1"/>
  <c r="DU58"/>
  <c r="DT58"/>
  <c r="DS58"/>
  <c r="DR58"/>
  <c r="DQ58"/>
  <c r="DP58"/>
  <c r="DO58"/>
  <c r="DN58"/>
  <c r="DM58"/>
  <c r="DL58"/>
  <c r="DK58"/>
  <c r="DJ58"/>
  <c r="DI58"/>
  <c r="DH58"/>
  <c r="DG58"/>
  <c r="DF58"/>
  <c r="DE58"/>
  <c r="DD58"/>
  <c r="DC58"/>
  <c r="DB58"/>
  <c r="DA58"/>
  <c r="CZ58"/>
  <c r="CY58"/>
  <c r="CX58"/>
  <c r="CW58"/>
  <c r="CV58"/>
  <c r="CU58"/>
  <c r="CT58"/>
  <c r="CS58"/>
  <c r="CR58"/>
  <c r="CQ58"/>
  <c r="CP58"/>
  <c r="CO58"/>
  <c r="CN58"/>
  <c r="CM58"/>
  <c r="CL58"/>
  <c r="CK58"/>
  <c r="CJ58"/>
  <c r="CI58"/>
  <c r="CH58"/>
  <c r="CG58"/>
  <c r="CF58"/>
  <c r="CE58"/>
  <c r="CD58"/>
  <c r="CC58"/>
  <c r="CB58"/>
  <c r="CA58"/>
  <c r="BZ58"/>
  <c r="BY58"/>
  <c r="BX58"/>
  <c r="BW58"/>
  <c r="BV58"/>
  <c r="BU58"/>
  <c r="BT58"/>
  <c r="BS58"/>
  <c r="BR58"/>
  <c r="BQ58"/>
  <c r="BP58"/>
  <c r="BO58"/>
  <c r="BN58"/>
  <c r="E58"/>
  <c r="E288" s="1"/>
  <c r="D58"/>
  <c r="D288" s="1"/>
  <c r="C58"/>
  <c r="C288" s="1"/>
  <c r="B58"/>
  <c r="B288" s="1"/>
  <c r="A58"/>
  <c r="DU57"/>
  <c r="DT57"/>
  <c r="DS57"/>
  <c r="DR57"/>
  <c r="DQ57"/>
  <c r="DP57"/>
  <c r="DO57"/>
  <c r="DN57"/>
  <c r="DM57"/>
  <c r="DL57"/>
  <c r="DK57"/>
  <c r="DJ57"/>
  <c r="DI57"/>
  <c r="DH57"/>
  <c r="DG57"/>
  <c r="DF57"/>
  <c r="DE57"/>
  <c r="DD57"/>
  <c r="DC57"/>
  <c r="DB57"/>
  <c r="DA57"/>
  <c r="CZ57"/>
  <c r="CY57"/>
  <c r="CX57"/>
  <c r="CW57"/>
  <c r="CV57"/>
  <c r="CU57"/>
  <c r="CT57"/>
  <c r="CS57"/>
  <c r="CR57"/>
  <c r="CQ57"/>
  <c r="CP57"/>
  <c r="CO57"/>
  <c r="CN57"/>
  <c r="CM57"/>
  <c r="CL57"/>
  <c r="CK57"/>
  <c r="CJ57"/>
  <c r="CI57"/>
  <c r="CH57"/>
  <c r="CG57"/>
  <c r="CF57"/>
  <c r="CE57"/>
  <c r="CD57"/>
  <c r="CC57"/>
  <c r="CB57"/>
  <c r="CA57"/>
  <c r="BZ57"/>
  <c r="BY57"/>
  <c r="BX57"/>
  <c r="BW57"/>
  <c r="BV57"/>
  <c r="BU57"/>
  <c r="BT57"/>
  <c r="BS57"/>
  <c r="BR57"/>
  <c r="BQ57"/>
  <c r="BP57"/>
  <c r="BO57"/>
  <c r="BN57"/>
  <c r="E57"/>
  <c r="B57"/>
  <c r="A57"/>
  <c r="DU56"/>
  <c r="DT56"/>
  <c r="DS56"/>
  <c r="DR56"/>
  <c r="DQ56"/>
  <c r="DP56"/>
  <c r="DO56"/>
  <c r="DN56"/>
  <c r="DM56"/>
  <c r="DL56"/>
  <c r="DK56"/>
  <c r="DJ56"/>
  <c r="DI56"/>
  <c r="DH56"/>
  <c r="DG56"/>
  <c r="DF56"/>
  <c r="DE56"/>
  <c r="DD56"/>
  <c r="DC56"/>
  <c r="DB56"/>
  <c r="DA56"/>
  <c r="CZ56"/>
  <c r="CY56"/>
  <c r="CX56"/>
  <c r="CW56"/>
  <c r="CV56"/>
  <c r="CU56"/>
  <c r="CT56"/>
  <c r="CS56"/>
  <c r="CR56"/>
  <c r="CQ56"/>
  <c r="CP56"/>
  <c r="CO56"/>
  <c r="CN56"/>
  <c r="CM56"/>
  <c r="CL56"/>
  <c r="CK56"/>
  <c r="CJ56"/>
  <c r="CI56"/>
  <c r="CH56"/>
  <c r="CG56"/>
  <c r="CF56"/>
  <c r="CE56"/>
  <c r="CD56"/>
  <c r="CC56"/>
  <c r="CB56"/>
  <c r="CA56"/>
  <c r="BZ56"/>
  <c r="BY56"/>
  <c r="BX56"/>
  <c r="BW56"/>
  <c r="BV56"/>
  <c r="BU56"/>
  <c r="BT56"/>
  <c r="BS56"/>
  <c r="BR56"/>
  <c r="BQ56"/>
  <c r="BP56"/>
  <c r="BO56"/>
  <c r="BN56"/>
  <c r="E56"/>
  <c r="E287" s="1"/>
  <c r="D56"/>
  <c r="D287" s="1"/>
  <c r="C56"/>
  <c r="C287" s="1"/>
  <c r="B56"/>
  <c r="B287" s="1"/>
  <c r="A56"/>
  <c r="A287" s="1"/>
  <c r="DU55"/>
  <c r="DT55"/>
  <c r="DS55"/>
  <c r="DR55"/>
  <c r="DQ55"/>
  <c r="DP55"/>
  <c r="DO55"/>
  <c r="DN55"/>
  <c r="DM55"/>
  <c r="DL55"/>
  <c r="DK55"/>
  <c r="DJ55"/>
  <c r="DI55"/>
  <c r="DH55"/>
  <c r="DG55"/>
  <c r="DF55"/>
  <c r="DE55"/>
  <c r="DD55"/>
  <c r="DC55"/>
  <c r="DB55"/>
  <c r="DA55"/>
  <c r="CZ55"/>
  <c r="CY55"/>
  <c r="CX55"/>
  <c r="CW55"/>
  <c r="CV55"/>
  <c r="CU55"/>
  <c r="CT55"/>
  <c r="CS55"/>
  <c r="CR55"/>
  <c r="CQ55"/>
  <c r="CP55"/>
  <c r="CO55"/>
  <c r="CN55"/>
  <c r="CM55"/>
  <c r="CL55"/>
  <c r="CK55"/>
  <c r="CJ55"/>
  <c r="CI55"/>
  <c r="CH55"/>
  <c r="CG55"/>
  <c r="CF55"/>
  <c r="CE55"/>
  <c r="CD55"/>
  <c r="CC55"/>
  <c r="CB55"/>
  <c r="CA55"/>
  <c r="BZ55"/>
  <c r="BY55"/>
  <c r="BX55"/>
  <c r="BW55"/>
  <c r="BV55"/>
  <c r="BU55"/>
  <c r="BT55"/>
  <c r="BS55"/>
  <c r="BR55"/>
  <c r="BQ55"/>
  <c r="BP55"/>
  <c r="BO55"/>
  <c r="BN55"/>
  <c r="E55"/>
  <c r="E286" s="1"/>
  <c r="D55"/>
  <c r="D286" s="1"/>
  <c r="C55"/>
  <c r="C286" s="1"/>
  <c r="B55"/>
  <c r="B286" s="1"/>
  <c r="A55"/>
  <c r="A286" s="1"/>
  <c r="DU54"/>
  <c r="DT54"/>
  <c r="DS54"/>
  <c r="DR54"/>
  <c r="DQ54"/>
  <c r="DP54"/>
  <c r="DO54"/>
  <c r="DN54"/>
  <c r="DM54"/>
  <c r="DL54"/>
  <c r="DK54"/>
  <c r="DJ54"/>
  <c r="DI54"/>
  <c r="DH54"/>
  <c r="DG54"/>
  <c r="DF54"/>
  <c r="DE54"/>
  <c r="DD54"/>
  <c r="DC54"/>
  <c r="DB54"/>
  <c r="DA54"/>
  <c r="CZ54"/>
  <c r="CY54"/>
  <c r="CX54"/>
  <c r="CW54"/>
  <c r="CV54"/>
  <c r="CU54"/>
  <c r="CT54"/>
  <c r="CS54"/>
  <c r="CR54"/>
  <c r="CQ54"/>
  <c r="CP54"/>
  <c r="CO54"/>
  <c r="CN54"/>
  <c r="CM54"/>
  <c r="CL54"/>
  <c r="CK54"/>
  <c r="CJ54"/>
  <c r="CI54"/>
  <c r="CH54"/>
  <c r="CG54"/>
  <c r="CF54"/>
  <c r="CE54"/>
  <c r="CD54"/>
  <c r="CC54"/>
  <c r="CB54"/>
  <c r="CA54"/>
  <c r="BZ54"/>
  <c r="BY54"/>
  <c r="BX54"/>
  <c r="BW54"/>
  <c r="BV54"/>
  <c r="BU54"/>
  <c r="BT54"/>
  <c r="BS54"/>
  <c r="BR54"/>
  <c r="BQ54"/>
  <c r="BP54"/>
  <c r="BO54"/>
  <c r="BN54"/>
  <c r="E54"/>
  <c r="E285" s="1"/>
  <c r="D54"/>
  <c r="D285" s="1"/>
  <c r="C54"/>
  <c r="C285" s="1"/>
  <c r="B54"/>
  <c r="A54"/>
  <c r="A285" s="1"/>
  <c r="DU53"/>
  <c r="DT53"/>
  <c r="DS53"/>
  <c r="DR53"/>
  <c r="DQ53"/>
  <c r="DP53"/>
  <c r="DO53"/>
  <c r="DN53"/>
  <c r="DM53"/>
  <c r="DL53"/>
  <c r="DK53"/>
  <c r="DJ53"/>
  <c r="DI53"/>
  <c r="DH53"/>
  <c r="DG53"/>
  <c r="DF53"/>
  <c r="DE53"/>
  <c r="DD53"/>
  <c r="DC53"/>
  <c r="DB53"/>
  <c r="DA53"/>
  <c r="CZ53"/>
  <c r="CY53"/>
  <c r="CX53"/>
  <c r="CW53"/>
  <c r="CV53"/>
  <c r="CU53"/>
  <c r="CT53"/>
  <c r="CS53"/>
  <c r="CR53"/>
  <c r="CQ53"/>
  <c r="CP53"/>
  <c r="CO53"/>
  <c r="CN53"/>
  <c r="CM53"/>
  <c r="CL53"/>
  <c r="CK53"/>
  <c r="CJ53"/>
  <c r="CI53"/>
  <c r="CH53"/>
  <c r="CG53"/>
  <c r="CF53"/>
  <c r="CE53"/>
  <c r="CD53"/>
  <c r="CC53"/>
  <c r="CB53"/>
  <c r="CA53"/>
  <c r="BZ53"/>
  <c r="BY53"/>
  <c r="BX53"/>
  <c r="BW53"/>
  <c r="BV53"/>
  <c r="BU53"/>
  <c r="BT53"/>
  <c r="BS53"/>
  <c r="BR53"/>
  <c r="BQ53"/>
  <c r="BP53"/>
  <c r="BO53"/>
  <c r="BN53"/>
  <c r="E53"/>
  <c r="E284" s="1"/>
  <c r="D53"/>
  <c r="D284" s="1"/>
  <c r="C53"/>
  <c r="C284" s="1"/>
  <c r="B53"/>
  <c r="B284" s="1"/>
  <c r="A53"/>
  <c r="A284" s="1"/>
  <c r="DU52"/>
  <c r="DT52"/>
  <c r="DS52"/>
  <c r="DR52"/>
  <c r="DQ52"/>
  <c r="DP52"/>
  <c r="DO52"/>
  <c r="DN52"/>
  <c r="DM52"/>
  <c r="DL52"/>
  <c r="DK52"/>
  <c r="DJ52"/>
  <c r="DI52"/>
  <c r="DH52"/>
  <c r="DG52"/>
  <c r="DF52"/>
  <c r="DE52"/>
  <c r="DD52"/>
  <c r="DC52"/>
  <c r="DB52"/>
  <c r="DA52"/>
  <c r="CZ52"/>
  <c r="CY52"/>
  <c r="CX52"/>
  <c r="CW52"/>
  <c r="CV52"/>
  <c r="CU52"/>
  <c r="CT52"/>
  <c r="CS52"/>
  <c r="CR52"/>
  <c r="CQ52"/>
  <c r="CP52"/>
  <c r="CO52"/>
  <c r="CN52"/>
  <c r="CM52"/>
  <c r="CL52"/>
  <c r="CK52"/>
  <c r="CJ52"/>
  <c r="CI52"/>
  <c r="CH52"/>
  <c r="CG52"/>
  <c r="CF52"/>
  <c r="CE52"/>
  <c r="CD52"/>
  <c r="CC52"/>
  <c r="CB52"/>
  <c r="CA52"/>
  <c r="BZ52"/>
  <c r="BY52"/>
  <c r="BX52"/>
  <c r="BW52"/>
  <c r="BV52"/>
  <c r="BU52"/>
  <c r="BT52"/>
  <c r="BS52"/>
  <c r="BR52"/>
  <c r="BQ52"/>
  <c r="BP52"/>
  <c r="BO52"/>
  <c r="BN52"/>
  <c r="E52"/>
  <c r="E283" s="1"/>
  <c r="D52"/>
  <c r="D283" s="1"/>
  <c r="C52"/>
  <c r="C283" s="1"/>
  <c r="B52"/>
  <c r="B283" s="1"/>
  <c r="A52"/>
  <c r="A283" s="1"/>
  <c r="DU51"/>
  <c r="DT51"/>
  <c r="DS51"/>
  <c r="DR51"/>
  <c r="DQ51"/>
  <c r="DP51"/>
  <c r="DO51"/>
  <c r="DN51"/>
  <c r="DM51"/>
  <c r="DL51"/>
  <c r="DK51"/>
  <c r="DJ51"/>
  <c r="DI51"/>
  <c r="DH51"/>
  <c r="DG51"/>
  <c r="DF51"/>
  <c r="DE51"/>
  <c r="DD51"/>
  <c r="DC51"/>
  <c r="DB51"/>
  <c r="DA51"/>
  <c r="CZ51"/>
  <c r="CY51"/>
  <c r="CX51"/>
  <c r="CW51"/>
  <c r="CV51"/>
  <c r="CU51"/>
  <c r="CT51"/>
  <c r="CS51"/>
  <c r="CR51"/>
  <c r="CQ51"/>
  <c r="CP51"/>
  <c r="CO51"/>
  <c r="CN51"/>
  <c r="CM51"/>
  <c r="CL51"/>
  <c r="CK51"/>
  <c r="CJ51"/>
  <c r="CI51"/>
  <c r="CH51"/>
  <c r="CG51"/>
  <c r="CF51"/>
  <c r="CE51"/>
  <c r="CD51"/>
  <c r="CC51"/>
  <c r="CB51"/>
  <c r="CA51"/>
  <c r="BZ51"/>
  <c r="BY51"/>
  <c r="BX51"/>
  <c r="BW51"/>
  <c r="BV51"/>
  <c r="BU51"/>
  <c r="BT51"/>
  <c r="BS51"/>
  <c r="BR51"/>
  <c r="BQ51"/>
  <c r="BP51"/>
  <c r="BO51"/>
  <c r="BN51"/>
  <c r="E51"/>
  <c r="E282" s="1"/>
  <c r="D51"/>
  <c r="D282" s="1"/>
  <c r="C51"/>
  <c r="C282" s="1"/>
  <c r="B51"/>
  <c r="B282" s="1"/>
  <c r="A51"/>
  <c r="A282" s="1"/>
  <c r="DU50"/>
  <c r="DT50"/>
  <c r="DS50"/>
  <c r="DR50"/>
  <c r="DQ50"/>
  <c r="DP50"/>
  <c r="DO50"/>
  <c r="DN50"/>
  <c r="DM50"/>
  <c r="DL50"/>
  <c r="DK50"/>
  <c r="DJ50"/>
  <c r="DI50"/>
  <c r="DH50"/>
  <c r="DG50"/>
  <c r="DF50"/>
  <c r="DE50"/>
  <c r="DD50"/>
  <c r="DC50"/>
  <c r="DB50"/>
  <c r="DA50"/>
  <c r="CZ50"/>
  <c r="CY50"/>
  <c r="CX50"/>
  <c r="CW50"/>
  <c r="CV50"/>
  <c r="CU50"/>
  <c r="CT50"/>
  <c r="CS50"/>
  <c r="CR50"/>
  <c r="CQ50"/>
  <c r="CP50"/>
  <c r="CO50"/>
  <c r="CN50"/>
  <c r="CM50"/>
  <c r="CL50"/>
  <c r="CK50"/>
  <c r="CJ50"/>
  <c r="CI50"/>
  <c r="CH50"/>
  <c r="CG50"/>
  <c r="CF50"/>
  <c r="CE50"/>
  <c r="CD50"/>
  <c r="CC50"/>
  <c r="CB50"/>
  <c r="CA50"/>
  <c r="BZ50"/>
  <c r="BY50"/>
  <c r="BX50"/>
  <c r="BW50"/>
  <c r="BV50"/>
  <c r="BU50"/>
  <c r="BT50"/>
  <c r="BS50"/>
  <c r="BR50"/>
  <c r="BQ50"/>
  <c r="BP50"/>
  <c r="BO50"/>
  <c r="BN50"/>
  <c r="E50"/>
  <c r="D50"/>
  <c r="D281" s="1"/>
  <c r="C50"/>
  <c r="C281" s="1"/>
  <c r="B50"/>
  <c r="B281" s="1"/>
  <c r="A50"/>
  <c r="A281" s="1"/>
  <c r="DU49"/>
  <c r="DT49"/>
  <c r="DS49"/>
  <c r="DR49"/>
  <c r="DQ49"/>
  <c r="DP49"/>
  <c r="DO49"/>
  <c r="DN49"/>
  <c r="DM49"/>
  <c r="DL49"/>
  <c r="DK49"/>
  <c r="DJ49"/>
  <c r="DI49"/>
  <c r="DH49"/>
  <c r="DG49"/>
  <c r="DF49"/>
  <c r="DE49"/>
  <c r="DD49"/>
  <c r="DC49"/>
  <c r="DB49"/>
  <c r="DA49"/>
  <c r="CZ49"/>
  <c r="CY49"/>
  <c r="CX49"/>
  <c r="CW49"/>
  <c r="CV49"/>
  <c r="CU49"/>
  <c r="CT49"/>
  <c r="CS49"/>
  <c r="CR49"/>
  <c r="CQ49"/>
  <c r="CP49"/>
  <c r="CO49"/>
  <c r="CN49"/>
  <c r="CM49"/>
  <c r="CL49"/>
  <c r="CK49"/>
  <c r="CJ49"/>
  <c r="CI49"/>
  <c r="CH49"/>
  <c r="CG49"/>
  <c r="CF49"/>
  <c r="CE49"/>
  <c r="CD49"/>
  <c r="CC49"/>
  <c r="CB49"/>
  <c r="CA49"/>
  <c r="BZ49"/>
  <c r="BY49"/>
  <c r="BX49"/>
  <c r="BW49"/>
  <c r="BV49"/>
  <c r="BU49"/>
  <c r="BT49"/>
  <c r="BS49"/>
  <c r="BR49"/>
  <c r="BQ49"/>
  <c r="BP49"/>
  <c r="BO49"/>
  <c r="BN49"/>
  <c r="E49"/>
  <c r="E280" s="1"/>
  <c r="D49"/>
  <c r="D280" s="1"/>
  <c r="C49"/>
  <c r="C280" s="1"/>
  <c r="B49"/>
  <c r="B280" s="1"/>
  <c r="A49"/>
  <c r="A280" s="1"/>
  <c r="DU48"/>
  <c r="DT48"/>
  <c r="DS48"/>
  <c r="DR48"/>
  <c r="DQ48"/>
  <c r="DP48"/>
  <c r="DO48"/>
  <c r="DN48"/>
  <c r="DM48"/>
  <c r="DL48"/>
  <c r="DK48"/>
  <c r="DJ48"/>
  <c r="DI48"/>
  <c r="DH48"/>
  <c r="DG48"/>
  <c r="DF48"/>
  <c r="DE48"/>
  <c r="DD48"/>
  <c r="DC48"/>
  <c r="DB48"/>
  <c r="DA48"/>
  <c r="CZ48"/>
  <c r="CY48"/>
  <c r="CX48"/>
  <c r="CW48"/>
  <c r="CV48"/>
  <c r="CU48"/>
  <c r="CT48"/>
  <c r="CS48"/>
  <c r="CR48"/>
  <c r="CQ48"/>
  <c r="CP48"/>
  <c r="CO48"/>
  <c r="CN48"/>
  <c r="CM48"/>
  <c r="CL48"/>
  <c r="CK48"/>
  <c r="CJ48"/>
  <c r="CI48"/>
  <c r="CH48"/>
  <c r="CG48"/>
  <c r="CF48"/>
  <c r="CE48"/>
  <c r="CD48"/>
  <c r="CC48"/>
  <c r="CB48"/>
  <c r="CA48"/>
  <c r="BZ48"/>
  <c r="BY48"/>
  <c r="BX48"/>
  <c r="BW48"/>
  <c r="BV48"/>
  <c r="BU48"/>
  <c r="BT48"/>
  <c r="BS48"/>
  <c r="BR48"/>
  <c r="BQ48"/>
  <c r="BP48"/>
  <c r="BO48"/>
  <c r="BN48"/>
  <c r="E48"/>
  <c r="E279" s="1"/>
  <c r="D48"/>
  <c r="D279" s="1"/>
  <c r="C48"/>
  <c r="C279" s="1"/>
  <c r="B48"/>
  <c r="B279" s="1"/>
  <c r="A48"/>
  <c r="A279" s="1"/>
  <c r="DU47"/>
  <c r="DT47"/>
  <c r="DS47"/>
  <c r="DR47"/>
  <c r="DQ47"/>
  <c r="DP47"/>
  <c r="DO47"/>
  <c r="DN47"/>
  <c r="DM47"/>
  <c r="DL47"/>
  <c r="DK47"/>
  <c r="DJ47"/>
  <c r="DI47"/>
  <c r="DH47"/>
  <c r="DG47"/>
  <c r="DF47"/>
  <c r="DE47"/>
  <c r="DD47"/>
  <c r="DC47"/>
  <c r="DB47"/>
  <c r="DA47"/>
  <c r="CZ47"/>
  <c r="CY47"/>
  <c r="CX47"/>
  <c r="CW47"/>
  <c r="CV47"/>
  <c r="CU47"/>
  <c r="CT47"/>
  <c r="CS47"/>
  <c r="CR47"/>
  <c r="CQ47"/>
  <c r="CP47"/>
  <c r="CO47"/>
  <c r="CN47"/>
  <c r="CM47"/>
  <c r="CL47"/>
  <c r="CK47"/>
  <c r="CJ47"/>
  <c r="CI47"/>
  <c r="CH47"/>
  <c r="CG47"/>
  <c r="CF47"/>
  <c r="CE47"/>
  <c r="CD47"/>
  <c r="CC47"/>
  <c r="CB47"/>
  <c r="CA47"/>
  <c r="BZ47"/>
  <c r="BY47"/>
  <c r="BX47"/>
  <c r="BW47"/>
  <c r="BV47"/>
  <c r="BU47"/>
  <c r="BT47"/>
  <c r="BS47"/>
  <c r="BR47"/>
  <c r="BQ47"/>
  <c r="BP47"/>
  <c r="BO47"/>
  <c r="BN47"/>
  <c r="E47"/>
  <c r="E278" s="1"/>
  <c r="D47"/>
  <c r="D278" s="1"/>
  <c r="C47"/>
  <c r="C278" s="1"/>
  <c r="B47"/>
  <c r="B278" s="1"/>
  <c r="A47"/>
  <c r="A278" s="1"/>
  <c r="DU46"/>
  <c r="DT46"/>
  <c r="DS46"/>
  <c r="DR46"/>
  <c r="DQ46"/>
  <c r="DP46"/>
  <c r="DO46"/>
  <c r="DN46"/>
  <c r="DM46"/>
  <c r="DL46"/>
  <c r="DK46"/>
  <c r="DJ46"/>
  <c r="DI46"/>
  <c r="DH46"/>
  <c r="DG46"/>
  <c r="DF46"/>
  <c r="DE46"/>
  <c r="DD46"/>
  <c r="DC46"/>
  <c r="DB46"/>
  <c r="DA46"/>
  <c r="CZ46"/>
  <c r="CY46"/>
  <c r="CX46"/>
  <c r="CW46"/>
  <c r="CV46"/>
  <c r="CU46"/>
  <c r="CT46"/>
  <c r="CS46"/>
  <c r="CR46"/>
  <c r="CQ46"/>
  <c r="CP46"/>
  <c r="CO46"/>
  <c r="CN46"/>
  <c r="CM46"/>
  <c r="CL46"/>
  <c r="CK46"/>
  <c r="CJ46"/>
  <c r="CI46"/>
  <c r="CH46"/>
  <c r="CG46"/>
  <c r="CF46"/>
  <c r="CE46"/>
  <c r="CD46"/>
  <c r="CC46"/>
  <c r="CB46"/>
  <c r="CA46"/>
  <c r="BZ46"/>
  <c r="BY46"/>
  <c r="BX46"/>
  <c r="BW46"/>
  <c r="BV46"/>
  <c r="BU46"/>
  <c r="BT46"/>
  <c r="BS46"/>
  <c r="BR46"/>
  <c r="BQ46"/>
  <c r="BP46"/>
  <c r="BO46"/>
  <c r="BN46"/>
  <c r="E46"/>
  <c r="E277" s="1"/>
  <c r="D46"/>
  <c r="D277" s="1"/>
  <c r="C46"/>
  <c r="C277" s="1"/>
  <c r="B46"/>
  <c r="B277" s="1"/>
  <c r="A46"/>
  <c r="A277" s="1"/>
  <c r="DU45"/>
  <c r="DT45"/>
  <c r="DS45"/>
  <c r="DR45"/>
  <c r="DQ45"/>
  <c r="DP45"/>
  <c r="DO45"/>
  <c r="DN45"/>
  <c r="DM45"/>
  <c r="DL45"/>
  <c r="DK45"/>
  <c r="DJ45"/>
  <c r="DI45"/>
  <c r="DH45"/>
  <c r="DG45"/>
  <c r="DF45"/>
  <c r="DE45"/>
  <c r="DD45"/>
  <c r="DC45"/>
  <c r="DB45"/>
  <c r="DA45"/>
  <c r="CZ45"/>
  <c r="CY45"/>
  <c r="CX45"/>
  <c r="CW45"/>
  <c r="CV45"/>
  <c r="CU45"/>
  <c r="CT45"/>
  <c r="CS45"/>
  <c r="CR45"/>
  <c r="CQ45"/>
  <c r="CP45"/>
  <c r="CO45"/>
  <c r="CN45"/>
  <c r="CM45"/>
  <c r="CL45"/>
  <c r="CK45"/>
  <c r="CJ45"/>
  <c r="CI45"/>
  <c r="CH45"/>
  <c r="CG45"/>
  <c r="CF45"/>
  <c r="CE45"/>
  <c r="CD45"/>
  <c r="CC45"/>
  <c r="CB45"/>
  <c r="CA45"/>
  <c r="BZ45"/>
  <c r="BY45"/>
  <c r="BX45"/>
  <c r="BW45"/>
  <c r="BV45"/>
  <c r="BU45"/>
  <c r="BT45"/>
  <c r="BS45"/>
  <c r="BR45"/>
  <c r="BQ45"/>
  <c r="BP45"/>
  <c r="BO45"/>
  <c r="BN45"/>
  <c r="E45"/>
  <c r="E276" s="1"/>
  <c r="D45"/>
  <c r="D276" s="1"/>
  <c r="C45"/>
  <c r="C276" s="1"/>
  <c r="B45"/>
  <c r="B276" s="1"/>
  <c r="A45"/>
  <c r="A276" s="1"/>
  <c r="DU44"/>
  <c r="DT44"/>
  <c r="DS44"/>
  <c r="DR44"/>
  <c r="DQ44"/>
  <c r="DP44"/>
  <c r="DO44"/>
  <c r="DN44"/>
  <c r="DM44"/>
  <c r="DL44"/>
  <c r="DK44"/>
  <c r="DJ44"/>
  <c r="DI44"/>
  <c r="DH44"/>
  <c r="DG44"/>
  <c r="DF44"/>
  <c r="DE44"/>
  <c r="DD44"/>
  <c r="DC44"/>
  <c r="DB44"/>
  <c r="DA44"/>
  <c r="CZ44"/>
  <c r="CY44"/>
  <c r="CX44"/>
  <c r="CW44"/>
  <c r="CV44"/>
  <c r="CU44"/>
  <c r="CT44"/>
  <c r="CS44"/>
  <c r="CR44"/>
  <c r="CQ44"/>
  <c r="CP44"/>
  <c r="CO44"/>
  <c r="CN44"/>
  <c r="CM44"/>
  <c r="CL44"/>
  <c r="CK44"/>
  <c r="CJ44"/>
  <c r="CI44"/>
  <c r="CH44"/>
  <c r="CG44"/>
  <c r="CF44"/>
  <c r="CE44"/>
  <c r="CD44"/>
  <c r="CC44"/>
  <c r="CB44"/>
  <c r="CA44"/>
  <c r="BZ44"/>
  <c r="BY44"/>
  <c r="BX44"/>
  <c r="BW44"/>
  <c r="BV44"/>
  <c r="BU44"/>
  <c r="BT44"/>
  <c r="BS44"/>
  <c r="BR44"/>
  <c r="BQ44"/>
  <c r="BP44"/>
  <c r="BO44"/>
  <c r="BN44"/>
  <c r="E44"/>
  <c r="E275" s="1"/>
  <c r="D44"/>
  <c r="D275" s="1"/>
  <c r="C44"/>
  <c r="C275" s="1"/>
  <c r="B44"/>
  <c r="B275" s="1"/>
  <c r="A44"/>
  <c r="A275" s="1"/>
  <c r="DU43"/>
  <c r="DT43"/>
  <c r="DS43"/>
  <c r="DR43"/>
  <c r="DQ43"/>
  <c r="DP43"/>
  <c r="DO43"/>
  <c r="DN43"/>
  <c r="DM43"/>
  <c r="DL43"/>
  <c r="DK43"/>
  <c r="DJ43"/>
  <c r="DI43"/>
  <c r="DH43"/>
  <c r="DG43"/>
  <c r="DF43"/>
  <c r="DE43"/>
  <c r="DD43"/>
  <c r="DC43"/>
  <c r="DB43"/>
  <c r="DA43"/>
  <c r="CZ43"/>
  <c r="CY43"/>
  <c r="CX43"/>
  <c r="CW43"/>
  <c r="CV43"/>
  <c r="CU43"/>
  <c r="CT43"/>
  <c r="CS43"/>
  <c r="CR43"/>
  <c r="CQ43"/>
  <c r="CP43"/>
  <c r="CO43"/>
  <c r="CN43"/>
  <c r="CM43"/>
  <c r="CL43"/>
  <c r="CK43"/>
  <c r="CJ43"/>
  <c r="CI43"/>
  <c r="CH43"/>
  <c r="CG43"/>
  <c r="CF43"/>
  <c r="CE43"/>
  <c r="CD43"/>
  <c r="CC43"/>
  <c r="CB43"/>
  <c r="CA43"/>
  <c r="BZ43"/>
  <c r="BY43"/>
  <c r="BX43"/>
  <c r="BW43"/>
  <c r="BV43"/>
  <c r="BU43"/>
  <c r="BT43"/>
  <c r="BS43"/>
  <c r="BR43"/>
  <c r="BQ43"/>
  <c r="BP43"/>
  <c r="BO43"/>
  <c r="BN43"/>
  <c r="E43"/>
  <c r="E274" s="1"/>
  <c r="D43"/>
  <c r="D274" s="1"/>
  <c r="C43"/>
  <c r="C274" s="1"/>
  <c r="B43"/>
  <c r="B274" s="1"/>
  <c r="A43"/>
  <c r="A274" s="1"/>
  <c r="DU42"/>
  <c r="DT42"/>
  <c r="DS42"/>
  <c r="DR42"/>
  <c r="DQ42"/>
  <c r="DP42"/>
  <c r="DO42"/>
  <c r="DN42"/>
  <c r="DM42"/>
  <c r="DL42"/>
  <c r="DK42"/>
  <c r="DJ42"/>
  <c r="DI42"/>
  <c r="DH42"/>
  <c r="DG42"/>
  <c r="DF42"/>
  <c r="DE42"/>
  <c r="DD42"/>
  <c r="DC42"/>
  <c r="DB42"/>
  <c r="DA42"/>
  <c r="CZ42"/>
  <c r="CY42"/>
  <c r="CX42"/>
  <c r="CW42"/>
  <c r="CV42"/>
  <c r="CU42"/>
  <c r="CT42"/>
  <c r="CS42"/>
  <c r="CR42"/>
  <c r="CQ42"/>
  <c r="CP42"/>
  <c r="CO42"/>
  <c r="CN42"/>
  <c r="CM42"/>
  <c r="CL42"/>
  <c r="CK42"/>
  <c r="CJ42"/>
  <c r="CI42"/>
  <c r="CH42"/>
  <c r="CG42"/>
  <c r="CF42"/>
  <c r="CE42"/>
  <c r="CD42"/>
  <c r="CC42"/>
  <c r="CB42"/>
  <c r="CA42"/>
  <c r="BZ42"/>
  <c r="BY42"/>
  <c r="BX42"/>
  <c r="BW42"/>
  <c r="BV42"/>
  <c r="BU42"/>
  <c r="BT42"/>
  <c r="BS42"/>
  <c r="BR42"/>
  <c r="BQ42"/>
  <c r="BP42"/>
  <c r="BO42"/>
  <c r="BN42"/>
  <c r="E42"/>
  <c r="D42"/>
  <c r="D273" s="1"/>
  <c r="C42"/>
  <c r="C273" s="1"/>
  <c r="B42"/>
  <c r="B273" s="1"/>
  <c r="A42"/>
  <c r="A273" s="1"/>
  <c r="DU41"/>
  <c r="DT41"/>
  <c r="DS41"/>
  <c r="DR41"/>
  <c r="DQ41"/>
  <c r="DP41"/>
  <c r="DO41"/>
  <c r="DN41"/>
  <c r="DM41"/>
  <c r="DL41"/>
  <c r="DK41"/>
  <c r="DJ41"/>
  <c r="DI41"/>
  <c r="DH41"/>
  <c r="DG41"/>
  <c r="DF41"/>
  <c r="DE41"/>
  <c r="DD41"/>
  <c r="DC41"/>
  <c r="DB41"/>
  <c r="DA41"/>
  <c r="CZ41"/>
  <c r="CY41"/>
  <c r="CX41"/>
  <c r="CW41"/>
  <c r="CV41"/>
  <c r="CU41"/>
  <c r="CT41"/>
  <c r="CS41"/>
  <c r="CR41"/>
  <c r="CQ41"/>
  <c r="CP41"/>
  <c r="CO41"/>
  <c r="CN41"/>
  <c r="CM41"/>
  <c r="CL41"/>
  <c r="CK41"/>
  <c r="CJ41"/>
  <c r="CI41"/>
  <c r="CH41"/>
  <c r="CG41"/>
  <c r="CF41"/>
  <c r="CE41"/>
  <c r="CD41"/>
  <c r="CC41"/>
  <c r="CB41"/>
  <c r="CA41"/>
  <c r="BZ41"/>
  <c r="BY41"/>
  <c r="BX41"/>
  <c r="BW41"/>
  <c r="BV41"/>
  <c r="BU41"/>
  <c r="BT41"/>
  <c r="BS41"/>
  <c r="BR41"/>
  <c r="BQ41"/>
  <c r="BP41"/>
  <c r="BO41"/>
  <c r="BN41"/>
  <c r="E41"/>
  <c r="E272" s="1"/>
  <c r="D41"/>
  <c r="D272" s="1"/>
  <c r="C41"/>
  <c r="C272" s="1"/>
  <c r="B41"/>
  <c r="A41"/>
  <c r="A272" s="1"/>
  <c r="DU40"/>
  <c r="DT40"/>
  <c r="DS40"/>
  <c r="DR40"/>
  <c r="DQ40"/>
  <c r="DP40"/>
  <c r="DO40"/>
  <c r="DN40"/>
  <c r="DM40"/>
  <c r="DL40"/>
  <c r="DK40"/>
  <c r="DJ40"/>
  <c r="DI40"/>
  <c r="DH40"/>
  <c r="DG40"/>
  <c r="DF40"/>
  <c r="DE40"/>
  <c r="DD40"/>
  <c r="DC40"/>
  <c r="DB40"/>
  <c r="DA40"/>
  <c r="CZ40"/>
  <c r="CY40"/>
  <c r="CX40"/>
  <c r="CW40"/>
  <c r="CV40"/>
  <c r="CU40"/>
  <c r="CT40"/>
  <c r="CS40"/>
  <c r="CR40"/>
  <c r="CQ40"/>
  <c r="CP40"/>
  <c r="CO40"/>
  <c r="CN40"/>
  <c r="CM40"/>
  <c r="CL40"/>
  <c r="CK40"/>
  <c r="CJ40"/>
  <c r="CI40"/>
  <c r="CH40"/>
  <c r="CG40"/>
  <c r="CF40"/>
  <c r="CE40"/>
  <c r="CD40"/>
  <c r="CC40"/>
  <c r="CB40"/>
  <c r="CA40"/>
  <c r="BZ40"/>
  <c r="BY40"/>
  <c r="BX40"/>
  <c r="BW40"/>
  <c r="BV40"/>
  <c r="BU40"/>
  <c r="BT40"/>
  <c r="BS40"/>
  <c r="BR40"/>
  <c r="BQ40"/>
  <c r="BP40"/>
  <c r="BO40"/>
  <c r="BN40"/>
  <c r="E40"/>
  <c r="E271" s="1"/>
  <c r="D40"/>
  <c r="C40"/>
  <c r="C271" s="1"/>
  <c r="B40"/>
  <c r="B271" s="1"/>
  <c r="A40"/>
  <c r="A271" s="1"/>
  <c r="DU39"/>
  <c r="DT39"/>
  <c r="DS39"/>
  <c r="DR39"/>
  <c r="DQ39"/>
  <c r="DP39"/>
  <c r="DO39"/>
  <c r="DN39"/>
  <c r="DM39"/>
  <c r="DL39"/>
  <c r="DK39"/>
  <c r="DJ39"/>
  <c r="DI39"/>
  <c r="DH39"/>
  <c r="DG39"/>
  <c r="DF39"/>
  <c r="DE39"/>
  <c r="DD39"/>
  <c r="DC39"/>
  <c r="DB39"/>
  <c r="DA39"/>
  <c r="CZ39"/>
  <c r="CY39"/>
  <c r="CX39"/>
  <c r="CW39"/>
  <c r="CV39"/>
  <c r="CU39"/>
  <c r="CT39"/>
  <c r="CS39"/>
  <c r="CR39"/>
  <c r="CQ39"/>
  <c r="CP39"/>
  <c r="CO39"/>
  <c r="CN39"/>
  <c r="CM39"/>
  <c r="CL39"/>
  <c r="CK39"/>
  <c r="CJ39"/>
  <c r="CI39"/>
  <c r="CH39"/>
  <c r="CG39"/>
  <c r="CF39"/>
  <c r="CE39"/>
  <c r="CD39"/>
  <c r="CC39"/>
  <c r="CB39"/>
  <c r="CA39"/>
  <c r="BZ39"/>
  <c r="BY39"/>
  <c r="BX39"/>
  <c r="BW39"/>
  <c r="BV39"/>
  <c r="BU39"/>
  <c r="BT39"/>
  <c r="BS39"/>
  <c r="BR39"/>
  <c r="BQ39"/>
  <c r="BP39"/>
  <c r="BO39"/>
  <c r="BN39"/>
  <c r="E39"/>
  <c r="E270" s="1"/>
  <c r="D39"/>
  <c r="D270" s="1"/>
  <c r="C39"/>
  <c r="C270" s="1"/>
  <c r="B39"/>
  <c r="B270" s="1"/>
  <c r="A39"/>
  <c r="A270" s="1"/>
  <c r="DU38"/>
  <c r="DT38"/>
  <c r="DS38"/>
  <c r="DR38"/>
  <c r="DQ38"/>
  <c r="DP38"/>
  <c r="DO38"/>
  <c r="DN38"/>
  <c r="DM38"/>
  <c r="DL38"/>
  <c r="DK38"/>
  <c r="DJ38"/>
  <c r="DI38"/>
  <c r="DH38"/>
  <c r="DG38"/>
  <c r="DF38"/>
  <c r="DE38"/>
  <c r="DD38"/>
  <c r="DC38"/>
  <c r="DB38"/>
  <c r="DA38"/>
  <c r="CZ38"/>
  <c r="CY38"/>
  <c r="CX38"/>
  <c r="CW38"/>
  <c r="CV38"/>
  <c r="CU38"/>
  <c r="CT38"/>
  <c r="CS38"/>
  <c r="CR38"/>
  <c r="CQ38"/>
  <c r="CP38"/>
  <c r="CO38"/>
  <c r="CN38"/>
  <c r="CM38"/>
  <c r="CL38"/>
  <c r="CK38"/>
  <c r="CJ38"/>
  <c r="CI38"/>
  <c r="CH38"/>
  <c r="CG38"/>
  <c r="CF38"/>
  <c r="CE38"/>
  <c r="CD38"/>
  <c r="CC38"/>
  <c r="CB38"/>
  <c r="CA38"/>
  <c r="BZ38"/>
  <c r="BY38"/>
  <c r="BX38"/>
  <c r="BW38"/>
  <c r="BV38"/>
  <c r="BU38"/>
  <c r="BT38"/>
  <c r="BS38"/>
  <c r="BR38"/>
  <c r="BQ38"/>
  <c r="BP38"/>
  <c r="BO38"/>
  <c r="BN38"/>
  <c r="E38"/>
  <c r="E38" i="2" s="1"/>
  <c r="B38" i="3"/>
  <c r="A38"/>
  <c r="DU37"/>
  <c r="DT37"/>
  <c r="DS37"/>
  <c r="DR37"/>
  <c r="DQ37"/>
  <c r="DP37"/>
  <c r="DO37"/>
  <c r="DN37"/>
  <c r="DM37"/>
  <c r="DL37"/>
  <c r="DK37"/>
  <c r="DJ37"/>
  <c r="DI37"/>
  <c r="DH37"/>
  <c r="DG37"/>
  <c r="DF37"/>
  <c r="DE37"/>
  <c r="DD37"/>
  <c r="DC37"/>
  <c r="DB37"/>
  <c r="DA37"/>
  <c r="CZ37"/>
  <c r="CY37"/>
  <c r="CX37"/>
  <c r="CW37"/>
  <c r="CV37"/>
  <c r="CU37"/>
  <c r="CT37"/>
  <c r="CS37"/>
  <c r="CR37"/>
  <c r="CQ37"/>
  <c r="CP37"/>
  <c r="CO37"/>
  <c r="CN37"/>
  <c r="CM37"/>
  <c r="CL37"/>
  <c r="CK37"/>
  <c r="CJ37"/>
  <c r="CI37"/>
  <c r="CH37"/>
  <c r="CG37"/>
  <c r="CF37"/>
  <c r="CE37"/>
  <c r="CD37"/>
  <c r="CC37"/>
  <c r="CB37"/>
  <c r="CA37"/>
  <c r="BZ37"/>
  <c r="BY37"/>
  <c r="BX37"/>
  <c r="BW37"/>
  <c r="BV37"/>
  <c r="BU37"/>
  <c r="BT37"/>
  <c r="BS37"/>
  <c r="BR37"/>
  <c r="BQ37"/>
  <c r="BP37"/>
  <c r="BO37"/>
  <c r="BN37"/>
  <c r="E37"/>
  <c r="E269" s="1"/>
  <c r="D37"/>
  <c r="D269" s="1"/>
  <c r="C37"/>
  <c r="C269" s="1"/>
  <c r="B37"/>
  <c r="B269" s="1"/>
  <c r="A37"/>
  <c r="A269" s="1"/>
  <c r="DU36"/>
  <c r="DT36"/>
  <c r="DS36"/>
  <c r="DR36"/>
  <c r="DQ36"/>
  <c r="DP36"/>
  <c r="DO36"/>
  <c r="DN36"/>
  <c r="DM36"/>
  <c r="DL36"/>
  <c r="DK36"/>
  <c r="DJ36"/>
  <c r="DI36"/>
  <c r="DH36"/>
  <c r="DG36"/>
  <c r="DF36"/>
  <c r="DE36"/>
  <c r="DD36"/>
  <c r="DC36"/>
  <c r="DB36"/>
  <c r="DA36"/>
  <c r="CZ36"/>
  <c r="CY36"/>
  <c r="CX36"/>
  <c r="CW36"/>
  <c r="CV36"/>
  <c r="CU36"/>
  <c r="CT36"/>
  <c r="CS36"/>
  <c r="CR36"/>
  <c r="CQ36"/>
  <c r="CP36"/>
  <c r="CO36"/>
  <c r="CN36"/>
  <c r="CM36"/>
  <c r="CL36"/>
  <c r="CK36"/>
  <c r="CJ36"/>
  <c r="CI36"/>
  <c r="CH36"/>
  <c r="CG36"/>
  <c r="CF36"/>
  <c r="CE36"/>
  <c r="CD36"/>
  <c r="CC36"/>
  <c r="CB36"/>
  <c r="CA36"/>
  <c r="BZ36"/>
  <c r="BY36"/>
  <c r="BX36"/>
  <c r="BW36"/>
  <c r="BV36"/>
  <c r="BU36"/>
  <c r="BT36"/>
  <c r="BS36"/>
  <c r="BR36"/>
  <c r="BQ36"/>
  <c r="BP36"/>
  <c r="BO36"/>
  <c r="BN36"/>
  <c r="E36"/>
  <c r="E268" s="1"/>
  <c r="D36"/>
  <c r="D268" s="1"/>
  <c r="C36"/>
  <c r="C268" s="1"/>
  <c r="B36"/>
  <c r="B268" s="1"/>
  <c r="A36"/>
  <c r="A268" s="1"/>
  <c r="DU35"/>
  <c r="DT35"/>
  <c r="DS35"/>
  <c r="DR35"/>
  <c r="DQ35"/>
  <c r="DP35"/>
  <c r="DO35"/>
  <c r="DN35"/>
  <c r="DM35"/>
  <c r="DL35"/>
  <c r="DK35"/>
  <c r="DJ35"/>
  <c r="DI35"/>
  <c r="DH35"/>
  <c r="DG35"/>
  <c r="DF35"/>
  <c r="DE35"/>
  <c r="DD35"/>
  <c r="DC35"/>
  <c r="DB35"/>
  <c r="DA35"/>
  <c r="CZ35"/>
  <c r="CY35"/>
  <c r="CX35"/>
  <c r="CW35"/>
  <c r="CV35"/>
  <c r="CU35"/>
  <c r="CT35"/>
  <c r="CS35"/>
  <c r="CR35"/>
  <c r="CQ35"/>
  <c r="CP35"/>
  <c r="CO35"/>
  <c r="CN35"/>
  <c r="CM35"/>
  <c r="CL35"/>
  <c r="CK35"/>
  <c r="CJ35"/>
  <c r="CI35"/>
  <c r="CH35"/>
  <c r="CG35"/>
  <c r="CF35"/>
  <c r="CE35"/>
  <c r="CD35"/>
  <c r="CC35"/>
  <c r="CB35"/>
  <c r="CA35"/>
  <c r="BZ35"/>
  <c r="BY35"/>
  <c r="BX35"/>
  <c r="BW35"/>
  <c r="BV35"/>
  <c r="BU35"/>
  <c r="BT35"/>
  <c r="BS35"/>
  <c r="BR35"/>
  <c r="BQ35"/>
  <c r="BP35"/>
  <c r="BO35"/>
  <c r="BN35"/>
  <c r="E35"/>
  <c r="B35"/>
  <c r="A35"/>
  <c r="DU34"/>
  <c r="DT34"/>
  <c r="DS34"/>
  <c r="DR34"/>
  <c r="DQ34"/>
  <c r="DP34"/>
  <c r="DO34"/>
  <c r="DN34"/>
  <c r="DM34"/>
  <c r="DL34"/>
  <c r="DK34"/>
  <c r="DJ34"/>
  <c r="DI34"/>
  <c r="DH34"/>
  <c r="DG34"/>
  <c r="DF34"/>
  <c r="DE34"/>
  <c r="DD34"/>
  <c r="DC34"/>
  <c r="DB34"/>
  <c r="DA34"/>
  <c r="CZ34"/>
  <c r="CY34"/>
  <c r="CX34"/>
  <c r="CW34"/>
  <c r="CV34"/>
  <c r="CU34"/>
  <c r="CT34"/>
  <c r="CS34"/>
  <c r="CR34"/>
  <c r="CQ34"/>
  <c r="CP34"/>
  <c r="CO34"/>
  <c r="CN34"/>
  <c r="CM34"/>
  <c r="CL34"/>
  <c r="CK34"/>
  <c r="CJ34"/>
  <c r="CI34"/>
  <c r="CH34"/>
  <c r="CG34"/>
  <c r="CF34"/>
  <c r="CE34"/>
  <c r="CD34"/>
  <c r="CC34"/>
  <c r="CB34"/>
  <c r="CA34"/>
  <c r="BZ34"/>
  <c r="BY34"/>
  <c r="BX34"/>
  <c r="BW34"/>
  <c r="BV34"/>
  <c r="BU34"/>
  <c r="BT34"/>
  <c r="BS34"/>
  <c r="BR34"/>
  <c r="BQ34"/>
  <c r="BP34"/>
  <c r="BO34"/>
  <c r="BN34"/>
  <c r="E34"/>
  <c r="D34"/>
  <c r="D267" s="1"/>
  <c r="C34"/>
  <c r="C267" s="1"/>
  <c r="B34"/>
  <c r="B267" s="1"/>
  <c r="A34"/>
  <c r="A267" s="1"/>
  <c r="DU33"/>
  <c r="DT33"/>
  <c r="DS33"/>
  <c r="DR33"/>
  <c r="DQ33"/>
  <c r="DP33"/>
  <c r="DO33"/>
  <c r="DN33"/>
  <c r="DM33"/>
  <c r="DL33"/>
  <c r="DK33"/>
  <c r="DJ33"/>
  <c r="DI33"/>
  <c r="DH33"/>
  <c r="DG33"/>
  <c r="DF33"/>
  <c r="DE33"/>
  <c r="DD33"/>
  <c r="DC33"/>
  <c r="DB33"/>
  <c r="DA33"/>
  <c r="CZ33"/>
  <c r="CY33"/>
  <c r="CX33"/>
  <c r="CW33"/>
  <c r="CV33"/>
  <c r="CU33"/>
  <c r="CT33"/>
  <c r="CS33"/>
  <c r="CR33"/>
  <c r="CQ33"/>
  <c r="CP33"/>
  <c r="CO33"/>
  <c r="CN33"/>
  <c r="CM33"/>
  <c r="CL33"/>
  <c r="CK33"/>
  <c r="CJ33"/>
  <c r="CI33"/>
  <c r="CH33"/>
  <c r="CG33"/>
  <c r="CF33"/>
  <c r="CE33"/>
  <c r="CD33"/>
  <c r="CC33"/>
  <c r="CB33"/>
  <c r="CA33"/>
  <c r="BZ33"/>
  <c r="BY33"/>
  <c r="BX33"/>
  <c r="BW33"/>
  <c r="BV33"/>
  <c r="BU33"/>
  <c r="BT33"/>
  <c r="BS33"/>
  <c r="BR33"/>
  <c r="BQ33"/>
  <c r="BP33"/>
  <c r="BO33"/>
  <c r="BN33"/>
  <c r="E33"/>
  <c r="E266" s="1"/>
  <c r="D33"/>
  <c r="D266" s="1"/>
  <c r="C33"/>
  <c r="C266" s="1"/>
  <c r="B33"/>
  <c r="B266" s="1"/>
  <c r="A33"/>
  <c r="A266" s="1"/>
  <c r="DU32"/>
  <c r="DT32"/>
  <c r="DS32"/>
  <c r="DR32"/>
  <c r="DQ32"/>
  <c r="DP32"/>
  <c r="DO32"/>
  <c r="DN32"/>
  <c r="DM32"/>
  <c r="DL32"/>
  <c r="DK32"/>
  <c r="DJ32"/>
  <c r="DI32"/>
  <c r="DH32"/>
  <c r="DG32"/>
  <c r="DF32"/>
  <c r="DE32"/>
  <c r="DD32"/>
  <c r="DC32"/>
  <c r="DB32"/>
  <c r="DA32"/>
  <c r="CZ32"/>
  <c r="CY32"/>
  <c r="CX32"/>
  <c r="CW32"/>
  <c r="CV32"/>
  <c r="CU32"/>
  <c r="CT32"/>
  <c r="CS32"/>
  <c r="CR32"/>
  <c r="CQ32"/>
  <c r="CP32"/>
  <c r="CO32"/>
  <c r="CN32"/>
  <c r="CM32"/>
  <c r="CL32"/>
  <c r="CK32"/>
  <c r="CJ32"/>
  <c r="CI32"/>
  <c r="CH32"/>
  <c r="CG32"/>
  <c r="CF32"/>
  <c r="CE32"/>
  <c r="CD32"/>
  <c r="CC32"/>
  <c r="CB32"/>
  <c r="CA32"/>
  <c r="BZ32"/>
  <c r="BY32"/>
  <c r="BX32"/>
  <c r="BW32"/>
  <c r="BV32"/>
  <c r="BU32"/>
  <c r="BT32"/>
  <c r="BS32"/>
  <c r="BR32"/>
  <c r="BQ32"/>
  <c r="BP32"/>
  <c r="BO32"/>
  <c r="BN32"/>
  <c r="E32"/>
  <c r="E265" s="1"/>
  <c r="D32"/>
  <c r="D265" s="1"/>
  <c r="C32"/>
  <c r="C265" s="1"/>
  <c r="B32"/>
  <c r="B265" s="1"/>
  <c r="A32"/>
  <c r="A265" s="1"/>
  <c r="DU31"/>
  <c r="DT31"/>
  <c r="DS31"/>
  <c r="DR31"/>
  <c r="DQ31"/>
  <c r="DP31"/>
  <c r="DO31"/>
  <c r="DN31"/>
  <c r="DM31"/>
  <c r="DL31"/>
  <c r="DK31"/>
  <c r="DJ31"/>
  <c r="DI31"/>
  <c r="DH31"/>
  <c r="DG31"/>
  <c r="DF31"/>
  <c r="DE31"/>
  <c r="DD31"/>
  <c r="DC31"/>
  <c r="DB31"/>
  <c r="DA31"/>
  <c r="CZ31"/>
  <c r="CY31"/>
  <c r="CX31"/>
  <c r="CW31"/>
  <c r="CV31"/>
  <c r="CU31"/>
  <c r="CT31"/>
  <c r="CS31"/>
  <c r="CR31"/>
  <c r="CQ31"/>
  <c r="CP31"/>
  <c r="CO31"/>
  <c r="CN31"/>
  <c r="CM31"/>
  <c r="CL31"/>
  <c r="CK31"/>
  <c r="CJ31"/>
  <c r="CI31"/>
  <c r="CH31"/>
  <c r="CG31"/>
  <c r="CF31"/>
  <c r="CE31"/>
  <c r="CD31"/>
  <c r="CC31"/>
  <c r="CB31"/>
  <c r="CA31"/>
  <c r="BZ31"/>
  <c r="BY31"/>
  <c r="BX31"/>
  <c r="BW31"/>
  <c r="BV31"/>
  <c r="BU31"/>
  <c r="BT31"/>
  <c r="BS31"/>
  <c r="BR31"/>
  <c r="BQ31"/>
  <c r="BP31"/>
  <c r="BO31"/>
  <c r="BN31"/>
  <c r="E31"/>
  <c r="E264" s="1"/>
  <c r="D31"/>
  <c r="D264" s="1"/>
  <c r="C31"/>
  <c r="C264" s="1"/>
  <c r="B31"/>
  <c r="B264" s="1"/>
  <c r="A31"/>
  <c r="A264" s="1"/>
  <c r="DU30"/>
  <c r="DT30"/>
  <c r="DS30"/>
  <c r="DR30"/>
  <c r="DQ30"/>
  <c r="DP30"/>
  <c r="DO30"/>
  <c r="DN30"/>
  <c r="DM30"/>
  <c r="DL30"/>
  <c r="DK30"/>
  <c r="DJ30"/>
  <c r="DI30"/>
  <c r="DH30"/>
  <c r="DG30"/>
  <c r="DF30"/>
  <c r="DE30"/>
  <c r="DD30"/>
  <c r="DC30"/>
  <c r="DB30"/>
  <c r="DA30"/>
  <c r="CZ30"/>
  <c r="CY30"/>
  <c r="CX30"/>
  <c r="CW30"/>
  <c r="CV30"/>
  <c r="CU30"/>
  <c r="CT30"/>
  <c r="CS30"/>
  <c r="CR30"/>
  <c r="CQ30"/>
  <c r="CP30"/>
  <c r="CO30"/>
  <c r="CN30"/>
  <c r="CM30"/>
  <c r="CL30"/>
  <c r="CK30"/>
  <c r="CJ30"/>
  <c r="CI30"/>
  <c r="CH30"/>
  <c r="CG30"/>
  <c r="CF30"/>
  <c r="CE30"/>
  <c r="CD30"/>
  <c r="CC30"/>
  <c r="CB30"/>
  <c r="CA30"/>
  <c r="BZ30"/>
  <c r="BY30"/>
  <c r="BX30"/>
  <c r="BW30"/>
  <c r="BV30"/>
  <c r="BU30"/>
  <c r="BT30"/>
  <c r="BS30"/>
  <c r="BR30"/>
  <c r="BQ30"/>
  <c r="BP30"/>
  <c r="BO30"/>
  <c r="BN30"/>
  <c r="E30"/>
  <c r="E263" s="1"/>
  <c r="D30"/>
  <c r="D263" s="1"/>
  <c r="C30"/>
  <c r="C263" s="1"/>
  <c r="B30"/>
  <c r="B263" s="1"/>
  <c r="A30"/>
  <c r="DU29"/>
  <c r="DT29"/>
  <c r="DS29"/>
  <c r="DR29"/>
  <c r="DQ29"/>
  <c r="DP29"/>
  <c r="DO29"/>
  <c r="DN29"/>
  <c r="DM29"/>
  <c r="DL29"/>
  <c r="DK29"/>
  <c r="DJ29"/>
  <c r="DI29"/>
  <c r="DH29"/>
  <c r="DG29"/>
  <c r="DF29"/>
  <c r="DE29"/>
  <c r="DD29"/>
  <c r="DC29"/>
  <c r="DB29"/>
  <c r="DA29"/>
  <c r="CZ29"/>
  <c r="CY29"/>
  <c r="CX29"/>
  <c r="CW29"/>
  <c r="CV29"/>
  <c r="CU29"/>
  <c r="CT29"/>
  <c r="CS29"/>
  <c r="CR29"/>
  <c r="CQ29"/>
  <c r="CP29"/>
  <c r="CO29"/>
  <c r="CN29"/>
  <c r="CM29"/>
  <c r="CL29"/>
  <c r="CK29"/>
  <c r="CJ29"/>
  <c r="CI29"/>
  <c r="CH29"/>
  <c r="CG29"/>
  <c r="CF29"/>
  <c r="CE29"/>
  <c r="CD29"/>
  <c r="CC29"/>
  <c r="CB29"/>
  <c r="CA29"/>
  <c r="BZ29"/>
  <c r="BY29"/>
  <c r="BX29"/>
  <c r="BW29"/>
  <c r="BV29"/>
  <c r="BU29"/>
  <c r="BT29"/>
  <c r="BS29"/>
  <c r="BR29"/>
  <c r="BQ29"/>
  <c r="BP29"/>
  <c r="BO29"/>
  <c r="BN29"/>
  <c r="E29"/>
  <c r="E262" s="1"/>
  <c r="D29"/>
  <c r="D262" s="1"/>
  <c r="C29"/>
  <c r="C262" s="1"/>
  <c r="B29"/>
  <c r="B262" s="1"/>
  <c r="A29"/>
  <c r="A262" s="1"/>
  <c r="DU28"/>
  <c r="DT28"/>
  <c r="DS28"/>
  <c r="DR28"/>
  <c r="DQ28"/>
  <c r="DP28"/>
  <c r="DO28"/>
  <c r="DN28"/>
  <c r="DM28"/>
  <c r="DL28"/>
  <c r="DK28"/>
  <c r="DJ28"/>
  <c r="DI28"/>
  <c r="DH28"/>
  <c r="DG28"/>
  <c r="DF28"/>
  <c r="DE28"/>
  <c r="DD28"/>
  <c r="DC28"/>
  <c r="DB28"/>
  <c r="DA28"/>
  <c r="CZ28"/>
  <c r="CY28"/>
  <c r="CX28"/>
  <c r="CW28"/>
  <c r="CV28"/>
  <c r="CU28"/>
  <c r="CT28"/>
  <c r="CS28"/>
  <c r="CR28"/>
  <c r="CQ28"/>
  <c r="CP28"/>
  <c r="CO28"/>
  <c r="CN28"/>
  <c r="CM28"/>
  <c r="CL28"/>
  <c r="CK28"/>
  <c r="CJ28"/>
  <c r="CI28"/>
  <c r="CH28"/>
  <c r="CG28"/>
  <c r="CF28"/>
  <c r="CE28"/>
  <c r="CD28"/>
  <c r="CC28"/>
  <c r="CB28"/>
  <c r="CA28"/>
  <c r="BZ28"/>
  <c r="BY28"/>
  <c r="BX28"/>
  <c r="BW28"/>
  <c r="BV28"/>
  <c r="BU28"/>
  <c r="BT28"/>
  <c r="BS28"/>
  <c r="BR28"/>
  <c r="BQ28"/>
  <c r="BP28"/>
  <c r="BO28"/>
  <c r="BN28"/>
  <c r="E28"/>
  <c r="E261" s="1"/>
  <c r="D28"/>
  <c r="D261" s="1"/>
  <c r="C28"/>
  <c r="C261" s="1"/>
  <c r="B28"/>
  <c r="B261" s="1"/>
  <c r="A28"/>
  <c r="A261" s="1"/>
  <c r="DU27"/>
  <c r="DT27"/>
  <c r="DS27"/>
  <c r="DR27"/>
  <c r="DQ27"/>
  <c r="DP27"/>
  <c r="DO27"/>
  <c r="DN27"/>
  <c r="DM27"/>
  <c r="DL27"/>
  <c r="DK27"/>
  <c r="DJ27"/>
  <c r="DI27"/>
  <c r="DH27"/>
  <c r="DG27"/>
  <c r="DF27"/>
  <c r="DE27"/>
  <c r="DD27"/>
  <c r="DC27"/>
  <c r="DB27"/>
  <c r="DA27"/>
  <c r="CZ27"/>
  <c r="CY27"/>
  <c r="CX27"/>
  <c r="CW27"/>
  <c r="CV27"/>
  <c r="CU27"/>
  <c r="CT27"/>
  <c r="CS27"/>
  <c r="CR27"/>
  <c r="CQ27"/>
  <c r="CP27"/>
  <c r="CO27"/>
  <c r="CN27"/>
  <c r="CM27"/>
  <c r="CL27"/>
  <c r="CK27"/>
  <c r="CJ27"/>
  <c r="CI27"/>
  <c r="CH27"/>
  <c r="CG27"/>
  <c r="CF27"/>
  <c r="CE27"/>
  <c r="CD27"/>
  <c r="CC27"/>
  <c r="CB27"/>
  <c r="CA27"/>
  <c r="BZ27"/>
  <c r="BY27"/>
  <c r="BX27"/>
  <c r="BW27"/>
  <c r="BV27"/>
  <c r="BU27"/>
  <c r="BT27"/>
  <c r="BS27"/>
  <c r="BR27"/>
  <c r="BQ27"/>
  <c r="BP27"/>
  <c r="BO27"/>
  <c r="BN27"/>
  <c r="E27"/>
  <c r="E260" s="1"/>
  <c r="D27"/>
  <c r="D260" s="1"/>
  <c r="C27"/>
  <c r="C260" s="1"/>
  <c r="B27"/>
  <c r="B260" s="1"/>
  <c r="A27"/>
  <c r="A260" s="1"/>
  <c r="DU26"/>
  <c r="DT26"/>
  <c r="DS26"/>
  <c r="DR26"/>
  <c r="DQ26"/>
  <c r="DP26"/>
  <c r="DO26"/>
  <c r="DN26"/>
  <c r="DM26"/>
  <c r="DL26"/>
  <c r="DK26"/>
  <c r="DJ26"/>
  <c r="DI26"/>
  <c r="DH26"/>
  <c r="DG26"/>
  <c r="DF26"/>
  <c r="DE26"/>
  <c r="DD26"/>
  <c r="DC26"/>
  <c r="DB26"/>
  <c r="DA26"/>
  <c r="CZ26"/>
  <c r="CY26"/>
  <c r="CX26"/>
  <c r="CW26"/>
  <c r="CV26"/>
  <c r="CU26"/>
  <c r="CT26"/>
  <c r="CS26"/>
  <c r="CR26"/>
  <c r="CQ26"/>
  <c r="CP26"/>
  <c r="CO26"/>
  <c r="CN26"/>
  <c r="CM26"/>
  <c r="CL26"/>
  <c r="CK26"/>
  <c r="CJ26"/>
  <c r="CI26"/>
  <c r="CH26"/>
  <c r="CG26"/>
  <c r="CF26"/>
  <c r="CE26"/>
  <c r="CD26"/>
  <c r="CC26"/>
  <c r="CB26"/>
  <c r="CA26"/>
  <c r="BZ26"/>
  <c r="BY26"/>
  <c r="BX26"/>
  <c r="BW26"/>
  <c r="BV26"/>
  <c r="BU26"/>
  <c r="BT26"/>
  <c r="BS26"/>
  <c r="BR26"/>
  <c r="BQ26"/>
  <c r="BP26"/>
  <c r="BO26"/>
  <c r="BN26"/>
  <c r="E26"/>
  <c r="E259" s="1"/>
  <c r="D26"/>
  <c r="D259" s="1"/>
  <c r="C26"/>
  <c r="C259" s="1"/>
  <c r="B26"/>
  <c r="B259" s="1"/>
  <c r="A26"/>
  <c r="A259" s="1"/>
  <c r="DU25"/>
  <c r="DT25"/>
  <c r="DS25"/>
  <c r="DR25"/>
  <c r="DQ25"/>
  <c r="DP25"/>
  <c r="DO25"/>
  <c r="DN25"/>
  <c r="DM25"/>
  <c r="DL25"/>
  <c r="DK25"/>
  <c r="DJ25"/>
  <c r="DI25"/>
  <c r="DH25"/>
  <c r="DG25"/>
  <c r="DF25"/>
  <c r="DE25"/>
  <c r="DD25"/>
  <c r="DC25"/>
  <c r="DB25"/>
  <c r="DA25"/>
  <c r="CZ25"/>
  <c r="CY25"/>
  <c r="CX25"/>
  <c r="CW25"/>
  <c r="CV25"/>
  <c r="CU25"/>
  <c r="CT25"/>
  <c r="CS25"/>
  <c r="CR25"/>
  <c r="CQ25"/>
  <c r="CP25"/>
  <c r="CO25"/>
  <c r="CN25"/>
  <c r="CM25"/>
  <c r="CL25"/>
  <c r="CK25"/>
  <c r="CJ25"/>
  <c r="CI25"/>
  <c r="CH25"/>
  <c r="CG25"/>
  <c r="CF25"/>
  <c r="CE25"/>
  <c r="CD25"/>
  <c r="CC25"/>
  <c r="CB25"/>
  <c r="CA25"/>
  <c r="BZ25"/>
  <c r="BY25"/>
  <c r="BX25"/>
  <c r="BW25"/>
  <c r="BV25"/>
  <c r="BU25"/>
  <c r="BT25"/>
  <c r="BS25"/>
  <c r="BR25"/>
  <c r="BQ25"/>
  <c r="BP25"/>
  <c r="BO25"/>
  <c r="BN25"/>
  <c r="E25"/>
  <c r="E258" s="1"/>
  <c r="D25"/>
  <c r="D258" s="1"/>
  <c r="C25"/>
  <c r="C258" s="1"/>
  <c r="B25"/>
  <c r="B258" s="1"/>
  <c r="A25"/>
  <c r="A258" s="1"/>
  <c r="DU24"/>
  <c r="DT24"/>
  <c r="DS24"/>
  <c r="DR24"/>
  <c r="DQ24"/>
  <c r="DP24"/>
  <c r="DO24"/>
  <c r="DN24"/>
  <c r="DM24"/>
  <c r="DL24"/>
  <c r="DK24"/>
  <c r="DJ24"/>
  <c r="DI24"/>
  <c r="DH24"/>
  <c r="DG24"/>
  <c r="DF24"/>
  <c r="DE24"/>
  <c r="DD24"/>
  <c r="DC24"/>
  <c r="DB24"/>
  <c r="DA24"/>
  <c r="CZ24"/>
  <c r="CY24"/>
  <c r="CX24"/>
  <c r="CW24"/>
  <c r="CV24"/>
  <c r="CU24"/>
  <c r="CT24"/>
  <c r="CS24"/>
  <c r="CR24"/>
  <c r="CQ24"/>
  <c r="CP24"/>
  <c r="CO24"/>
  <c r="CN24"/>
  <c r="CM24"/>
  <c r="CL24"/>
  <c r="CK24"/>
  <c r="CJ24"/>
  <c r="CI24"/>
  <c r="CH24"/>
  <c r="CG24"/>
  <c r="CF24"/>
  <c r="CE24"/>
  <c r="CD24"/>
  <c r="CC24"/>
  <c r="CB24"/>
  <c r="CA24"/>
  <c r="BZ24"/>
  <c r="BY24"/>
  <c r="BX24"/>
  <c r="BW24"/>
  <c r="BV24"/>
  <c r="BU24"/>
  <c r="BT24"/>
  <c r="BS24"/>
  <c r="BR24"/>
  <c r="BQ24"/>
  <c r="BP24"/>
  <c r="BO24"/>
  <c r="BN24"/>
  <c r="E24"/>
  <c r="E257" s="1"/>
  <c r="D24"/>
  <c r="D257" s="1"/>
  <c r="C24"/>
  <c r="C257" s="1"/>
  <c r="B24"/>
  <c r="B257" s="1"/>
  <c r="A24"/>
  <c r="A257" s="1"/>
  <c r="DU23"/>
  <c r="DT23"/>
  <c r="DS23"/>
  <c r="DR23"/>
  <c r="DQ23"/>
  <c r="DP23"/>
  <c r="DO23"/>
  <c r="DN23"/>
  <c r="DM23"/>
  <c r="DL23"/>
  <c r="DK23"/>
  <c r="DJ23"/>
  <c r="DI23"/>
  <c r="DH23"/>
  <c r="DG23"/>
  <c r="DF23"/>
  <c r="DE23"/>
  <c r="DD23"/>
  <c r="DC23"/>
  <c r="DB23"/>
  <c r="DA23"/>
  <c r="CZ23"/>
  <c r="CY23"/>
  <c r="CX23"/>
  <c r="CW23"/>
  <c r="CV23"/>
  <c r="CU23"/>
  <c r="CT23"/>
  <c r="CS23"/>
  <c r="CR23"/>
  <c r="CQ23"/>
  <c r="CP23"/>
  <c r="CO23"/>
  <c r="CN23"/>
  <c r="CM23"/>
  <c r="CL23"/>
  <c r="CK23"/>
  <c r="CJ23"/>
  <c r="CI23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E23"/>
  <c r="E256" s="1"/>
  <c r="D23"/>
  <c r="D256" s="1"/>
  <c r="C23"/>
  <c r="C256" s="1"/>
  <c r="B23"/>
  <c r="B256" s="1"/>
  <c r="A23"/>
  <c r="A256" s="1"/>
  <c r="DU22"/>
  <c r="DT22"/>
  <c r="DS22"/>
  <c r="DR22"/>
  <c r="DQ22"/>
  <c r="DP22"/>
  <c r="DO22"/>
  <c r="DN22"/>
  <c r="DM22"/>
  <c r="DL22"/>
  <c r="DK22"/>
  <c r="DJ22"/>
  <c r="DI22"/>
  <c r="DH22"/>
  <c r="DG22"/>
  <c r="DF22"/>
  <c r="DE22"/>
  <c r="DD22"/>
  <c r="DC22"/>
  <c r="DB22"/>
  <c r="DA22"/>
  <c r="CZ22"/>
  <c r="CY22"/>
  <c r="CX22"/>
  <c r="CW22"/>
  <c r="CV22"/>
  <c r="CU22"/>
  <c r="CT22"/>
  <c r="CS22"/>
  <c r="CR22"/>
  <c r="CQ22"/>
  <c r="CP22"/>
  <c r="CO22"/>
  <c r="CN22"/>
  <c r="CM22"/>
  <c r="CL22"/>
  <c r="CK22"/>
  <c r="CJ22"/>
  <c r="CI22"/>
  <c r="CH22"/>
  <c r="CG22"/>
  <c r="CF22"/>
  <c r="CE22"/>
  <c r="CD22"/>
  <c r="CC22"/>
  <c r="CB22"/>
  <c r="CA22"/>
  <c r="BZ22"/>
  <c r="BY22"/>
  <c r="BX22"/>
  <c r="BW22"/>
  <c r="BV22"/>
  <c r="BU22"/>
  <c r="BT22"/>
  <c r="BS22"/>
  <c r="BR22"/>
  <c r="BQ22"/>
  <c r="BP22"/>
  <c r="BO22"/>
  <c r="BN22"/>
  <c r="E22"/>
  <c r="E255" s="1"/>
  <c r="D22"/>
  <c r="D255" s="1"/>
  <c r="C22"/>
  <c r="C255" s="1"/>
  <c r="B22"/>
  <c r="B255" s="1"/>
  <c r="A22"/>
  <c r="A255" s="1"/>
  <c r="DU21"/>
  <c r="DT21"/>
  <c r="DS21"/>
  <c r="DR21"/>
  <c r="DQ21"/>
  <c r="DP21"/>
  <c r="DO21"/>
  <c r="DN21"/>
  <c r="DM21"/>
  <c r="DL21"/>
  <c r="DK21"/>
  <c r="DJ21"/>
  <c r="DI21"/>
  <c r="DH21"/>
  <c r="DG21"/>
  <c r="DF21"/>
  <c r="DE21"/>
  <c r="DD21"/>
  <c r="DC21"/>
  <c r="DB21"/>
  <c r="DA21"/>
  <c r="CZ21"/>
  <c r="CY21"/>
  <c r="CX21"/>
  <c r="CW21"/>
  <c r="CV21"/>
  <c r="CU21"/>
  <c r="CT21"/>
  <c r="CS21"/>
  <c r="CR21"/>
  <c r="CQ21"/>
  <c r="CP21"/>
  <c r="CO21"/>
  <c r="CN21"/>
  <c r="CM21"/>
  <c r="CL21"/>
  <c r="CK21"/>
  <c r="CJ21"/>
  <c r="CI21"/>
  <c r="CH21"/>
  <c r="CG21"/>
  <c r="CF21"/>
  <c r="CE21"/>
  <c r="CD21"/>
  <c r="CC21"/>
  <c r="CB21"/>
  <c r="CA21"/>
  <c r="BZ21"/>
  <c r="BY21"/>
  <c r="BX21"/>
  <c r="BW21"/>
  <c r="BV21"/>
  <c r="BU21"/>
  <c r="BT21"/>
  <c r="BS21"/>
  <c r="BR21"/>
  <c r="BQ21"/>
  <c r="BP21"/>
  <c r="BO21"/>
  <c r="BN21"/>
  <c r="E21"/>
  <c r="E254" s="1"/>
  <c r="D21"/>
  <c r="D254" s="1"/>
  <c r="C21"/>
  <c r="C254" s="1"/>
  <c r="B21"/>
  <c r="B254" s="1"/>
  <c r="A21"/>
  <c r="A254" s="1"/>
  <c r="DU20"/>
  <c r="DT20"/>
  <c r="DS20"/>
  <c r="DR20"/>
  <c r="DQ20"/>
  <c r="DP20"/>
  <c r="DO20"/>
  <c r="DN20"/>
  <c r="DM20"/>
  <c r="DL20"/>
  <c r="DK20"/>
  <c r="DJ20"/>
  <c r="DI20"/>
  <c r="DH20"/>
  <c r="DG20"/>
  <c r="DF20"/>
  <c r="DE20"/>
  <c r="DD20"/>
  <c r="DC20"/>
  <c r="DB20"/>
  <c r="DA20"/>
  <c r="CZ20"/>
  <c r="CY20"/>
  <c r="CX20"/>
  <c r="CW20"/>
  <c r="CV20"/>
  <c r="CU20"/>
  <c r="CT20"/>
  <c r="CS20"/>
  <c r="CR20"/>
  <c r="CQ20"/>
  <c r="CP20"/>
  <c r="CO20"/>
  <c r="CN20"/>
  <c r="CM20"/>
  <c r="CL20"/>
  <c r="CK20"/>
  <c r="CJ20"/>
  <c r="CI20"/>
  <c r="CH20"/>
  <c r="CG20"/>
  <c r="CF20"/>
  <c r="CE20"/>
  <c r="CD20"/>
  <c r="CC20"/>
  <c r="CB20"/>
  <c r="CA20"/>
  <c r="BZ20"/>
  <c r="BY20"/>
  <c r="BX20"/>
  <c r="BW20"/>
  <c r="BV20"/>
  <c r="BU20"/>
  <c r="BT20"/>
  <c r="BS20"/>
  <c r="BR20"/>
  <c r="BQ20"/>
  <c r="BP20"/>
  <c r="BO20"/>
  <c r="BN20"/>
  <c r="E20"/>
  <c r="E253" s="1"/>
  <c r="D20"/>
  <c r="C20"/>
  <c r="C253" s="1"/>
  <c r="B20"/>
  <c r="B253" s="1"/>
  <c r="A20"/>
  <c r="A253" s="1"/>
  <c r="DU19"/>
  <c r="DT19"/>
  <c r="DS19"/>
  <c r="DR19"/>
  <c r="DQ19"/>
  <c r="DP19"/>
  <c r="DO19"/>
  <c r="DN19"/>
  <c r="DM19"/>
  <c r="DL19"/>
  <c r="DK19"/>
  <c r="DJ19"/>
  <c r="DI19"/>
  <c r="DH19"/>
  <c r="DG19"/>
  <c r="DF19"/>
  <c r="DE19"/>
  <c r="DD19"/>
  <c r="DC19"/>
  <c r="DB19"/>
  <c r="DA19"/>
  <c r="CZ19"/>
  <c r="CY19"/>
  <c r="CX19"/>
  <c r="CW19"/>
  <c r="CV19"/>
  <c r="CU19"/>
  <c r="CT19"/>
  <c r="CS19"/>
  <c r="CR19"/>
  <c r="CQ19"/>
  <c r="CP19"/>
  <c r="CO19"/>
  <c r="CN19"/>
  <c r="CM19"/>
  <c r="CL19"/>
  <c r="CK19"/>
  <c r="CJ19"/>
  <c r="CI19"/>
  <c r="CH19"/>
  <c r="CG19"/>
  <c r="CF19"/>
  <c r="CE19"/>
  <c r="CD19"/>
  <c r="CC19"/>
  <c r="CB19"/>
  <c r="CA19"/>
  <c r="BZ19"/>
  <c r="BY19"/>
  <c r="BX19"/>
  <c r="BW19"/>
  <c r="BV19"/>
  <c r="BU19"/>
  <c r="BT19"/>
  <c r="BS19"/>
  <c r="BR19"/>
  <c r="BQ19"/>
  <c r="BP19"/>
  <c r="BO19"/>
  <c r="BN19"/>
  <c r="E19"/>
  <c r="E252" s="1"/>
  <c r="D19"/>
  <c r="D252" s="1"/>
  <c r="C19"/>
  <c r="C252" s="1"/>
  <c r="B19"/>
  <c r="B252" s="1"/>
  <c r="A19"/>
  <c r="A252" s="1"/>
  <c r="DU18"/>
  <c r="DT18"/>
  <c r="DS18"/>
  <c r="DR18"/>
  <c r="DQ18"/>
  <c r="DP18"/>
  <c r="DO18"/>
  <c r="DN18"/>
  <c r="DM18"/>
  <c r="DL18"/>
  <c r="DK18"/>
  <c r="DJ18"/>
  <c r="DI18"/>
  <c r="DH18"/>
  <c r="DG18"/>
  <c r="DF18"/>
  <c r="DE18"/>
  <c r="DD18"/>
  <c r="DC18"/>
  <c r="DB18"/>
  <c r="DA18"/>
  <c r="CZ18"/>
  <c r="CY18"/>
  <c r="CX18"/>
  <c r="CW18"/>
  <c r="CV18"/>
  <c r="CU18"/>
  <c r="CT18"/>
  <c r="CS18"/>
  <c r="CR18"/>
  <c r="CQ18"/>
  <c r="CP18"/>
  <c r="CO18"/>
  <c r="CN18"/>
  <c r="CM18"/>
  <c r="CL18"/>
  <c r="CK18"/>
  <c r="CJ18"/>
  <c r="CI18"/>
  <c r="CH18"/>
  <c r="CG18"/>
  <c r="CF18"/>
  <c r="CE18"/>
  <c r="CD18"/>
  <c r="CC18"/>
  <c r="CB18"/>
  <c r="CA18"/>
  <c r="BZ18"/>
  <c r="BY18"/>
  <c r="BX18"/>
  <c r="BW18"/>
  <c r="BV18"/>
  <c r="BU18"/>
  <c r="BT18"/>
  <c r="BS18"/>
  <c r="BR18"/>
  <c r="BQ18"/>
  <c r="BP18"/>
  <c r="BO18"/>
  <c r="BN18"/>
  <c r="E18"/>
  <c r="E251" s="1"/>
  <c r="D18"/>
  <c r="D251" s="1"/>
  <c r="C18"/>
  <c r="C251" s="1"/>
  <c r="B18"/>
  <c r="B251" s="1"/>
  <c r="A18"/>
  <c r="A251" s="1"/>
  <c r="DU17"/>
  <c r="DT17"/>
  <c r="DS17"/>
  <c r="DR17"/>
  <c r="DQ17"/>
  <c r="DP17"/>
  <c r="DO17"/>
  <c r="DN17"/>
  <c r="DM17"/>
  <c r="DL17"/>
  <c r="DK17"/>
  <c r="DJ17"/>
  <c r="DI17"/>
  <c r="DH17"/>
  <c r="DG17"/>
  <c r="DF17"/>
  <c r="DE17"/>
  <c r="DD17"/>
  <c r="DC17"/>
  <c r="DB17"/>
  <c r="DA17"/>
  <c r="CZ17"/>
  <c r="CY17"/>
  <c r="CX17"/>
  <c r="CW17"/>
  <c r="CV17"/>
  <c r="CU17"/>
  <c r="CT17"/>
  <c r="CS17"/>
  <c r="CR17"/>
  <c r="CQ17"/>
  <c r="CP17"/>
  <c r="CO17"/>
  <c r="CN17"/>
  <c r="CM17"/>
  <c r="CL17"/>
  <c r="CK17"/>
  <c r="CJ17"/>
  <c r="CI17"/>
  <c r="CH17"/>
  <c r="CG17"/>
  <c r="CF17"/>
  <c r="CE17"/>
  <c r="CD17"/>
  <c r="CC17"/>
  <c r="CB17"/>
  <c r="CA17"/>
  <c r="BZ17"/>
  <c r="BY17"/>
  <c r="BX17"/>
  <c r="BW17"/>
  <c r="BV17"/>
  <c r="BU17"/>
  <c r="BT17"/>
  <c r="BS17"/>
  <c r="BR17"/>
  <c r="BQ17"/>
  <c r="BP17"/>
  <c r="BO17"/>
  <c r="BN17"/>
  <c r="E17"/>
  <c r="E250" s="1"/>
  <c r="D17"/>
  <c r="D250" s="1"/>
  <c r="C17"/>
  <c r="C250" s="1"/>
  <c r="B17"/>
  <c r="B250" s="1"/>
  <c r="A17"/>
  <c r="A250" s="1"/>
  <c r="DU16"/>
  <c r="DT16"/>
  <c r="DS16"/>
  <c r="DR16"/>
  <c r="DQ16"/>
  <c r="DP16"/>
  <c r="DO16"/>
  <c r="DN16"/>
  <c r="DM16"/>
  <c r="DL16"/>
  <c r="DK16"/>
  <c r="DJ16"/>
  <c r="DI16"/>
  <c r="DH16"/>
  <c r="DG16"/>
  <c r="DF16"/>
  <c r="DE16"/>
  <c r="DD16"/>
  <c r="DC16"/>
  <c r="DB16"/>
  <c r="DA16"/>
  <c r="CZ16"/>
  <c r="CY16"/>
  <c r="CX16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E16"/>
  <c r="E249" s="1"/>
  <c r="D16"/>
  <c r="D249" s="1"/>
  <c r="C16"/>
  <c r="C249" s="1"/>
  <c r="B16"/>
  <c r="B249" s="1"/>
  <c r="A16"/>
  <c r="A249" s="1"/>
  <c r="DU15"/>
  <c r="DT15"/>
  <c r="DS15"/>
  <c r="DR15"/>
  <c r="DQ15"/>
  <c r="DP15"/>
  <c r="DO15"/>
  <c r="DN15"/>
  <c r="DM15"/>
  <c r="DL15"/>
  <c r="DK15"/>
  <c r="DJ15"/>
  <c r="DI15"/>
  <c r="DH15"/>
  <c r="DG15"/>
  <c r="DF15"/>
  <c r="DE15"/>
  <c r="DD15"/>
  <c r="DC15"/>
  <c r="DB15"/>
  <c r="DA15"/>
  <c r="CZ15"/>
  <c r="CY15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E15"/>
  <c r="E248" s="1"/>
  <c r="D15"/>
  <c r="D248" s="1"/>
  <c r="C15"/>
  <c r="C248" s="1"/>
  <c r="B15"/>
  <c r="B248" s="1"/>
  <c r="A15"/>
  <c r="A248" s="1"/>
  <c r="DU14"/>
  <c r="DT14"/>
  <c r="DS14"/>
  <c r="DR14"/>
  <c r="DQ14"/>
  <c r="DP14"/>
  <c r="DO14"/>
  <c r="DN14"/>
  <c r="DM14"/>
  <c r="DL14"/>
  <c r="DK14"/>
  <c r="DJ14"/>
  <c r="DI14"/>
  <c r="DH14"/>
  <c r="DG14"/>
  <c r="DF14"/>
  <c r="DE14"/>
  <c r="DD14"/>
  <c r="DC14"/>
  <c r="DB14"/>
  <c r="DA14"/>
  <c r="CZ14"/>
  <c r="CY14"/>
  <c r="CX14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E14"/>
  <c r="E247" s="1"/>
  <c r="D14"/>
  <c r="D247" s="1"/>
  <c r="C14"/>
  <c r="C247" s="1"/>
  <c r="B14"/>
  <c r="B247" s="1"/>
  <c r="A14"/>
  <c r="A247" s="1"/>
  <c r="DU13"/>
  <c r="DT13"/>
  <c r="DS13"/>
  <c r="DR13"/>
  <c r="DQ13"/>
  <c r="DP13"/>
  <c r="DO13"/>
  <c r="DN13"/>
  <c r="DM13"/>
  <c r="DL13"/>
  <c r="DK13"/>
  <c r="DJ13"/>
  <c r="DI13"/>
  <c r="DH13"/>
  <c r="DG13"/>
  <c r="DF13"/>
  <c r="DE13"/>
  <c r="DD13"/>
  <c r="DC13"/>
  <c r="DB13"/>
  <c r="DA13"/>
  <c r="CZ13"/>
  <c r="CY13"/>
  <c r="CX13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E13"/>
  <c r="E246" s="1"/>
  <c r="D13"/>
  <c r="D246" s="1"/>
  <c r="C13"/>
  <c r="C246" s="1"/>
  <c r="B13"/>
  <c r="B246" s="1"/>
  <c r="A13"/>
  <c r="DU12"/>
  <c r="DT12"/>
  <c r="DS12"/>
  <c r="DR12"/>
  <c r="DQ12"/>
  <c r="DP12"/>
  <c r="DO12"/>
  <c r="DN12"/>
  <c r="DM12"/>
  <c r="DL12"/>
  <c r="DK12"/>
  <c r="DJ12"/>
  <c r="DI12"/>
  <c r="DH12"/>
  <c r="DG12"/>
  <c r="DF12"/>
  <c r="DE12"/>
  <c r="DD12"/>
  <c r="DC12"/>
  <c r="DB12"/>
  <c r="DA12"/>
  <c r="CZ12"/>
  <c r="CY12"/>
  <c r="CX12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E12"/>
  <c r="E245" s="1"/>
  <c r="D12"/>
  <c r="C12"/>
  <c r="C245" s="1"/>
  <c r="B12"/>
  <c r="B245" s="1"/>
  <c r="A12"/>
  <c r="A245" s="1"/>
  <c r="DU11"/>
  <c r="DT11"/>
  <c r="DS11"/>
  <c r="DR11"/>
  <c r="DQ11"/>
  <c r="DP11"/>
  <c r="DO11"/>
  <c r="DN11"/>
  <c r="DM11"/>
  <c r="DL11"/>
  <c r="DK11"/>
  <c r="DJ11"/>
  <c r="DI11"/>
  <c r="DH11"/>
  <c r="DG11"/>
  <c r="DF11"/>
  <c r="DE11"/>
  <c r="DD11"/>
  <c r="DC11"/>
  <c r="DB11"/>
  <c r="DA11"/>
  <c r="CZ11"/>
  <c r="CY11"/>
  <c r="CX11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E11"/>
  <c r="E244" s="1"/>
  <c r="D11"/>
  <c r="D244" s="1"/>
  <c r="C11"/>
  <c r="C244" s="1"/>
  <c r="B11"/>
  <c r="A11"/>
  <c r="A244" s="1"/>
  <c r="DU10"/>
  <c r="DT10"/>
  <c r="DS10"/>
  <c r="DR10"/>
  <c r="DQ10"/>
  <c r="DP10"/>
  <c r="DO10"/>
  <c r="DN10"/>
  <c r="DM10"/>
  <c r="DL10"/>
  <c r="DK10"/>
  <c r="DJ10"/>
  <c r="DI10"/>
  <c r="DH10"/>
  <c r="DG10"/>
  <c r="DF10"/>
  <c r="DE10"/>
  <c r="DD10"/>
  <c r="DC10"/>
  <c r="DB10"/>
  <c r="DA10"/>
  <c r="CZ10"/>
  <c r="CY10"/>
  <c r="CX10"/>
  <c r="CW10"/>
  <c r="CV10"/>
  <c r="CU10"/>
  <c r="CT10"/>
  <c r="CS10"/>
  <c r="CR10"/>
  <c r="CQ10"/>
  <c r="CP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E10"/>
  <c r="E243" s="1"/>
  <c r="D10"/>
  <c r="C10"/>
  <c r="C243" s="1"/>
  <c r="B10"/>
  <c r="B243" s="1"/>
  <c r="A10"/>
  <c r="A243" s="1"/>
  <c r="DU9"/>
  <c r="DT9"/>
  <c r="DS9"/>
  <c r="DR9"/>
  <c r="DQ9"/>
  <c r="DP9"/>
  <c r="DO9"/>
  <c r="DN9"/>
  <c r="DM9"/>
  <c r="DL9"/>
  <c r="DK9"/>
  <c r="DJ9"/>
  <c r="DI9"/>
  <c r="DH9"/>
  <c r="DG9"/>
  <c r="DF9"/>
  <c r="DE9"/>
  <c r="DD9"/>
  <c r="DC9"/>
  <c r="DB9"/>
  <c r="DA9"/>
  <c r="CZ9"/>
  <c r="CY9"/>
  <c r="CX9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E9"/>
  <c r="E242" s="1"/>
  <c r="D9"/>
  <c r="D242" s="1"/>
  <c r="C9"/>
  <c r="C242" s="1"/>
  <c r="B9"/>
  <c r="B242" s="1"/>
  <c r="A9"/>
  <c r="A242" s="1"/>
  <c r="DU8"/>
  <c r="DT8"/>
  <c r="DS8"/>
  <c r="DR8"/>
  <c r="DQ8"/>
  <c r="DP8"/>
  <c r="DO8"/>
  <c r="DN8"/>
  <c r="DM8"/>
  <c r="DL8"/>
  <c r="DK8"/>
  <c r="DJ8"/>
  <c r="DI8"/>
  <c r="DH8"/>
  <c r="DG8"/>
  <c r="DF8"/>
  <c r="DE8"/>
  <c r="DD8"/>
  <c r="DC8"/>
  <c r="DB8"/>
  <c r="DA8"/>
  <c r="CZ8"/>
  <c r="CY8"/>
  <c r="CX8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E8"/>
  <c r="E241" s="1"/>
  <c r="D8"/>
  <c r="C8"/>
  <c r="C241" s="1"/>
  <c r="B8"/>
  <c r="B241" s="1"/>
  <c r="A8"/>
  <c r="A241" s="1"/>
  <c r="DU7"/>
  <c r="DT7"/>
  <c r="DS7"/>
  <c r="DR7"/>
  <c r="DQ7"/>
  <c r="DP7"/>
  <c r="DO7"/>
  <c r="DN7"/>
  <c r="DM7"/>
  <c r="DL7"/>
  <c r="DK7"/>
  <c r="DJ7"/>
  <c r="DI7"/>
  <c r="DH7"/>
  <c r="DG7"/>
  <c r="DF7"/>
  <c r="DE7"/>
  <c r="DD7"/>
  <c r="DC7"/>
  <c r="DB7"/>
  <c r="DA7"/>
  <c r="CZ7"/>
  <c r="CY7"/>
  <c r="CX7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E7"/>
  <c r="E240" s="1"/>
  <c r="D7"/>
  <c r="D240" s="1"/>
  <c r="C7"/>
  <c r="C240" s="1"/>
  <c r="B7"/>
  <c r="B240" s="1"/>
  <c r="A7"/>
  <c r="A240" s="1"/>
  <c r="DU6"/>
  <c r="DT6"/>
  <c r="DS6"/>
  <c r="DR6"/>
  <c r="DQ6"/>
  <c r="DP6"/>
  <c r="DO6"/>
  <c r="DN6"/>
  <c r="DM6"/>
  <c r="DL6"/>
  <c r="DK6"/>
  <c r="DJ6"/>
  <c r="DI6"/>
  <c r="DH6"/>
  <c r="DG6"/>
  <c r="DF6"/>
  <c r="DE6"/>
  <c r="DD6"/>
  <c r="DC6"/>
  <c r="DB6"/>
  <c r="DA6"/>
  <c r="CZ6"/>
  <c r="CY6"/>
  <c r="CX6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E6"/>
  <c r="E239" s="1"/>
  <c r="D6"/>
  <c r="D239" s="1"/>
  <c r="C6"/>
  <c r="C239" s="1"/>
  <c r="B6"/>
  <c r="B239" s="1"/>
  <c r="A6"/>
  <c r="A239" s="1"/>
  <c r="DU5"/>
  <c r="DT5"/>
  <c r="DS5"/>
  <c r="DR5"/>
  <c r="DQ5"/>
  <c r="DP5"/>
  <c r="DO5"/>
  <c r="DN5"/>
  <c r="DM5"/>
  <c r="DL5"/>
  <c r="DK5"/>
  <c r="DJ5"/>
  <c r="DI5"/>
  <c r="DH5"/>
  <c r="DG5"/>
  <c r="DF5"/>
  <c r="DE5"/>
  <c r="DD5"/>
  <c r="DC5"/>
  <c r="DB5"/>
  <c r="DA5"/>
  <c r="CZ5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E5"/>
  <c r="E238" s="1"/>
  <c r="D5"/>
  <c r="D238" s="1"/>
  <c r="C5"/>
  <c r="C238" s="1"/>
  <c r="B5"/>
  <c r="B238" s="1"/>
  <c r="A5"/>
  <c r="A238" s="1"/>
  <c r="DU4"/>
  <c r="DT4"/>
  <c r="DS4"/>
  <c r="DR4"/>
  <c r="DQ4"/>
  <c r="DP4"/>
  <c r="DO4"/>
  <c r="DN4"/>
  <c r="DM4"/>
  <c r="DL4"/>
  <c r="DK4"/>
  <c r="DJ4"/>
  <c r="DI4"/>
  <c r="DH4"/>
  <c r="DG4"/>
  <c r="DF4"/>
  <c r="DE4"/>
  <c r="DD4"/>
  <c r="DC4"/>
  <c r="DB4"/>
  <c r="DA4"/>
  <c r="CZ4"/>
  <c r="CY4"/>
  <c r="CX4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E4"/>
  <c r="E237" s="1"/>
  <c r="D4"/>
  <c r="C4"/>
  <c r="C237" s="1"/>
  <c r="B4"/>
  <c r="B237" s="1"/>
  <c r="A4"/>
  <c r="A237" s="1"/>
  <c r="DU3"/>
  <c r="DT3"/>
  <c r="DS3"/>
  <c r="DR3"/>
  <c r="DQ3"/>
  <c r="DP3"/>
  <c r="DO3"/>
  <c r="DN3"/>
  <c r="DM3"/>
  <c r="DL3"/>
  <c r="DK3"/>
  <c r="DJ3"/>
  <c r="DI3"/>
  <c r="DH3"/>
  <c r="DG3"/>
  <c r="DF3"/>
  <c r="DE3"/>
  <c r="DD3"/>
  <c r="DC3"/>
  <c r="DB3"/>
  <c r="DA3"/>
  <c r="CZ3"/>
  <c r="CY3"/>
  <c r="CX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E3"/>
  <c r="E3" i="2" s="1"/>
  <c r="B3" i="3"/>
  <c r="A3"/>
  <c r="E2"/>
  <c r="D2"/>
  <c r="C2"/>
  <c r="B2"/>
  <c r="A2"/>
  <c r="E167" i="2"/>
  <c r="D167"/>
  <c r="C167"/>
  <c r="C166"/>
  <c r="B166"/>
  <c r="A166"/>
  <c r="E165"/>
  <c r="A165"/>
  <c r="E164"/>
  <c r="D164"/>
  <c r="C164"/>
  <c r="B164"/>
  <c r="A164"/>
  <c r="C163"/>
  <c r="B163"/>
  <c r="A163"/>
  <c r="E162"/>
  <c r="D162"/>
  <c r="C162"/>
  <c r="B162"/>
  <c r="E161"/>
  <c r="D161"/>
  <c r="C161"/>
  <c r="A161"/>
  <c r="E160"/>
  <c r="D160"/>
  <c r="A160"/>
  <c r="E159"/>
  <c r="C159"/>
  <c r="C158"/>
  <c r="B158"/>
  <c r="A158"/>
  <c r="E157"/>
  <c r="D157"/>
  <c r="C157"/>
  <c r="D156"/>
  <c r="C156"/>
  <c r="B156"/>
  <c r="E155"/>
  <c r="A155"/>
  <c r="D154"/>
  <c r="C153"/>
  <c r="B153"/>
  <c r="A153"/>
  <c r="B152"/>
  <c r="A152"/>
  <c r="E151"/>
  <c r="D151"/>
  <c r="C151"/>
  <c r="B151"/>
  <c r="A151"/>
  <c r="D150"/>
  <c r="C150"/>
  <c r="B150"/>
  <c r="A150"/>
  <c r="E149"/>
  <c r="D149"/>
  <c r="C149"/>
  <c r="A149"/>
  <c r="D148"/>
  <c r="C148"/>
  <c r="B148"/>
  <c r="A148"/>
  <c r="C147"/>
  <c r="B147"/>
  <c r="A147"/>
  <c r="E146"/>
  <c r="D146"/>
  <c r="C146"/>
  <c r="B146"/>
  <c r="E145"/>
  <c r="D145"/>
  <c r="C145"/>
  <c r="A145"/>
  <c r="E144"/>
  <c r="D144"/>
  <c r="E143"/>
  <c r="C143"/>
  <c r="B142"/>
  <c r="A142"/>
  <c r="E141"/>
  <c r="C141"/>
  <c r="B141"/>
  <c r="A141"/>
  <c r="C140"/>
  <c r="B140"/>
  <c r="E139"/>
  <c r="D139"/>
  <c r="C139"/>
  <c r="B139"/>
  <c r="A139"/>
  <c r="D138"/>
  <c r="C138"/>
  <c r="B138"/>
  <c r="E137"/>
  <c r="D137"/>
  <c r="C137"/>
  <c r="B137"/>
  <c r="A137"/>
  <c r="E136"/>
  <c r="D136"/>
  <c r="C136"/>
  <c r="B136"/>
  <c r="A136"/>
  <c r="D135"/>
  <c r="C135"/>
  <c r="B135"/>
  <c r="A135"/>
  <c r="D134"/>
  <c r="C134"/>
  <c r="E133"/>
  <c r="D133"/>
  <c r="C133"/>
  <c r="D132"/>
  <c r="C132"/>
  <c r="B132"/>
  <c r="E131"/>
  <c r="D131"/>
  <c r="C131"/>
  <c r="E130"/>
  <c r="D130"/>
  <c r="C130"/>
  <c r="B130"/>
  <c r="E129"/>
  <c r="D129"/>
  <c r="C129"/>
  <c r="B129"/>
  <c r="A129"/>
  <c r="E128"/>
  <c r="D128"/>
  <c r="C128"/>
  <c r="B128"/>
  <c r="A128"/>
  <c r="D127"/>
  <c r="C127"/>
  <c r="B127"/>
  <c r="A127"/>
  <c r="D126"/>
  <c r="C126"/>
  <c r="E125"/>
  <c r="D125"/>
  <c r="C125"/>
  <c r="D124"/>
  <c r="C124"/>
  <c r="B124"/>
  <c r="E123"/>
  <c r="D123"/>
  <c r="C123"/>
  <c r="E122"/>
  <c r="D122"/>
  <c r="C122"/>
  <c r="B122"/>
  <c r="E121"/>
  <c r="D121"/>
  <c r="C121"/>
  <c r="B121"/>
  <c r="A121"/>
  <c r="E120"/>
  <c r="D120"/>
  <c r="C120"/>
  <c r="B120"/>
  <c r="A120"/>
  <c r="D119"/>
  <c r="C119"/>
  <c r="B119"/>
  <c r="A119"/>
  <c r="D118"/>
  <c r="C118"/>
  <c r="E117"/>
  <c r="D117"/>
  <c r="C117"/>
  <c r="D116"/>
  <c r="C116"/>
  <c r="B116"/>
  <c r="E115"/>
  <c r="D115"/>
  <c r="C115"/>
  <c r="E114"/>
  <c r="D114"/>
  <c r="C114"/>
  <c r="B114"/>
  <c r="E113"/>
  <c r="D113"/>
  <c r="C113"/>
  <c r="B113"/>
  <c r="A113"/>
  <c r="E112"/>
  <c r="D112"/>
  <c r="C112"/>
  <c r="A112"/>
  <c r="D111"/>
  <c r="C111"/>
  <c r="B111"/>
  <c r="A111"/>
  <c r="E110"/>
  <c r="D110"/>
  <c r="C110"/>
  <c r="D109"/>
  <c r="C109"/>
  <c r="B109"/>
  <c r="A109"/>
  <c r="D108"/>
  <c r="C108"/>
  <c r="A108"/>
  <c r="E107"/>
  <c r="D107"/>
  <c r="C107"/>
  <c r="E106"/>
  <c r="D106"/>
  <c r="C106"/>
  <c r="B106"/>
  <c r="E105"/>
  <c r="D105"/>
  <c r="C105"/>
  <c r="B105"/>
  <c r="A105"/>
  <c r="E104"/>
  <c r="D104"/>
  <c r="C104"/>
  <c r="B104"/>
  <c r="A104"/>
  <c r="D103"/>
  <c r="C103"/>
  <c r="B103"/>
  <c r="A103"/>
  <c r="E102"/>
  <c r="D102"/>
  <c r="C102"/>
  <c r="D101"/>
  <c r="C101"/>
  <c r="B101"/>
  <c r="A101"/>
  <c r="D100"/>
  <c r="C100"/>
  <c r="A100"/>
  <c r="E99"/>
  <c r="D99"/>
  <c r="C99"/>
  <c r="E98"/>
  <c r="D98"/>
  <c r="C98"/>
  <c r="B98"/>
  <c r="A98"/>
  <c r="E97"/>
  <c r="D97"/>
  <c r="C97"/>
  <c r="B97"/>
  <c r="A97"/>
  <c r="E96"/>
  <c r="D96"/>
  <c r="C96"/>
  <c r="B96"/>
  <c r="A96"/>
  <c r="E95"/>
  <c r="D95"/>
  <c r="C95"/>
  <c r="B95"/>
  <c r="A95"/>
  <c r="D94"/>
  <c r="C94"/>
  <c r="B94"/>
  <c r="A94"/>
  <c r="E93"/>
  <c r="D93"/>
  <c r="C93"/>
  <c r="B93"/>
  <c r="A93"/>
  <c r="E92"/>
  <c r="D92"/>
  <c r="C92"/>
  <c r="B92"/>
  <c r="A92"/>
  <c r="E91"/>
  <c r="D91"/>
  <c r="C91"/>
  <c r="B91"/>
  <c r="A91"/>
  <c r="E90"/>
  <c r="D90"/>
  <c r="C90"/>
  <c r="B90"/>
  <c r="A90"/>
  <c r="E89"/>
  <c r="D89"/>
  <c r="C89"/>
  <c r="A89"/>
  <c r="E88"/>
  <c r="D88"/>
  <c r="C88"/>
  <c r="B88"/>
  <c r="A88"/>
  <c r="E87"/>
  <c r="D87"/>
  <c r="C87"/>
  <c r="B87"/>
  <c r="A87"/>
  <c r="E86"/>
  <c r="D86"/>
  <c r="C86"/>
  <c r="B86"/>
  <c r="A86"/>
  <c r="E85"/>
  <c r="D85"/>
  <c r="C85"/>
  <c r="B85"/>
  <c r="A85"/>
  <c r="E84"/>
  <c r="D84"/>
  <c r="C84"/>
  <c r="B84"/>
  <c r="A84"/>
  <c r="D83"/>
  <c r="C83"/>
  <c r="B83"/>
  <c r="A83"/>
  <c r="E82"/>
  <c r="D82"/>
  <c r="C82"/>
  <c r="B82"/>
  <c r="A82"/>
  <c r="E81"/>
  <c r="D81"/>
  <c r="C81"/>
  <c r="B81"/>
  <c r="A81"/>
  <c r="E80"/>
  <c r="D80"/>
  <c r="C80"/>
  <c r="B80"/>
  <c r="A80"/>
  <c r="E79"/>
  <c r="D79"/>
  <c r="C79"/>
  <c r="B79"/>
  <c r="A79"/>
  <c r="E78"/>
  <c r="D78"/>
  <c r="C78"/>
  <c r="B78"/>
  <c r="A78"/>
  <c r="E77"/>
  <c r="D77"/>
  <c r="C77"/>
  <c r="B77"/>
  <c r="A77"/>
  <c r="E76"/>
  <c r="D76"/>
  <c r="C76"/>
  <c r="B76"/>
  <c r="A76"/>
  <c r="E75"/>
  <c r="D75"/>
  <c r="C75"/>
  <c r="B75"/>
  <c r="A75"/>
  <c r="E74"/>
  <c r="D74"/>
  <c r="C74"/>
  <c r="B74"/>
  <c r="A74"/>
  <c r="E73"/>
  <c r="D73"/>
  <c r="C73"/>
  <c r="B73"/>
  <c r="A73"/>
  <c r="E72"/>
  <c r="D72"/>
  <c r="B72"/>
  <c r="A72"/>
  <c r="E71"/>
  <c r="D71"/>
  <c r="C71"/>
  <c r="B71"/>
  <c r="A71"/>
  <c r="E70"/>
  <c r="D70"/>
  <c r="C70"/>
  <c r="B70"/>
  <c r="A70"/>
  <c r="E69"/>
  <c r="D69"/>
  <c r="B69"/>
  <c r="A69"/>
  <c r="E68"/>
  <c r="D68"/>
  <c r="C68"/>
  <c r="B68"/>
  <c r="A68"/>
  <c r="E67"/>
  <c r="D67"/>
  <c r="C67"/>
  <c r="B67"/>
  <c r="A67"/>
  <c r="E66"/>
  <c r="D66"/>
  <c r="C66"/>
  <c r="B66"/>
  <c r="A66"/>
  <c r="E65"/>
  <c r="D65"/>
  <c r="C65"/>
  <c r="B65"/>
  <c r="A65"/>
  <c r="E64"/>
  <c r="D64"/>
  <c r="C64"/>
  <c r="B64"/>
  <c r="A64"/>
  <c r="E63"/>
  <c r="D63"/>
  <c r="C63"/>
  <c r="B63"/>
  <c r="A63"/>
  <c r="E62"/>
  <c r="D62"/>
  <c r="C62"/>
  <c r="B62"/>
  <c r="E61"/>
  <c r="D61"/>
  <c r="C61"/>
  <c r="B61"/>
  <c r="A61"/>
  <c r="E60"/>
  <c r="D60"/>
  <c r="C60"/>
  <c r="B60"/>
  <c r="A60"/>
  <c r="E59"/>
  <c r="D59"/>
  <c r="C59"/>
  <c r="B59"/>
  <c r="A59"/>
  <c r="E58"/>
  <c r="D58"/>
  <c r="C58"/>
  <c r="B58"/>
  <c r="E57"/>
  <c r="D57"/>
  <c r="C57"/>
  <c r="B57"/>
  <c r="A57"/>
  <c r="E56"/>
  <c r="D56"/>
  <c r="C56"/>
  <c r="B56"/>
  <c r="A56"/>
  <c r="E55"/>
  <c r="D55"/>
  <c r="C55"/>
  <c r="B55"/>
  <c r="A55"/>
  <c r="E54"/>
  <c r="D54"/>
  <c r="C54"/>
  <c r="A54"/>
  <c r="E53"/>
  <c r="D53"/>
  <c r="C53"/>
  <c r="B53"/>
  <c r="A53"/>
  <c r="E52"/>
  <c r="D52"/>
  <c r="C52"/>
  <c r="B52"/>
  <c r="A52"/>
  <c r="E51"/>
  <c r="D51"/>
  <c r="C51"/>
  <c r="B51"/>
  <c r="A51"/>
  <c r="E50"/>
  <c r="D50"/>
  <c r="C50"/>
  <c r="B50"/>
  <c r="A50"/>
  <c r="E49"/>
  <c r="D49"/>
  <c r="C49"/>
  <c r="B49"/>
  <c r="A49"/>
  <c r="E48"/>
  <c r="D48"/>
  <c r="C48"/>
  <c r="B48"/>
  <c r="A48"/>
  <c r="E47"/>
  <c r="D47"/>
  <c r="C47"/>
  <c r="B47"/>
  <c r="A47"/>
  <c r="E46"/>
  <c r="D46"/>
  <c r="C46"/>
  <c r="B46"/>
  <c r="A46"/>
  <c r="E45"/>
  <c r="D45"/>
  <c r="C45"/>
  <c r="B45"/>
  <c r="A45"/>
  <c r="E44"/>
  <c r="D44"/>
  <c r="C44"/>
  <c r="B44"/>
  <c r="A44"/>
  <c r="E43"/>
  <c r="D43"/>
  <c r="C43"/>
  <c r="B43"/>
  <c r="A43"/>
  <c r="E42"/>
  <c r="D42"/>
  <c r="C42"/>
  <c r="B42"/>
  <c r="A42"/>
  <c r="E41"/>
  <c r="D41"/>
  <c r="C41"/>
  <c r="B41"/>
  <c r="A41"/>
  <c r="C40"/>
  <c r="B40"/>
  <c r="A40"/>
  <c r="E39"/>
  <c r="D39"/>
  <c r="C39"/>
  <c r="B39"/>
  <c r="A39"/>
  <c r="D38"/>
  <c r="C38"/>
  <c r="B38"/>
  <c r="A38"/>
  <c r="E37"/>
  <c r="D37"/>
  <c r="C37"/>
  <c r="B37"/>
  <c r="A37"/>
  <c r="E36"/>
  <c r="D36"/>
  <c r="C36"/>
  <c r="B36"/>
  <c r="A36"/>
  <c r="E35"/>
  <c r="D35"/>
  <c r="C35"/>
  <c r="B35"/>
  <c r="A35"/>
  <c r="D34"/>
  <c r="C34"/>
  <c r="B34"/>
  <c r="A34"/>
  <c r="E33"/>
  <c r="D33"/>
  <c r="C33"/>
  <c r="B33"/>
  <c r="A33"/>
  <c r="E32"/>
  <c r="D32"/>
  <c r="C32"/>
  <c r="B32"/>
  <c r="A32"/>
  <c r="E31"/>
  <c r="D31"/>
  <c r="C31"/>
  <c r="B31"/>
  <c r="A31"/>
  <c r="E30"/>
  <c r="D30"/>
  <c r="C30"/>
  <c r="B30"/>
  <c r="E29"/>
  <c r="D29"/>
  <c r="C29"/>
  <c r="B29"/>
  <c r="A29"/>
  <c r="E28"/>
  <c r="D28"/>
  <c r="C28"/>
  <c r="B28"/>
  <c r="A28"/>
  <c r="E27"/>
  <c r="D27"/>
  <c r="C27"/>
  <c r="B27"/>
  <c r="A27"/>
  <c r="E26"/>
  <c r="D26"/>
  <c r="C26"/>
  <c r="B26"/>
  <c r="A26"/>
  <c r="E25"/>
  <c r="D25"/>
  <c r="B25"/>
  <c r="A25"/>
  <c r="E24"/>
  <c r="D24"/>
  <c r="C24"/>
  <c r="B24"/>
  <c r="A24"/>
  <c r="E23"/>
  <c r="D23"/>
  <c r="C23"/>
  <c r="B23"/>
  <c r="A23"/>
  <c r="E22"/>
  <c r="D22"/>
  <c r="C22"/>
  <c r="B22"/>
  <c r="A22"/>
  <c r="D21"/>
  <c r="C21"/>
  <c r="B21"/>
  <c r="A21"/>
  <c r="E20"/>
  <c r="C20"/>
  <c r="B20"/>
  <c r="A20"/>
  <c r="E19"/>
  <c r="D19"/>
  <c r="C19"/>
  <c r="B19"/>
  <c r="A19"/>
  <c r="E18"/>
  <c r="D18"/>
  <c r="C18"/>
  <c r="B18"/>
  <c r="A18"/>
  <c r="E17"/>
  <c r="D17"/>
  <c r="C17"/>
  <c r="B17"/>
  <c r="A17"/>
  <c r="E16"/>
  <c r="D16"/>
  <c r="C16"/>
  <c r="B16"/>
  <c r="A16"/>
  <c r="E15"/>
  <c r="D15"/>
  <c r="C15"/>
  <c r="B15"/>
  <c r="A15"/>
  <c r="E14"/>
  <c r="D14"/>
  <c r="C14"/>
  <c r="B14"/>
  <c r="A14"/>
  <c r="E13"/>
  <c r="D13"/>
  <c r="C13"/>
  <c r="B13"/>
  <c r="E12"/>
  <c r="C12"/>
  <c r="B12"/>
  <c r="A12"/>
  <c r="E11"/>
  <c r="D11"/>
  <c r="C11"/>
  <c r="A11"/>
  <c r="E10"/>
  <c r="C10"/>
  <c r="B10"/>
  <c r="A10"/>
  <c r="E9"/>
  <c r="D9"/>
  <c r="C9"/>
  <c r="B9"/>
  <c r="A9"/>
  <c r="E8"/>
  <c r="D8"/>
  <c r="C8"/>
  <c r="B8"/>
  <c r="A8"/>
  <c r="E7"/>
  <c r="D7"/>
  <c r="C7"/>
  <c r="B7"/>
  <c r="A7"/>
  <c r="E6"/>
  <c r="D6"/>
  <c r="C6"/>
  <c r="B6"/>
  <c r="A6"/>
  <c r="E5"/>
  <c r="D5"/>
  <c r="C5"/>
  <c r="B5"/>
  <c r="A5"/>
  <c r="E4"/>
  <c r="C4"/>
  <c r="B4"/>
  <c r="A4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D3"/>
  <c r="C3"/>
  <c r="B3"/>
  <c r="A3"/>
  <c r="E2"/>
  <c r="D2"/>
  <c r="C2"/>
  <c r="B2"/>
  <c r="A2"/>
  <c r="A177" i="3"/>
  <c r="D159" i="2" l="1"/>
  <c r="A143"/>
  <c r="B154"/>
  <c r="D165"/>
  <c r="E138"/>
  <c r="D140"/>
  <c r="C142"/>
  <c r="A144"/>
  <c r="E148"/>
  <c r="D153"/>
  <c r="B155"/>
  <c r="D158"/>
  <c r="B160"/>
  <c r="D166"/>
  <c r="D143"/>
  <c r="B145"/>
  <c r="E154"/>
  <c r="E312" i="3"/>
  <c r="D322"/>
  <c r="B161" i="2"/>
  <c r="C154"/>
  <c r="E147"/>
  <c r="B181" i="3"/>
  <c r="E142" i="2"/>
  <c r="C144"/>
  <c r="A146"/>
  <c r="D147"/>
  <c r="C152"/>
  <c r="A154"/>
  <c r="D155"/>
  <c r="A159"/>
  <c r="E163"/>
  <c r="C165"/>
  <c r="A138"/>
  <c r="E152"/>
  <c r="B159"/>
  <c r="D142"/>
  <c r="B144"/>
  <c r="E153"/>
  <c r="E158"/>
  <c r="C160"/>
  <c r="A162"/>
  <c r="D163"/>
  <c r="B165"/>
  <c r="E166"/>
  <c r="B244" i="3"/>
  <c r="B11" i="2"/>
  <c r="E267" i="3"/>
  <c r="E34" i="2"/>
  <c r="B285" i="3"/>
  <c r="B54" i="2"/>
  <c r="E21"/>
  <c r="E40"/>
  <c r="A246" i="3"/>
  <c r="A13" i="2"/>
  <c r="D243" i="3"/>
  <c r="D10" i="2"/>
  <c r="D253" i="3"/>
  <c r="D20" i="2"/>
  <c r="D271" i="3"/>
  <c r="D40" i="2"/>
  <c r="A291" i="3"/>
  <c r="A62" i="2"/>
  <c r="C25"/>
  <c r="D237" i="3"/>
  <c r="D4" i="2"/>
  <c r="D245" i="3"/>
  <c r="D12" i="2"/>
  <c r="A263" i="3"/>
  <c r="A30" i="2"/>
  <c r="C298" i="3"/>
  <c r="C69" i="2"/>
  <c r="C301" i="3"/>
  <c r="C72" i="2"/>
  <c r="A312" i="3"/>
  <c r="A140" i="2"/>
  <c r="A288" i="3"/>
  <c r="A58" i="2"/>
  <c r="D313" i="3"/>
  <c r="D141" i="2"/>
  <c r="F322" i="3"/>
  <c r="F326"/>
  <c r="F203"/>
  <c r="F318"/>
  <c r="F286"/>
  <c r="F321"/>
  <c r="F262"/>
  <c r="F257"/>
  <c r="C349"/>
  <c r="F196"/>
  <c r="F281"/>
  <c r="F189"/>
  <c r="F245"/>
  <c r="F229"/>
  <c r="F228"/>
  <c r="F278"/>
  <c r="F305"/>
  <c r="F221"/>
  <c r="F240"/>
  <c r="F282"/>
  <c r="C359"/>
  <c r="F220"/>
  <c r="F241"/>
  <c r="F256"/>
  <c r="F304"/>
  <c r="F204"/>
  <c r="F244"/>
  <c r="F254"/>
  <c r="F285"/>
  <c r="F316"/>
  <c r="F317"/>
  <c r="C347"/>
  <c r="C351"/>
  <c r="C357"/>
  <c r="C355"/>
  <c r="F332"/>
  <c r="F237"/>
  <c r="F302"/>
  <c r="F212"/>
  <c r="F292"/>
  <c r="F312"/>
  <c r="F309"/>
  <c r="F214"/>
  <c r="F246"/>
  <c r="F280"/>
  <c r="F210"/>
  <c r="F255"/>
  <c r="F287"/>
  <c r="F319"/>
  <c r="F217"/>
  <c r="F334"/>
  <c r="F213"/>
  <c r="F216"/>
  <c r="F275"/>
  <c r="F197"/>
  <c r="F227"/>
  <c r="F235"/>
  <c r="F303"/>
  <c r="F226"/>
  <c r="F297"/>
  <c r="F294"/>
  <c r="F252"/>
  <c r="F259"/>
  <c r="F333"/>
  <c r="F242"/>
  <c r="F328"/>
  <c r="F224"/>
  <c r="F293"/>
  <c r="F188"/>
  <c r="F320"/>
  <c r="F232"/>
  <c r="F219"/>
  <c r="F206"/>
  <c r="F202"/>
  <c r="F251"/>
  <c r="F283"/>
  <c r="F315"/>
  <c r="F209"/>
  <c r="F223"/>
  <c r="F264"/>
  <c r="F208"/>
  <c r="F313"/>
  <c r="F243"/>
  <c r="F193"/>
  <c r="F274"/>
  <c r="F325"/>
  <c r="F258"/>
  <c r="F289"/>
  <c r="F239"/>
  <c r="F199"/>
  <c r="F295"/>
  <c r="F306"/>
  <c r="F198"/>
  <c r="F192"/>
  <c r="F218"/>
  <c r="F225"/>
  <c r="F268"/>
  <c r="F329"/>
  <c r="F238"/>
  <c r="F298"/>
  <c r="F200"/>
  <c r="F190"/>
  <c r="F249"/>
  <c r="F195"/>
  <c r="F314"/>
  <c r="F194"/>
  <c r="F247"/>
  <c r="F279"/>
  <c r="F311"/>
  <c r="F201"/>
  <c r="F215"/>
  <c r="F269"/>
  <c r="F324"/>
  <c r="F250"/>
  <c r="F186"/>
  <c r="F307"/>
  <c r="F207"/>
  <c r="F265"/>
  <c r="F230"/>
  <c r="F231"/>
  <c r="F271"/>
  <c r="F185"/>
  <c r="F263"/>
  <c r="F233"/>
  <c r="F291"/>
  <c r="F300"/>
  <c r="F211"/>
  <c r="F270"/>
  <c r="F330"/>
  <c r="F260"/>
  <c r="F272"/>
  <c r="F284"/>
  <c r="F248"/>
  <c r="F277"/>
  <c r="F290"/>
  <c r="F234"/>
  <c r="F267"/>
  <c r="F299"/>
  <c r="F331"/>
  <c r="F191"/>
  <c r="F301"/>
  <c r="F222"/>
  <c r="F296"/>
  <c r="F187"/>
  <c r="F261"/>
  <c r="F273"/>
  <c r="F288"/>
  <c r="F310"/>
  <c r="F276"/>
  <c r="F253"/>
  <c r="F327"/>
  <c r="F236"/>
  <c r="F266"/>
  <c r="F308"/>
  <c r="F205"/>
  <c r="F323"/>
  <c r="B355" l="1"/>
  <c r="B357"/>
  <c r="B351"/>
  <c r="B347"/>
  <c r="AD353" s="1"/>
  <c r="AD354" s="1"/>
  <c r="B359"/>
  <c r="B349"/>
  <c r="BB361" l="1"/>
  <c r="BB362" s="1"/>
  <c r="AK353"/>
  <c r="AK354" s="1"/>
  <c r="CV2" s="1"/>
  <c r="AW353"/>
  <c r="AW354" s="1"/>
  <c r="DH2" s="1"/>
  <c r="F361"/>
  <c r="F362" s="1"/>
  <c r="K353"/>
  <c r="K354" s="1"/>
  <c r="N2" s="1"/>
  <c r="AY353"/>
  <c r="AY354" s="1"/>
  <c r="BB2" s="1"/>
  <c r="N353"/>
  <c r="N354" s="1"/>
  <c r="T361"/>
  <c r="T362" s="1"/>
  <c r="B361"/>
  <c r="B362" s="1"/>
  <c r="Y361"/>
  <c r="Y362" s="1"/>
  <c r="AF361"/>
  <c r="AF362" s="1"/>
  <c r="AE353"/>
  <c r="AE354" s="1"/>
  <c r="CP2" s="1"/>
  <c r="BE353"/>
  <c r="BE354" s="1"/>
  <c r="BH2" s="1"/>
  <c r="G361"/>
  <c r="G362" s="1"/>
  <c r="X361"/>
  <c r="X362" s="1"/>
  <c r="T353"/>
  <c r="T354" s="1"/>
  <c r="CE2" s="1"/>
  <c r="AI353"/>
  <c r="AI354" s="1"/>
  <c r="AL2" s="1"/>
  <c r="BD353"/>
  <c r="BD354" s="1"/>
  <c r="DO2" s="1"/>
  <c r="AQ361"/>
  <c r="AQ362" s="1"/>
  <c r="Z361"/>
  <c r="Z362" s="1"/>
  <c r="P361"/>
  <c r="P362" s="1"/>
  <c r="W353"/>
  <c r="W354" s="1"/>
  <c r="CH2" s="1"/>
  <c r="G353"/>
  <c r="G354" s="1"/>
  <c r="BI353"/>
  <c r="BI354" s="1"/>
  <c r="BL2" s="1"/>
  <c r="AH353"/>
  <c r="AH354" s="1"/>
  <c r="M353"/>
  <c r="M354" s="1"/>
  <c r="P2" s="1"/>
  <c r="I353"/>
  <c r="I354" s="1"/>
  <c r="BT2" s="1"/>
  <c r="P353"/>
  <c r="P354" s="1"/>
  <c r="CA2" s="1"/>
  <c r="V353"/>
  <c r="V354" s="1"/>
  <c r="Y2" s="1"/>
  <c r="BA361"/>
  <c r="BA362" s="1"/>
  <c r="J361"/>
  <c r="J362" s="1"/>
  <c r="AU361"/>
  <c r="AU362" s="1"/>
  <c r="M361"/>
  <c r="M362" s="1"/>
  <c r="K361"/>
  <c r="K362" s="1"/>
  <c r="AG361"/>
  <c r="AG362" s="1"/>
  <c r="AN361"/>
  <c r="AN362" s="1"/>
  <c r="AT361"/>
  <c r="AT362" s="1"/>
  <c r="BH353"/>
  <c r="BH354" s="1"/>
  <c r="DS2" s="1"/>
  <c r="J353"/>
  <c r="J354" s="1"/>
  <c r="M2" s="1"/>
  <c r="BA353"/>
  <c r="BA354" s="1"/>
  <c r="BD2" s="1"/>
  <c r="F353"/>
  <c r="F354" s="1"/>
  <c r="I2" s="1"/>
  <c r="AE361"/>
  <c r="AE362" s="1"/>
  <c r="AR361"/>
  <c r="AR362" s="1"/>
  <c r="Q361"/>
  <c r="Q362" s="1"/>
  <c r="AD361"/>
  <c r="AD362" s="1"/>
  <c r="Z353"/>
  <c r="Z354" s="1"/>
  <c r="AC2" s="1"/>
  <c r="U353"/>
  <c r="U354" s="1"/>
  <c r="CF2" s="1"/>
  <c r="AQ353"/>
  <c r="AQ354" s="1"/>
  <c r="DB2" s="1"/>
  <c r="R353"/>
  <c r="R354" s="1"/>
  <c r="U2" s="1"/>
  <c r="AB353"/>
  <c r="AB354" s="1"/>
  <c r="CM2" s="1"/>
  <c r="L353"/>
  <c r="L354" s="1"/>
  <c r="O2" s="1"/>
  <c r="AO353"/>
  <c r="AO354" s="1"/>
  <c r="CZ2" s="1"/>
  <c r="AV353"/>
  <c r="AV354" s="1"/>
  <c r="AY2" s="1"/>
  <c r="BB353"/>
  <c r="BB354" s="1"/>
  <c r="DM2" s="1"/>
  <c r="BF361"/>
  <c r="BF362" s="1"/>
  <c r="AH361"/>
  <c r="AH362" s="1"/>
  <c r="D361"/>
  <c r="D362" s="1"/>
  <c r="L361"/>
  <c r="L362" s="1"/>
  <c r="BI361"/>
  <c r="BI362" s="1"/>
  <c r="H361"/>
  <c r="H362" s="1"/>
  <c r="N361"/>
  <c r="N362" s="1"/>
  <c r="AC353"/>
  <c r="AC354" s="1"/>
  <c r="AF2" s="1"/>
  <c r="B353"/>
  <c r="B354" s="1"/>
  <c r="H353"/>
  <c r="H354" s="1"/>
  <c r="BS2" s="1"/>
  <c r="S361"/>
  <c r="S362" s="1"/>
  <c r="AC361"/>
  <c r="AC362" s="1"/>
  <c r="AY361"/>
  <c r="AY362" s="1"/>
  <c r="AL361"/>
  <c r="AL362" s="1"/>
  <c r="BF353"/>
  <c r="BF354" s="1"/>
  <c r="BI2" s="1"/>
  <c r="BC361"/>
  <c r="BC362" s="1"/>
  <c r="AK361"/>
  <c r="AK362" s="1"/>
  <c r="AR353"/>
  <c r="AR354" s="1"/>
  <c r="AU2" s="1"/>
  <c r="AU353"/>
  <c r="AU354" s="1"/>
  <c r="DF2" s="1"/>
  <c r="AJ353"/>
  <c r="AJ354" s="1"/>
  <c r="CU2" s="1"/>
  <c r="C353"/>
  <c r="C354" s="1"/>
  <c r="F2" s="1"/>
  <c r="AM353"/>
  <c r="AM354" s="1"/>
  <c r="CX2" s="1"/>
  <c r="Y353"/>
  <c r="Y354" s="1"/>
  <c r="AB2" s="1"/>
  <c r="AF353"/>
  <c r="AF354" s="1"/>
  <c r="AI2" s="1"/>
  <c r="AL353"/>
  <c r="AL354" s="1"/>
  <c r="AO2" s="1"/>
  <c r="O361"/>
  <c r="O362" s="1"/>
  <c r="C361"/>
  <c r="C362" s="1"/>
  <c r="AB361"/>
  <c r="AB362" s="1"/>
  <c r="AM361"/>
  <c r="AM362" s="1"/>
  <c r="AJ361"/>
  <c r="AJ362" s="1"/>
  <c r="AW361"/>
  <c r="AW362" s="1"/>
  <c r="BD361"/>
  <c r="BD362" s="1"/>
  <c r="BJ361"/>
  <c r="BJ362" s="1"/>
  <c r="D353"/>
  <c r="D354" s="1"/>
  <c r="BO2" s="1"/>
  <c r="AP353"/>
  <c r="AP354" s="1"/>
  <c r="AS2" s="1"/>
  <c r="BJ353"/>
  <c r="BJ354" s="1"/>
  <c r="DU2" s="1"/>
  <c r="BH361"/>
  <c r="BH362" s="1"/>
  <c r="U361"/>
  <c r="U362" s="1"/>
  <c r="I361"/>
  <c r="I362" s="1"/>
  <c r="V361"/>
  <c r="V362" s="1"/>
  <c r="E353"/>
  <c r="E354" s="1"/>
  <c r="H2" s="1"/>
  <c r="BG353"/>
  <c r="BG354" s="1"/>
  <c r="BJ2" s="1"/>
  <c r="O353"/>
  <c r="O354" s="1"/>
  <c r="BZ2" s="1"/>
  <c r="AZ353"/>
  <c r="AZ354" s="1"/>
  <c r="DK2" s="1"/>
  <c r="AG353"/>
  <c r="AG354" s="1"/>
  <c r="AJ2" s="1"/>
  <c r="AN353"/>
  <c r="AN354" s="1"/>
  <c r="AT353"/>
  <c r="AT354" s="1"/>
  <c r="DE2" s="1"/>
  <c r="BG361"/>
  <c r="BG362" s="1"/>
  <c r="AI361"/>
  <c r="AI362" s="1"/>
  <c r="AS361"/>
  <c r="AS362" s="1"/>
  <c r="AZ361"/>
  <c r="AZ362" s="1"/>
  <c r="AX361"/>
  <c r="AX362" s="1"/>
  <c r="BE361"/>
  <c r="BE362" s="1"/>
  <c r="AS353"/>
  <c r="AS354" s="1"/>
  <c r="AV2" s="1"/>
  <c r="AX353"/>
  <c r="AX354" s="1"/>
  <c r="BA2" s="1"/>
  <c r="S353"/>
  <c r="S354" s="1"/>
  <c r="CD2" s="1"/>
  <c r="BC353"/>
  <c r="BC354" s="1"/>
  <c r="BF2" s="1"/>
  <c r="AA353"/>
  <c r="AA354" s="1"/>
  <c r="AD2" s="1"/>
  <c r="Q353"/>
  <c r="Q354" s="1"/>
  <c r="X353"/>
  <c r="X354" s="1"/>
  <c r="CI2" s="1"/>
  <c r="R361"/>
  <c r="R362" s="1"/>
  <c r="AP361"/>
  <c r="AP362" s="1"/>
  <c r="E361"/>
  <c r="E362" s="1"/>
  <c r="AA361"/>
  <c r="AA362" s="1"/>
  <c r="W361"/>
  <c r="W362" s="1"/>
  <c r="AO361"/>
  <c r="AO362" s="1"/>
  <c r="AV361"/>
  <c r="AV362" s="1"/>
  <c r="Q2"/>
  <c r="BY2"/>
  <c r="BU2"/>
  <c r="DL2"/>
  <c r="W2"/>
  <c r="CK2"/>
  <c r="BP2"/>
  <c r="DC2"/>
  <c r="DN2"/>
  <c r="T2"/>
  <c r="CB2"/>
  <c r="AA2"/>
  <c r="AG2"/>
  <c r="CO2"/>
  <c r="BK2"/>
  <c r="CN2"/>
  <c r="AQ2"/>
  <c r="CY2"/>
  <c r="CW2"/>
  <c r="J2"/>
  <c r="BR2"/>
  <c r="CS2"/>
  <c r="AK2"/>
  <c r="L2" l="1"/>
  <c r="L2" i="2" s="1"/>
  <c r="BN2" i="3"/>
  <c r="AM2"/>
  <c r="AZ2"/>
  <c r="AZ2" i="2" s="1"/>
  <c r="BM2" i="3"/>
  <c r="AR2"/>
  <c r="BW2"/>
  <c r="AN2"/>
  <c r="BC2"/>
  <c r="BC2" i="2" s="1"/>
  <c r="DG2" i="3"/>
  <c r="BX2"/>
  <c r="AP2"/>
  <c r="AP2" i="2" s="1"/>
  <c r="AH2" i="3"/>
  <c r="S2"/>
  <c r="DD2"/>
  <c r="BG2"/>
  <c r="CG2"/>
  <c r="Z2"/>
  <c r="DI2"/>
  <c r="CR2"/>
  <c r="X2"/>
  <c r="BV2"/>
  <c r="AW2"/>
  <c r="DQ2"/>
  <c r="DJ2"/>
  <c r="CJ2"/>
  <c r="BE2"/>
  <c r="DP2"/>
  <c r="CQ2"/>
  <c r="AX2"/>
  <c r="R2"/>
  <c r="DR2"/>
  <c r="CT2"/>
  <c r="AE2"/>
  <c r="AE2" i="2" s="1"/>
  <c r="DT2" i="3"/>
  <c r="CL2"/>
  <c r="DA2"/>
  <c r="BQ2"/>
  <c r="K2"/>
  <c r="B183"/>
  <c r="CC2"/>
  <c r="AT2"/>
  <c r="AT2" i="2" s="1"/>
  <c r="V2" i="3"/>
  <c r="G2"/>
  <c r="G2" i="2" s="1"/>
  <c r="AO2"/>
  <c r="AQ2"/>
  <c r="BE2"/>
  <c r="AF2"/>
  <c r="BG2"/>
  <c r="AH2"/>
  <c r="N2"/>
  <c r="AW2"/>
  <c r="AX2"/>
  <c r="Z2"/>
  <c r="AS2"/>
  <c r="I2"/>
  <c r="J2"/>
  <c r="AU2"/>
  <c r="X2"/>
  <c r="Q2"/>
  <c r="AA2"/>
  <c r="R2"/>
  <c r="AN2"/>
  <c r="BI2"/>
  <c r="BA2"/>
  <c r="H2"/>
  <c r="W2"/>
  <c r="AM2"/>
  <c r="S2"/>
  <c r="BL2"/>
  <c r="AB2"/>
  <c r="AR2"/>
  <c r="AG2"/>
  <c r="BF2"/>
  <c r="AJ2"/>
  <c r="Y2"/>
  <c r="AK2"/>
  <c r="V2"/>
  <c r="U2"/>
  <c r="AC2"/>
  <c r="BD2"/>
  <c r="P2"/>
  <c r="AV2"/>
  <c r="O2"/>
  <c r="M2"/>
  <c r="F2"/>
  <c r="BJ2"/>
  <c r="AD2"/>
  <c r="AI2"/>
  <c r="AY2"/>
  <c r="AL2"/>
  <c r="BH2"/>
  <c r="BB2"/>
  <c r="BK2"/>
  <c r="T2"/>
  <c r="BM2"/>
  <c r="K2"/>
  <c r="H156" i="3"/>
  <c r="H167"/>
  <c r="H157"/>
  <c r="H119"/>
  <c r="H79"/>
  <c r="H82"/>
  <c r="H137"/>
  <c r="H149"/>
  <c r="H35"/>
  <c r="H60"/>
  <c r="H150"/>
  <c r="H57"/>
  <c r="H38"/>
  <c r="H101"/>
  <c r="F150"/>
  <c r="F167"/>
  <c r="F157"/>
  <c r="F149"/>
  <c r="F137"/>
  <c r="F60"/>
  <c r="F156"/>
  <c r="F35"/>
  <c r="F119"/>
  <c r="F101"/>
  <c r="F57"/>
  <c r="F82"/>
  <c r="F38"/>
  <c r="F79"/>
  <c r="G149"/>
  <c r="G167"/>
  <c r="G157"/>
  <c r="G150"/>
  <c r="G156"/>
  <c r="G79"/>
  <c r="G119"/>
  <c r="G82"/>
  <c r="G137"/>
  <c r="G60"/>
  <c r="G35"/>
  <c r="G57"/>
  <c r="G38"/>
  <c r="G101"/>
  <c r="V150"/>
  <c r="V167"/>
  <c r="V137"/>
  <c r="V157"/>
  <c r="V149"/>
  <c r="V156"/>
  <c r="V79"/>
  <c r="V82"/>
  <c r="V60"/>
  <c r="V35"/>
  <c r="V101"/>
  <c r="V38"/>
  <c r="V119"/>
  <c r="V57"/>
  <c r="F17"/>
  <c r="F66"/>
  <c r="F42"/>
  <c r="F7"/>
  <c r="O5"/>
  <c r="Y25"/>
  <c r="AW29"/>
  <c r="BI18"/>
  <c r="BL130"/>
  <c r="Q106"/>
  <c r="AU13"/>
  <c r="M15"/>
  <c r="AX20"/>
  <c r="AS4"/>
  <c r="BD55"/>
  <c r="M18"/>
  <c r="T99"/>
  <c r="L7"/>
  <c r="K28"/>
  <c r="AQ77"/>
  <c r="AX11"/>
  <c r="U51"/>
  <c r="AE6"/>
  <c r="V24"/>
  <c r="AE84"/>
  <c r="N16"/>
  <c r="H42"/>
  <c r="BL155"/>
  <c r="AT13"/>
  <c r="W24"/>
  <c r="BA61"/>
  <c r="Y129"/>
  <c r="G11"/>
  <c r="T28"/>
  <c r="M61"/>
  <c r="BK109"/>
  <c r="AZ14"/>
  <c r="AC31"/>
  <c r="R63"/>
  <c r="K151"/>
  <c r="AL11"/>
  <c r="AG19"/>
  <c r="AD31"/>
  <c r="AI53"/>
  <c r="AU87"/>
  <c r="AI148"/>
  <c r="BG10"/>
  <c r="BK19"/>
  <c r="AA30"/>
  <c r="BK53"/>
  <c r="AE85"/>
  <c r="BL146"/>
  <c r="H13"/>
  <c r="AL23"/>
  <c r="K41"/>
  <c r="AB73"/>
  <c r="AU121"/>
  <c r="L14"/>
  <c r="AS21"/>
  <c r="AK28"/>
  <c r="AQ45"/>
  <c r="AD65"/>
  <c r="AY100"/>
  <c r="AQ6"/>
  <c r="AL16"/>
  <c r="AD28"/>
  <c r="BM48"/>
  <c r="BG81"/>
  <c r="AB141"/>
  <c r="AA12"/>
  <c r="AD24"/>
  <c r="AM39"/>
  <c r="X70"/>
  <c r="BL124"/>
  <c r="BC49"/>
  <c r="T163"/>
  <c r="AP92"/>
  <c r="AL70"/>
  <c r="Q20"/>
  <c r="S48"/>
  <c r="AZ102"/>
  <c r="AU17"/>
  <c r="AL64"/>
  <c r="G12"/>
  <c r="AG55"/>
  <c r="BD43"/>
  <c r="AJ89"/>
  <c r="N48"/>
  <c r="AE95"/>
  <c r="AK99"/>
  <c r="AU94"/>
  <c r="V141"/>
  <c r="F64"/>
  <c r="F45"/>
  <c r="F4"/>
  <c r="F40"/>
  <c r="F63"/>
  <c r="F29"/>
  <c r="S37"/>
  <c r="I19"/>
  <c r="AX16"/>
  <c r="AQ10"/>
  <c r="AF112"/>
  <c r="AY63"/>
  <c r="BL134"/>
  <c r="P11"/>
  <c r="AH14"/>
  <c r="T113"/>
  <c r="O50"/>
  <c r="N15"/>
  <c r="T81"/>
  <c r="AM6"/>
  <c r="AN26"/>
  <c r="BJ67"/>
  <c r="AD10"/>
  <c r="BI47"/>
  <c r="AE110"/>
  <c r="AS23"/>
  <c r="R77"/>
  <c r="BH10"/>
  <c r="AO40"/>
  <c r="AV128"/>
  <c r="BJ10"/>
  <c r="BC23"/>
  <c r="AY53"/>
  <c r="BH102"/>
  <c r="AU10"/>
  <c r="H27"/>
  <c r="BM50"/>
  <c r="V107"/>
  <c r="BF12"/>
  <c r="AP27"/>
  <c r="S59"/>
  <c r="AR143"/>
  <c r="Y9"/>
  <c r="J19"/>
  <c r="L30"/>
  <c r="AH46"/>
  <c r="Y86"/>
  <c r="AF130"/>
  <c r="BJ8"/>
  <c r="W19"/>
  <c r="AL29"/>
  <c r="AT47"/>
  <c r="J84"/>
  <c r="X140"/>
  <c r="BD10"/>
  <c r="T23"/>
  <c r="BC39"/>
  <c r="W65"/>
  <c r="Y118"/>
  <c r="M13"/>
  <c r="AX19"/>
  <c r="V28"/>
  <c r="AI41"/>
  <c r="V61"/>
  <c r="F98"/>
  <c r="AO5"/>
  <c r="BI15"/>
  <c r="BA26"/>
  <c r="AA45"/>
  <c r="AO78"/>
  <c r="AB130"/>
  <c r="AT11"/>
  <c r="BL22"/>
  <c r="BI36"/>
  <c r="AT68"/>
  <c r="AD114"/>
  <c r="X42"/>
  <c r="AV124"/>
  <c r="AL80"/>
  <c r="AQ63"/>
  <c r="AN17"/>
  <c r="BD42"/>
  <c r="AL93"/>
  <c r="AD14"/>
  <c r="AV55"/>
  <c r="S8"/>
  <c r="AC47"/>
  <c r="BM155"/>
  <c r="AD80"/>
  <c r="R44"/>
  <c r="J89"/>
  <c r="AK83"/>
  <c r="AT161"/>
  <c r="BM158"/>
  <c r="AG145"/>
  <c r="F161"/>
  <c r="F56"/>
  <c r="F148"/>
  <c r="F142"/>
  <c r="F67"/>
  <c r="F9"/>
  <c r="F51"/>
  <c r="J12"/>
  <c r="AA7"/>
  <c r="BL14"/>
  <c r="AT8"/>
  <c r="W111"/>
  <c r="AV39"/>
  <c r="AV68"/>
  <c r="AH7"/>
  <c r="I6"/>
  <c r="AY112"/>
  <c r="G34"/>
  <c r="AT5"/>
  <c r="I74"/>
  <c r="U4"/>
  <c r="I22"/>
  <c r="P64"/>
  <c r="AD8"/>
  <c r="AB30"/>
  <c r="W109"/>
  <c r="H21"/>
  <c r="I56"/>
  <c r="N10"/>
  <c r="AV36"/>
  <c r="M102"/>
  <c r="AJ10"/>
  <c r="AW22"/>
  <c r="BE40"/>
  <c r="BH99"/>
  <c r="BE9"/>
  <c r="BM21"/>
  <c r="BJ49"/>
  <c r="BF95"/>
  <c r="BD9"/>
  <c r="BM25"/>
  <c r="BD56"/>
  <c r="AB109"/>
  <c r="H9"/>
  <c r="AJ18"/>
  <c r="AA27"/>
  <c r="AO45"/>
  <c r="AS80"/>
  <c r="AI117"/>
  <c r="Y8"/>
  <c r="AT18"/>
  <c r="BD26"/>
  <c r="BB46"/>
  <c r="AV78"/>
  <c r="AO118"/>
  <c r="AG9"/>
  <c r="AO22"/>
  <c r="V34"/>
  <c r="AJ64"/>
  <c r="AT113"/>
  <c r="AO11"/>
  <c r="AM19"/>
  <c r="J27"/>
  <c r="H37"/>
  <c r="AY59"/>
  <c r="R91"/>
  <c r="R4"/>
  <c r="S14"/>
  <c r="I25"/>
  <c r="S41"/>
  <c r="Y73"/>
  <c r="AL116"/>
  <c r="V10"/>
  <c r="W21"/>
  <c r="AZ33"/>
  <c r="AO63"/>
  <c r="AY105"/>
  <c r="BD37"/>
  <c r="W110"/>
  <c r="N69"/>
  <c r="BL53"/>
  <c r="AU14"/>
  <c r="N39"/>
  <c r="BD87"/>
  <c r="AP10"/>
  <c r="AQ48"/>
  <c r="Z161"/>
  <c r="AZ41"/>
  <c r="AC125"/>
  <c r="BC72"/>
  <c r="AS160"/>
  <c r="BM80"/>
  <c r="AO71"/>
  <c r="BM123"/>
  <c r="T166"/>
  <c r="Y160"/>
  <c r="F71"/>
  <c r="F155"/>
  <c r="F48"/>
  <c r="AZ158"/>
  <c r="U7"/>
  <c r="I78"/>
  <c r="U61"/>
  <c r="L105"/>
  <c r="M23"/>
  <c r="BI61"/>
  <c r="P21"/>
  <c r="BJ138"/>
  <c r="V29"/>
  <c r="AE15"/>
  <c r="O8"/>
  <c r="X90"/>
  <c r="AI19"/>
  <c r="BK96"/>
  <c r="AD21"/>
  <c r="AD83"/>
  <c r="BM24"/>
  <c r="M107"/>
  <c r="P16"/>
  <c r="Y42"/>
  <c r="AY114"/>
  <c r="AY15"/>
  <c r="AC44"/>
  <c r="AI116"/>
  <c r="BG19"/>
  <c r="BK62"/>
  <c r="AE11"/>
  <c r="M25"/>
  <c r="BE55"/>
  <c r="Z159"/>
  <c r="AQ23"/>
  <c r="Y69"/>
  <c r="S9"/>
  <c r="BK32"/>
  <c r="BM103"/>
  <c r="AI97"/>
  <c r="J48"/>
  <c r="BD33"/>
  <c r="BM7"/>
  <c r="K122"/>
  <c r="Y34"/>
  <c r="AI68"/>
  <c r="L73"/>
  <c r="H114"/>
  <c r="F59"/>
  <c r="F154"/>
  <c r="F140"/>
  <c r="BH144"/>
  <c r="N127"/>
  <c r="L48"/>
  <c r="AT24"/>
  <c r="AU88"/>
  <c r="AY133"/>
  <c r="BE42"/>
  <c r="AW47"/>
  <c r="AE27"/>
  <c r="AP14"/>
  <c r="AT4"/>
  <c r="BL24"/>
  <c r="T7"/>
  <c r="BD36"/>
  <c r="X19"/>
  <c r="BJ77"/>
  <c r="Z20"/>
  <c r="AU103"/>
  <c r="AO6"/>
  <c r="Z25"/>
  <c r="AO68"/>
  <c r="S6"/>
  <c r="BE25"/>
  <c r="BB70"/>
  <c r="BH6"/>
  <c r="AR31"/>
  <c r="H93"/>
  <c r="AH17"/>
  <c r="U36"/>
  <c r="S76"/>
  <c r="O11"/>
  <c r="AD36"/>
  <c r="BJ107"/>
  <c r="BM17"/>
  <c r="I53"/>
  <c r="L31"/>
  <c r="BA51"/>
  <c r="AG121"/>
  <c r="AI70"/>
  <c r="Z34"/>
  <c r="AS30"/>
  <c r="P63"/>
  <c r="BJ68"/>
  <c r="BK89"/>
  <c r="AG154"/>
  <c r="F34"/>
  <c r="F28"/>
  <c r="F11"/>
  <c r="AC55"/>
  <c r="AZ66"/>
  <c r="BH9"/>
  <c r="G47"/>
  <c r="BG41"/>
  <c r="J100"/>
  <c r="AB31"/>
  <c r="M44"/>
  <c r="Y21"/>
  <c r="G13"/>
  <c r="K4"/>
  <c r="AN65"/>
  <c r="G18"/>
  <c r="BH81"/>
  <c r="V16"/>
  <c r="AR74"/>
  <c r="AW19"/>
  <c r="BH85"/>
  <c r="AJ14"/>
  <c r="BA36"/>
  <c r="AE100"/>
  <c r="AA14"/>
  <c r="AR23"/>
  <c r="AM65"/>
  <c r="AV6"/>
  <c r="AR17"/>
  <c r="BF53"/>
  <c r="AV9"/>
  <c r="AL24"/>
  <c r="AB51"/>
  <c r="BA125"/>
  <c r="X21"/>
  <c r="AM62"/>
  <c r="AP6"/>
  <c r="BG28"/>
  <c r="AG90"/>
  <c r="AG74"/>
  <c r="J136"/>
  <c r="AG28"/>
  <c r="AO142"/>
  <c r="AU95"/>
  <c r="H87"/>
  <c r="AD110"/>
  <c r="AM63"/>
  <c r="P41"/>
  <c r="AM81"/>
  <c r="BD161"/>
  <c r="F49"/>
  <c r="F163"/>
  <c r="F73"/>
  <c r="F36"/>
  <c r="F158"/>
  <c r="F55"/>
  <c r="AL31"/>
  <c r="BD85"/>
  <c r="U52"/>
  <c r="AU31"/>
  <c r="Q6"/>
  <c r="AE8"/>
  <c r="AA22"/>
  <c r="AS46"/>
  <c r="BM30"/>
  <c r="BJ7"/>
  <c r="BI99"/>
  <c r="BA31"/>
  <c r="BB7"/>
  <c r="BM13"/>
  <c r="AH39"/>
  <c r="BB91"/>
  <c r="AJ20"/>
  <c r="BK67"/>
  <c r="BD8"/>
  <c r="AF34"/>
  <c r="BG116"/>
  <c r="AF18"/>
  <c r="BM63"/>
  <c r="BD5"/>
  <c r="L15"/>
  <c r="AN30"/>
  <c r="AX72"/>
  <c r="BM146"/>
  <c r="W15"/>
  <c r="AO33"/>
  <c r="BC64"/>
  <c r="BI4"/>
  <c r="AZ18"/>
  <c r="BH34"/>
  <c r="U83"/>
  <c r="AG5"/>
  <c r="AR12"/>
  <c r="AF22"/>
  <c r="BL34"/>
  <c r="BE56"/>
  <c r="AW98"/>
  <c r="AM5"/>
  <c r="N12"/>
  <c r="U23"/>
  <c r="W34"/>
  <c r="L58"/>
  <c r="BH97"/>
  <c r="X5"/>
  <c r="Y14"/>
  <c r="BF27"/>
  <c r="N49"/>
  <c r="BJ80"/>
  <c r="AJ9"/>
  <c r="Q16"/>
  <c r="BF22"/>
  <c r="AE31"/>
  <c r="Y50"/>
  <c r="BM68"/>
  <c r="Q115"/>
  <c r="AM8"/>
  <c r="AQ19"/>
  <c r="AQ31"/>
  <c r="AZ56"/>
  <c r="AM96"/>
  <c r="T5"/>
  <c r="AT15"/>
  <c r="BL26"/>
  <c r="AC46"/>
  <c r="BF81"/>
  <c r="AU152"/>
  <c r="L65"/>
  <c r="H39"/>
  <c r="BD116"/>
  <c r="N96"/>
  <c r="AN25"/>
  <c r="AG58"/>
  <c r="L122"/>
  <c r="AU25"/>
  <c r="K86"/>
  <c r="AU20"/>
  <c r="AY72"/>
  <c r="AI52"/>
  <c r="AD104"/>
  <c r="I59"/>
  <c r="BF125"/>
  <c r="T143"/>
  <c r="G129"/>
  <c r="I166"/>
  <c r="F74"/>
  <c r="F72"/>
  <c r="F32"/>
  <c r="F151"/>
  <c r="AK20"/>
  <c r="AM139"/>
  <c r="V36"/>
  <c r="BF76"/>
  <c r="AU106"/>
  <c r="AH4"/>
  <c r="BI117"/>
  <c r="AY58"/>
  <c r="F99"/>
  <c r="N54"/>
  <c r="AQ25"/>
  <c r="AR9"/>
  <c r="AY39"/>
  <c r="G7"/>
  <c r="AW43"/>
  <c r="BK8"/>
  <c r="J46"/>
  <c r="AH8"/>
  <c r="G27"/>
  <c r="AB70"/>
  <c r="BH7"/>
  <c r="AF26"/>
  <c r="AW71"/>
  <c r="BE8"/>
  <c r="AG32"/>
  <c r="AC99"/>
  <c r="K19"/>
  <c r="BC36"/>
  <c r="AD85"/>
  <c r="BA12"/>
  <c r="BG39"/>
  <c r="S113"/>
  <c r="BD19"/>
  <c r="T58"/>
  <c r="AB33"/>
  <c r="Y62"/>
  <c r="AU145"/>
  <c r="H77"/>
  <c r="N41"/>
  <c r="AM110"/>
  <c r="BE135"/>
  <c r="AN59"/>
  <c r="J104"/>
  <c r="AG155"/>
  <c r="F159"/>
  <c r="F30"/>
  <c r="F76"/>
  <c r="BG51"/>
  <c r="BL78"/>
  <c r="AV19"/>
  <c r="U72"/>
  <c r="AF50"/>
  <c r="AE18"/>
  <c r="AM37"/>
  <c r="AH19"/>
  <c r="AK117"/>
  <c r="AL75"/>
  <c r="AU47"/>
  <c r="O84"/>
  <c r="H19"/>
  <c r="P85"/>
  <c r="AU6"/>
  <c r="I37"/>
  <c r="I8"/>
  <c r="BK44"/>
  <c r="BG15"/>
  <c r="AQ37"/>
  <c r="BH112"/>
  <c r="AB15"/>
  <c r="BE37"/>
  <c r="AY111"/>
  <c r="AN19"/>
  <c r="AZ54"/>
  <c r="I11"/>
  <c r="BK24"/>
  <c r="BH51"/>
  <c r="BC133"/>
  <c r="BK21"/>
  <c r="O64"/>
  <c r="AS7"/>
  <c r="AG30"/>
  <c r="AL96"/>
  <c r="AI84"/>
  <c r="AP40"/>
  <c r="AH31"/>
  <c r="AN4"/>
  <c r="AK109"/>
  <c r="AA96"/>
  <c r="BJ121"/>
  <c r="V51"/>
  <c r="H88"/>
  <c r="F78"/>
  <c r="F52"/>
  <c r="F160"/>
  <c r="F8"/>
  <c r="AO86"/>
  <c r="BC34"/>
  <c r="AI22"/>
  <c r="W53"/>
  <c r="BJ15"/>
  <c r="T36"/>
  <c r="AX14"/>
  <c r="Z103"/>
  <c r="BK71"/>
  <c r="BH36"/>
  <c r="AD23"/>
  <c r="BF6"/>
  <c r="M31"/>
  <c r="V5"/>
  <c r="BK34"/>
  <c r="P5"/>
  <c r="W42"/>
  <c r="AA6"/>
  <c r="L23"/>
  <c r="T64"/>
  <c r="G6"/>
  <c r="AA37"/>
  <c r="AR99"/>
  <c r="U28"/>
  <c r="AK91"/>
  <c r="AP16"/>
  <c r="BD32"/>
  <c r="K74"/>
  <c r="BL9"/>
  <c r="BE33"/>
  <c r="BK104"/>
  <c r="Z17"/>
  <c r="AQ51"/>
  <c r="R28"/>
  <c r="S46"/>
  <c r="AG106"/>
  <c r="AK65"/>
  <c r="AI29"/>
  <c r="AT25"/>
  <c r="W58"/>
  <c r="BF70"/>
  <c r="F69"/>
  <c r="F65"/>
  <c r="F31"/>
  <c r="F46"/>
  <c r="F75"/>
  <c r="F24"/>
  <c r="AU26"/>
  <c r="BB29"/>
  <c r="AE45"/>
  <c r="BI26"/>
  <c r="AC139"/>
  <c r="AF120"/>
  <c r="BM19"/>
  <c r="AP25"/>
  <c r="X22"/>
  <c r="BD6"/>
  <c r="W78"/>
  <c r="BF19"/>
  <c r="AK166"/>
  <c r="AC12"/>
  <c r="O29"/>
  <c r="H85"/>
  <c r="BH18"/>
  <c r="BK52"/>
  <c r="R8"/>
  <c r="R32"/>
  <c r="V91"/>
  <c r="AX17"/>
  <c r="AK52"/>
  <c r="AX161"/>
  <c r="AO14"/>
  <c r="X27"/>
  <c r="N65"/>
  <c r="W133"/>
  <c r="X14"/>
  <c r="BF28"/>
  <c r="S63"/>
  <c r="L4"/>
  <c r="T15"/>
  <c r="N34"/>
  <c r="I73"/>
  <c r="AE164"/>
  <c r="I12"/>
  <c r="BB21"/>
  <c r="BI31"/>
  <c r="P55"/>
  <c r="BB95"/>
  <c r="AQ165"/>
  <c r="BJ11"/>
  <c r="BL21"/>
  <c r="S31"/>
  <c r="AM55"/>
  <c r="J95"/>
  <c r="I152"/>
  <c r="AV13"/>
  <c r="M26"/>
  <c r="BH41"/>
  <c r="AC78"/>
  <c r="AS8"/>
  <c r="Z14"/>
  <c r="AR22"/>
  <c r="BH30"/>
  <c r="K46"/>
  <c r="AX66"/>
  <c r="X109"/>
  <c r="G8"/>
  <c r="AD18"/>
  <c r="AI30"/>
  <c r="AN53"/>
  <c r="AK90"/>
  <c r="AW4"/>
  <c r="AF14"/>
  <c r="V26"/>
  <c r="L43"/>
  <c r="BB75"/>
  <c r="AW139"/>
  <c r="AA58"/>
  <c r="AV32"/>
  <c r="AT103"/>
  <c r="BL81"/>
  <c r="BK22"/>
  <c r="AQ53"/>
  <c r="AL109"/>
  <c r="BD20"/>
  <c r="AM72"/>
  <c r="BG16"/>
  <c r="O66"/>
  <c r="O48"/>
  <c r="AF95"/>
  <c r="BF52"/>
  <c r="T107"/>
  <c r="Y117"/>
  <c r="H107"/>
  <c r="AJ123"/>
  <c r="AJ75"/>
  <c r="I90"/>
  <c r="AX99"/>
  <c r="BH114"/>
  <c r="S127"/>
  <c r="AD165"/>
  <c r="AG6"/>
  <c r="AC8"/>
  <c r="BC10"/>
  <c r="AE13"/>
  <c r="X16"/>
  <c r="AF19"/>
  <c r="AW21"/>
  <c r="BD24"/>
  <c r="AG27"/>
  <c r="AA31"/>
  <c r="L36"/>
  <c r="AZ40"/>
  <c r="AI48"/>
  <c r="AX54"/>
  <c r="AP63"/>
  <c r="AU72"/>
  <c r="H81"/>
  <c r="AX95"/>
  <c r="AZ105"/>
  <c r="AL115"/>
  <c r="BJ139"/>
  <c r="H5"/>
  <c r="AI7"/>
  <c r="AO9"/>
  <c r="Q12"/>
  <c r="AI15"/>
  <c r="AY17"/>
  <c r="I21"/>
  <c r="AB23"/>
  <c r="AV26"/>
  <c r="P30"/>
  <c r="AI33"/>
  <c r="P39"/>
  <c r="T44"/>
  <c r="AS52"/>
  <c r="AL62"/>
  <c r="BA69"/>
  <c r="V80"/>
  <c r="AQ92"/>
  <c r="BI104"/>
  <c r="W123"/>
  <c r="BE148"/>
  <c r="BM27"/>
  <c r="T30"/>
  <c r="Q33"/>
  <c r="AP37"/>
  <c r="G42"/>
  <c r="AL49"/>
  <c r="G55"/>
  <c r="BB64"/>
  <c r="Z73"/>
  <c r="BH83"/>
  <c r="AW95"/>
  <c r="AC107"/>
  <c r="BH122"/>
  <c r="AV161"/>
  <c r="I32"/>
  <c r="BM37"/>
  <c r="BH43"/>
  <c r="AG51"/>
  <c r="AA61"/>
  <c r="BE68"/>
  <c r="Y78"/>
  <c r="AQ89"/>
  <c r="AO102"/>
  <c r="G116"/>
  <c r="AB134"/>
  <c r="U40"/>
  <c r="BD45"/>
  <c r="AU53"/>
  <c r="Z63"/>
  <c r="O70"/>
  <c r="AI81"/>
  <c r="BI91"/>
  <c r="G106"/>
  <c r="AO117"/>
  <c r="AS143"/>
  <c r="W14"/>
  <c r="BI16"/>
  <c r="BB19"/>
  <c r="BC22"/>
  <c r="P25"/>
  <c r="Y28"/>
  <c r="AM30"/>
  <c r="AV33"/>
  <c r="BB37"/>
  <c r="BB41"/>
  <c r="AE47"/>
  <c r="AZ51"/>
  <c r="S58"/>
  <c r="AM64"/>
  <c r="AZ69"/>
  <c r="AY76"/>
  <c r="F85"/>
  <c r="O93"/>
  <c r="L102"/>
  <c r="O109"/>
  <c r="AE121"/>
  <c r="AU133"/>
  <c r="P4"/>
  <c r="BE7"/>
  <c r="AH10"/>
  <c r="BG13"/>
  <c r="AR16"/>
  <c r="AF20"/>
  <c r="AZ24"/>
  <c r="K29"/>
  <c r="AE33"/>
  <c r="BI39"/>
  <c r="AZ46"/>
  <c r="W55"/>
  <c r="J63"/>
  <c r="K72"/>
  <c r="BD80"/>
  <c r="BG94"/>
  <c r="N109"/>
  <c r="AD121"/>
  <c r="K160"/>
  <c r="BA6"/>
  <c r="BH11"/>
  <c r="AY16"/>
  <c r="AM20"/>
  <c r="AL25"/>
  <c r="R29"/>
  <c r="Q34"/>
  <c r="AL41"/>
  <c r="O47"/>
  <c r="V55"/>
  <c r="AH63"/>
  <c r="AL72"/>
  <c r="BK84"/>
  <c r="BK95"/>
  <c r="H108"/>
  <c r="W121"/>
  <c r="Y146"/>
  <c r="AF43"/>
  <c r="T47"/>
  <c r="K52"/>
  <c r="BH55"/>
  <c r="BA62"/>
  <c r="Q68"/>
  <c r="AB72"/>
  <c r="BI78"/>
  <c r="BG86"/>
  <c r="G95"/>
  <c r="S104"/>
  <c r="BH109"/>
  <c r="AS121"/>
  <c r="P130"/>
  <c r="AZ159"/>
  <c r="J44"/>
  <c r="BG47"/>
  <c r="AX52"/>
  <c r="AT56"/>
  <c r="AE63"/>
  <c r="G68"/>
  <c r="BK72"/>
  <c r="AT78"/>
  <c r="AW87"/>
  <c r="Z94"/>
  <c r="AN106"/>
  <c r="BE120"/>
  <c r="AS40"/>
  <c r="BF47"/>
  <c r="H59"/>
  <c r="AM70"/>
  <c r="AO81"/>
  <c r="U98"/>
  <c r="AP111"/>
  <c r="AN139"/>
  <c r="W81"/>
  <c r="O89"/>
  <c r="BA103"/>
  <c r="X115"/>
  <c r="G160"/>
  <c r="G94"/>
  <c r="AI106"/>
  <c r="AO128"/>
  <c r="AT66"/>
  <c r="AA87"/>
  <c r="O110"/>
  <c r="AC162"/>
  <c r="AK146"/>
  <c r="T134"/>
  <c r="M120"/>
  <c r="J165"/>
  <c r="AJ154"/>
  <c r="AQ153"/>
  <c r="AI142"/>
  <c r="AT159"/>
  <c r="AH166"/>
  <c r="AV166"/>
  <c r="F43"/>
  <c r="F20"/>
  <c r="F5"/>
  <c r="F25"/>
  <c r="F41"/>
  <c r="F14"/>
  <c r="F15"/>
  <c r="F153"/>
  <c r="F44"/>
  <c r="F12"/>
  <c r="F144"/>
  <c r="F152"/>
  <c r="AP165"/>
  <c r="K14"/>
  <c r="I4"/>
  <c r="BK42"/>
  <c r="AX12"/>
  <c r="AV48"/>
  <c r="AK5"/>
  <c r="AS29"/>
  <c r="Z95"/>
  <c r="AP4"/>
  <c r="BK23"/>
  <c r="AR105"/>
  <c r="H18"/>
  <c r="BE64"/>
  <c r="BK15"/>
  <c r="U68"/>
  <c r="AI9"/>
  <c r="BE27"/>
  <c r="AT104"/>
  <c r="AI17"/>
  <c r="AW32"/>
  <c r="AL107"/>
  <c r="AW5"/>
  <c r="AC17"/>
  <c r="AR36"/>
  <c r="M96"/>
  <c r="AF134"/>
  <c r="BF16"/>
  <c r="AX33"/>
  <c r="BJ64"/>
  <c r="AN140"/>
  <c r="J37"/>
  <c r="AC5"/>
  <c r="O13"/>
  <c r="AC20"/>
  <c r="W27"/>
  <c r="AH42"/>
  <c r="AN62"/>
  <c r="U80"/>
  <c r="H109"/>
  <c r="BA9"/>
  <c r="AU19"/>
  <c r="AA28"/>
  <c r="AQ49"/>
  <c r="AW69"/>
  <c r="AD103"/>
  <c r="AU7"/>
  <c r="BL13"/>
  <c r="BD22"/>
  <c r="U33"/>
  <c r="AL52"/>
  <c r="G80"/>
  <c r="K117"/>
  <c r="AK9"/>
  <c r="BL16"/>
  <c r="N24"/>
  <c r="BG37"/>
  <c r="AI58"/>
  <c r="AZ89"/>
  <c r="V138"/>
  <c r="AJ6"/>
  <c r="H10"/>
  <c r="J14"/>
  <c r="AL18"/>
  <c r="W23"/>
  <c r="Q29"/>
  <c r="AH37"/>
  <c r="R56"/>
  <c r="AW78"/>
  <c r="H97"/>
  <c r="AM130"/>
  <c r="BM5"/>
  <c r="T10"/>
  <c r="BD14"/>
  <c r="AA20"/>
  <c r="AQ27"/>
  <c r="P34"/>
  <c r="X47"/>
  <c r="Z62"/>
  <c r="H76"/>
  <c r="BF103"/>
  <c r="AI4"/>
  <c r="AF8"/>
  <c r="BE13"/>
  <c r="P19"/>
  <c r="AC25"/>
  <c r="BC32"/>
  <c r="AO43"/>
  <c r="P58"/>
  <c r="G76"/>
  <c r="AW106"/>
  <c r="AO148"/>
  <c r="BI5"/>
  <c r="BA8"/>
  <c r="BB11"/>
  <c r="S15"/>
  <c r="BD18"/>
  <c r="J22"/>
  <c r="X26"/>
  <c r="AO30"/>
  <c r="W36"/>
  <c r="BI43"/>
  <c r="AA54"/>
  <c r="BA67"/>
  <c r="F83"/>
  <c r="S97"/>
  <c r="P113"/>
  <c r="N136"/>
  <c r="BC5"/>
  <c r="M8"/>
  <c r="AA11"/>
  <c r="AW14"/>
  <c r="BL18"/>
  <c r="AP22"/>
  <c r="N26"/>
  <c r="BM29"/>
  <c r="N36"/>
  <c r="O45"/>
  <c r="BA54"/>
  <c r="X67"/>
  <c r="BI83"/>
  <c r="AE96"/>
  <c r="BJ113"/>
  <c r="BF142"/>
  <c r="AH6"/>
  <c r="M9"/>
  <c r="AC13"/>
  <c r="V18"/>
  <c r="BG22"/>
  <c r="AI27"/>
  <c r="G32"/>
  <c r="AF40"/>
  <c r="BK49"/>
  <c r="BA63"/>
  <c r="S77"/>
  <c r="BK92"/>
  <c r="AV115"/>
  <c r="BC8"/>
  <c r="S11"/>
  <c r="BK13"/>
  <c r="AE16"/>
  <c r="Y19"/>
  <c r="BD21"/>
  <c r="AW24"/>
  <c r="J28"/>
  <c r="O31"/>
  <c r="AK36"/>
  <c r="AG42"/>
  <c r="BE50"/>
  <c r="N59"/>
  <c r="G66"/>
  <c r="AS74"/>
  <c r="AJ86"/>
  <c r="BD98"/>
  <c r="AU113"/>
  <c r="H126"/>
  <c r="K162"/>
  <c r="BA5"/>
  <c r="Q8"/>
  <c r="AS10"/>
  <c r="Q13"/>
  <c r="J16"/>
  <c r="AR18"/>
  <c r="AL21"/>
  <c r="AP24"/>
  <c r="R27"/>
  <c r="AY30"/>
  <c r="L34"/>
  <c r="S40"/>
  <c r="BL47"/>
  <c r="M54"/>
  <c r="M63"/>
  <c r="BF69"/>
  <c r="W80"/>
  <c r="AR94"/>
  <c r="H105"/>
  <c r="AF114"/>
  <c r="R132"/>
  <c r="BG4"/>
  <c r="W7"/>
  <c r="AC9"/>
  <c r="BD11"/>
  <c r="AQ14"/>
  <c r="AK17"/>
  <c r="BG20"/>
  <c r="N23"/>
  <c r="AJ26"/>
  <c r="M29"/>
  <c r="S33"/>
  <c r="BL37"/>
  <c r="AX43"/>
  <c r="L52"/>
  <c r="AZ58"/>
  <c r="P69"/>
  <c r="AN78"/>
  <c r="AP91"/>
  <c r="F104"/>
  <c r="U115"/>
  <c r="R143"/>
  <c r="AY27"/>
  <c r="I30"/>
  <c r="BL32"/>
  <c r="AN36"/>
  <c r="AU41"/>
  <c r="AJ48"/>
  <c r="AY54"/>
  <c r="AZ63"/>
  <c r="AE71"/>
  <c r="L81"/>
  <c r="N95"/>
  <c r="AG105"/>
  <c r="M122"/>
  <c r="AS144"/>
  <c r="BH31"/>
  <c r="AN37"/>
  <c r="AK43"/>
  <c r="BB50"/>
  <c r="Y58"/>
  <c r="AT67"/>
  <c r="BI77"/>
  <c r="BK88"/>
  <c r="AX100"/>
  <c r="J112"/>
  <c r="G133"/>
  <c r="J40"/>
  <c r="AG45"/>
  <c r="X53"/>
  <c r="BK59"/>
  <c r="BG69"/>
  <c r="BJ78"/>
  <c r="AC91"/>
  <c r="AU104"/>
  <c r="AW114"/>
  <c r="AY138"/>
  <c r="O14"/>
  <c r="AK16"/>
  <c r="AT19"/>
  <c r="BH21"/>
  <c r="H25"/>
  <c r="I28"/>
  <c r="AE30"/>
  <c r="AF33"/>
  <c r="BG36"/>
  <c r="AC41"/>
  <c r="Q47"/>
  <c r="AO51"/>
  <c r="BM56"/>
  <c r="BF62"/>
  <c r="X69"/>
  <c r="BL75"/>
  <c r="Y84"/>
  <c r="BD92"/>
  <c r="S99"/>
  <c r="J108"/>
  <c r="AZ120"/>
  <c r="BI131"/>
  <c r="H4"/>
  <c r="BJ6"/>
  <c r="R10"/>
  <c r="AY13"/>
  <c r="AJ16"/>
  <c r="H20"/>
  <c r="L24"/>
  <c r="AF28"/>
  <c r="W33"/>
  <c r="U39"/>
  <c r="AL46"/>
  <c r="BB52"/>
  <c r="BE62"/>
  <c r="BD71"/>
  <c r="AG80"/>
  <c r="AP94"/>
  <c r="BG104"/>
  <c r="AY120"/>
  <c r="AJ151"/>
  <c r="AS6"/>
  <c r="AJ11"/>
  <c r="X15"/>
  <c r="O20"/>
  <c r="V25"/>
  <c r="BC28"/>
  <c r="BJ33"/>
  <c r="AJ39"/>
  <c r="AY46"/>
  <c r="AO53"/>
  <c r="I63"/>
  <c r="AS70"/>
  <c r="Z81"/>
  <c r="AJ93"/>
  <c r="AQ107"/>
  <c r="AR116"/>
  <c r="W145"/>
  <c r="BF41"/>
  <c r="L47"/>
  <c r="BL51"/>
  <c r="AZ55"/>
  <c r="AS62"/>
  <c r="AM66"/>
  <c r="S72"/>
  <c r="AU78"/>
  <c r="AS86"/>
  <c r="AZ94"/>
  <c r="AV100"/>
  <c r="AT109"/>
  <c r="AO120"/>
  <c r="AO129"/>
  <c r="AB155"/>
  <c r="AR42"/>
  <c r="AI47"/>
  <c r="BC51"/>
  <c r="V56"/>
  <c r="AJ62"/>
  <c r="BM66"/>
  <c r="BH71"/>
  <c r="U78"/>
  <c r="S86"/>
  <c r="BD93"/>
  <c r="S100"/>
  <c r="Q120"/>
  <c r="AC40"/>
  <c r="AP47"/>
  <c r="BA58"/>
  <c r="AD67"/>
  <c r="P81"/>
  <c r="AZ97"/>
  <c r="J111"/>
  <c r="AR138"/>
  <c r="Y77"/>
  <c r="BF88"/>
  <c r="BD102"/>
  <c r="F115"/>
  <c r="AL153"/>
  <c r="F89"/>
  <c r="AL105"/>
  <c r="AM123"/>
  <c r="AQ65"/>
  <c r="BA81"/>
  <c r="AK105"/>
  <c r="J140"/>
  <c r="Y142"/>
  <c r="AW127"/>
  <c r="BE116"/>
  <c r="L143"/>
  <c r="BM148"/>
  <c r="BA151"/>
  <c r="AC140"/>
  <c r="N159"/>
  <c r="R158"/>
  <c r="AS165"/>
  <c r="BK26"/>
  <c r="BE29"/>
  <c r="AX32"/>
  <c r="AC36"/>
  <c r="AV40"/>
  <c r="BI46"/>
  <c r="AX53"/>
  <c r="AC63"/>
  <c r="Y70"/>
  <c r="AT80"/>
  <c r="L91"/>
  <c r="BJ104"/>
  <c r="G121"/>
  <c r="BM142"/>
  <c r="AI31"/>
  <c r="X36"/>
  <c r="BJ42"/>
  <c r="AE50"/>
  <c r="T56"/>
  <c r="T67"/>
  <c r="AC74"/>
  <c r="AE88"/>
  <c r="O100"/>
  <c r="AJ111"/>
  <c r="AX132"/>
  <c r="BB164"/>
  <c r="P45"/>
  <c r="G52"/>
  <c r="AQ59"/>
  <c r="AW68"/>
  <c r="AN76"/>
  <c r="AG89"/>
  <c r="U104"/>
  <c r="AW112"/>
  <c r="BI135"/>
  <c r="T13"/>
  <c r="AC16"/>
  <c r="AD19"/>
  <c r="AZ21"/>
  <c r="BA24"/>
  <c r="V27"/>
  <c r="O30"/>
  <c r="X33"/>
  <c r="AQ36"/>
  <c r="O41"/>
  <c r="AM45"/>
  <c r="AA51"/>
  <c r="AY56"/>
  <c r="AU62"/>
  <c r="AN68"/>
  <c r="BA73"/>
  <c r="BG83"/>
  <c r="AY91"/>
  <c r="O98"/>
  <c r="K107"/>
  <c r="AI115"/>
  <c r="BH130"/>
  <c r="BL163"/>
  <c r="BB6"/>
  <c r="J10"/>
  <c r="AV12"/>
  <c r="L16"/>
  <c r="BA19"/>
  <c r="Q23"/>
  <c r="H28"/>
  <c r="BE31"/>
  <c r="BA37"/>
  <c r="M46"/>
  <c r="O52"/>
  <c r="AF62"/>
  <c r="AM68"/>
  <c r="BB78"/>
  <c r="S94"/>
  <c r="M104"/>
  <c r="Y120"/>
  <c r="X139"/>
  <c r="AK6"/>
  <c r="AB11"/>
  <c r="P15"/>
  <c r="G20"/>
  <c r="BD23"/>
  <c r="AU28"/>
  <c r="N33"/>
  <c r="AB39"/>
  <c r="AH45"/>
  <c r="AB52"/>
  <c r="AQ61"/>
  <c r="AC70"/>
  <c r="AD78"/>
  <c r="M93"/>
  <c r="AE103"/>
  <c r="P116"/>
  <c r="AG142"/>
  <c r="AX41"/>
  <c r="AW46"/>
  <c r="AK50"/>
  <c r="AB55"/>
  <c r="AC62"/>
  <c r="K66"/>
  <c r="BJ71"/>
  <c r="X76"/>
  <c r="T86"/>
  <c r="AO94"/>
  <c r="W100"/>
  <c r="AF109"/>
  <c r="BE115"/>
  <c r="P129"/>
  <c r="H151"/>
  <c r="AJ42"/>
  <c r="BD46"/>
  <c r="O51"/>
  <c r="AI55"/>
  <c r="AB62"/>
  <c r="S66"/>
  <c r="AY71"/>
  <c r="AG76"/>
  <c r="BK85"/>
  <c r="AS93"/>
  <c r="AZ99"/>
  <c r="AW117"/>
  <c r="BD142"/>
  <c r="J47"/>
  <c r="BI56"/>
  <c r="BC66"/>
  <c r="BD78"/>
  <c r="BL92"/>
  <c r="AR109"/>
  <c r="Z136"/>
  <c r="AL76"/>
  <c r="AP88"/>
  <c r="AX96"/>
  <c r="AT114"/>
  <c r="AZ140"/>
  <c r="AO88"/>
  <c r="T103"/>
  <c r="AV118"/>
  <c r="BC158"/>
  <c r="AP80"/>
  <c r="T100"/>
  <c r="BF138"/>
  <c r="AZ130"/>
  <c r="I127"/>
  <c r="Y116"/>
  <c r="AT141"/>
  <c r="BL147"/>
  <c r="AL140"/>
  <c r="Z139"/>
  <c r="AL155"/>
  <c r="AS155"/>
  <c r="AH164"/>
  <c r="F37"/>
  <c r="F18"/>
  <c r="F143"/>
  <c r="F39"/>
  <c r="F162"/>
  <c r="F22"/>
  <c r="F53"/>
  <c r="F80"/>
  <c r="F166"/>
  <c r="F10"/>
  <c r="F23"/>
  <c r="F54"/>
  <c r="F145"/>
  <c r="BE155"/>
  <c r="K10"/>
  <c r="AB61"/>
  <c r="AW27"/>
  <c r="AV5"/>
  <c r="BK31"/>
  <c r="AC93"/>
  <c r="AY20"/>
  <c r="AY61"/>
  <c r="I131"/>
  <c r="AQ17"/>
  <c r="O59"/>
  <c r="N5"/>
  <c r="BE51"/>
  <c r="BC11"/>
  <c r="BM39"/>
  <c r="P6"/>
  <c r="BG23"/>
  <c r="AD87"/>
  <c r="BM11"/>
  <c r="Y29"/>
  <c r="AU76"/>
  <c r="Y154"/>
  <c r="P14"/>
  <c r="AR30"/>
  <c r="T72"/>
  <c r="I121"/>
  <c r="AS12"/>
  <c r="AI28"/>
  <c r="M59"/>
  <c r="O95"/>
  <c r="BI25"/>
  <c r="AS158"/>
  <c r="AB10"/>
  <c r="AU18"/>
  <c r="BH25"/>
  <c r="AJ34"/>
  <c r="AH56"/>
  <c r="AH75"/>
  <c r="BI102"/>
  <c r="AN6"/>
  <c r="AF16"/>
  <c r="AR26"/>
  <c r="V46"/>
  <c r="U66"/>
  <c r="BM98"/>
  <c r="BH5"/>
  <c r="AN11"/>
  <c r="R20"/>
  <c r="K31"/>
  <c r="AY45"/>
  <c r="Q71"/>
  <c r="AP108"/>
  <c r="AM7"/>
  <c r="AI14"/>
  <c r="AV22"/>
  <c r="AD34"/>
  <c r="AP50"/>
  <c r="AV81"/>
  <c r="AJ116"/>
  <c r="AF5"/>
  <c r="AX8"/>
  <c r="N13"/>
  <c r="AP17"/>
  <c r="Q22"/>
  <c r="BB26"/>
  <c r="AM34"/>
  <c r="AZ52"/>
  <c r="AD71"/>
  <c r="BK93"/>
  <c r="BG128"/>
  <c r="BJ4"/>
  <c r="BL8"/>
  <c r="BI13"/>
  <c r="BA18"/>
  <c r="AK25"/>
  <c r="BE32"/>
  <c r="AF42"/>
  <c r="AH58"/>
  <c r="N73"/>
  <c r="X92"/>
  <c r="Z140"/>
  <c r="AY7"/>
  <c r="U12"/>
  <c r="BA17"/>
  <c r="AG24"/>
  <c r="BF30"/>
  <c r="L40"/>
  <c r="BB55"/>
  <c r="BL71"/>
  <c r="AO98"/>
  <c r="AX136"/>
  <c r="Q5"/>
  <c r="AZ7"/>
  <c r="R11"/>
  <c r="Q14"/>
  <c r="BF17"/>
  <c r="AF21"/>
  <c r="AV24"/>
  <c r="X29"/>
  <c r="AL34"/>
  <c r="AK41"/>
  <c r="S51"/>
  <c r="AG63"/>
  <c r="BI76"/>
  <c r="BL93"/>
  <c r="R111"/>
  <c r="AC129"/>
  <c r="M5"/>
  <c r="AR7"/>
  <c r="AN10"/>
  <c r="BA13"/>
  <c r="X18"/>
  <c r="AO21"/>
  <c r="Q25"/>
  <c r="I29"/>
  <c r="BG33"/>
  <c r="AX42"/>
  <c r="O53"/>
  <c r="AU64"/>
  <c r="AA76"/>
  <c r="AW94"/>
  <c r="BJ109"/>
  <c r="V133"/>
  <c r="L5"/>
  <c r="AO8"/>
  <c r="BG11"/>
  <c r="Y17"/>
  <c r="R22"/>
  <c r="BA25"/>
  <c r="N31"/>
  <c r="BL36"/>
  <c r="X48"/>
  <c r="O62"/>
  <c r="AD72"/>
  <c r="G90"/>
  <c r="X106"/>
  <c r="AG8"/>
  <c r="BI10"/>
  <c r="BH12"/>
  <c r="BB15"/>
  <c r="W18"/>
  <c r="AE21"/>
  <c r="X24"/>
  <c r="BH26"/>
  <c r="AP30"/>
  <c r="BI33"/>
  <c r="AG40"/>
  <c r="BB49"/>
  <c r="AE55"/>
  <c r="BI64"/>
  <c r="R71"/>
  <c r="P84"/>
  <c r="BM97"/>
  <c r="AH108"/>
  <c r="V124"/>
  <c r="P142"/>
  <c r="AE5"/>
  <c r="BF7"/>
  <c r="AZ9"/>
  <c r="AP12"/>
  <c r="K15"/>
  <c r="P18"/>
  <c r="M21"/>
  <c r="AC23"/>
  <c r="AK26"/>
  <c r="AE29"/>
  <c r="AJ33"/>
  <c r="AN39"/>
  <c r="BB44"/>
  <c r="K53"/>
  <c r="BJ59"/>
  <c r="AU68"/>
  <c r="AY77"/>
  <c r="AR89"/>
  <c r="G104"/>
  <c r="BL110"/>
  <c r="T128"/>
  <c r="AK4"/>
  <c r="AF6"/>
  <c r="I9"/>
  <c r="BL10"/>
  <c r="R14"/>
  <c r="L17"/>
  <c r="AP19"/>
  <c r="AX22"/>
  <c r="AG25"/>
  <c r="AR28"/>
  <c r="AT32"/>
  <c r="AS36"/>
  <c r="AV42"/>
  <c r="Z48"/>
  <c r="AR56"/>
  <c r="AI67"/>
  <c r="W74"/>
  <c r="AF89"/>
  <c r="P100"/>
  <c r="Q113"/>
  <c r="P135"/>
  <c r="AZ26"/>
  <c r="AT29"/>
  <c r="BJ31"/>
  <c r="O36"/>
  <c r="AB40"/>
  <c r="BM45"/>
  <c r="AG53"/>
  <c r="L61"/>
  <c r="AQ69"/>
  <c r="BM78"/>
  <c r="BE90"/>
  <c r="BE103"/>
  <c r="BG114"/>
  <c r="Y140"/>
  <c r="U31"/>
  <c r="BB34"/>
  <c r="AM42"/>
  <c r="K48"/>
  <c r="BM55"/>
  <c r="BK66"/>
  <c r="AR73"/>
  <c r="BF87"/>
  <c r="O96"/>
  <c r="AX110"/>
  <c r="AR128"/>
  <c r="BM162"/>
  <c r="O44"/>
  <c r="AD50"/>
  <c r="AO58"/>
  <c r="AD68"/>
  <c r="P75"/>
  <c r="BJ88"/>
  <c r="BK98"/>
  <c r="F112"/>
  <c r="AE132"/>
  <c r="L13"/>
  <c r="M16"/>
  <c r="AI18"/>
  <c r="AJ21"/>
  <c r="AS24"/>
  <c r="BG26"/>
  <c r="G30"/>
  <c r="AC32"/>
  <c r="AI36"/>
  <c r="BM40"/>
  <c r="Y45"/>
  <c r="AW50"/>
  <c r="M55"/>
  <c r="V62"/>
  <c r="AA68"/>
  <c r="AK73"/>
  <c r="S83"/>
  <c r="AP89"/>
  <c r="AY97"/>
  <c r="BK106"/>
  <c r="U114"/>
  <c r="BC129"/>
  <c r="BD151"/>
  <c r="V6"/>
  <c r="AM9"/>
  <c r="AF12"/>
  <c r="BM15"/>
  <c r="AX18"/>
  <c r="I23"/>
  <c r="BI27"/>
  <c r="AW31"/>
  <c r="AS37"/>
  <c r="H44"/>
  <c r="BM51"/>
  <c r="R62"/>
  <c r="W68"/>
  <c r="AK78"/>
  <c r="BF89"/>
  <c r="BC103"/>
  <c r="BG117"/>
  <c r="AD138"/>
  <c r="M6"/>
  <c r="BJ9"/>
  <c r="BA14"/>
  <c r="L19"/>
  <c r="AF23"/>
  <c r="AZ27"/>
  <c r="K32"/>
  <c r="AB37"/>
  <c r="I45"/>
  <c r="BF50"/>
  <c r="O61"/>
  <c r="Z67"/>
  <c r="BA77"/>
  <c r="AV92"/>
  <c r="AX102"/>
  <c r="BA115"/>
  <c r="AO131"/>
  <c r="AP41"/>
  <c r="AO46"/>
  <c r="AC50"/>
  <c r="T55"/>
  <c r="BF59"/>
  <c r="BK65"/>
  <c r="AZ71"/>
  <c r="M76"/>
  <c r="I86"/>
  <c r="BH91"/>
  <c r="I100"/>
  <c r="BH107"/>
  <c r="AS115"/>
  <c r="BL126"/>
  <c r="Y143"/>
  <c r="AO41"/>
  <c r="AF46"/>
  <c r="T50"/>
  <c r="K55"/>
  <c r="BM59"/>
  <c r="BA65"/>
  <c r="AG71"/>
  <c r="BJ75"/>
  <c r="AL85"/>
  <c r="T91"/>
  <c r="AA99"/>
  <c r="I117"/>
  <c r="AS141"/>
  <c r="BC46"/>
  <c r="O54"/>
  <c r="AJ66"/>
  <c r="AE78"/>
  <c r="AM92"/>
  <c r="P109"/>
  <c r="V126"/>
  <c r="V76"/>
  <c r="AV86"/>
  <c r="AH96"/>
  <c r="V111"/>
  <c r="AN132"/>
  <c r="AH85"/>
  <c r="W102"/>
  <c r="AJ114"/>
  <c r="BL152"/>
  <c r="BG73"/>
  <c r="AX98"/>
  <c r="BC132"/>
  <c r="AU128"/>
  <c r="AP124"/>
  <c r="BD163"/>
  <c r="AA138"/>
  <c r="AI146"/>
  <c r="X138"/>
  <c r="J139"/>
  <c r="BE144"/>
  <c r="AH154"/>
  <c r="AM163"/>
  <c r="AZ15"/>
  <c r="AW53"/>
  <c r="AW33"/>
  <c r="AU36"/>
  <c r="AT21"/>
  <c r="AZ10"/>
  <c r="AW72"/>
  <c r="BI12"/>
  <c r="AF68"/>
  <c r="AU8"/>
  <c r="Q55"/>
  <c r="Q17"/>
  <c r="AS9"/>
  <c r="J25"/>
  <c r="AK54"/>
  <c r="Q98"/>
  <c r="BH14"/>
  <c r="AE44"/>
  <c r="U64"/>
  <c r="AB5"/>
  <c r="AM18"/>
  <c r="I42"/>
  <c r="Z102"/>
  <c r="BB13"/>
  <c r="J33"/>
  <c r="BM74"/>
  <c r="G5"/>
  <c r="K12"/>
  <c r="AU21"/>
  <c r="T26"/>
  <c r="AS51"/>
  <c r="AU90"/>
  <c r="AO4"/>
  <c r="Y13"/>
  <c r="G24"/>
  <c r="Q32"/>
  <c r="AE41"/>
  <c r="BC55"/>
  <c r="L89"/>
  <c r="AS125"/>
  <c r="AB7"/>
  <c r="BF11"/>
  <c r="BB16"/>
  <c r="AI23"/>
  <c r="K30"/>
  <c r="AU37"/>
  <c r="R54"/>
  <c r="AJ70"/>
  <c r="S92"/>
  <c r="AA125"/>
  <c r="AZ4"/>
  <c r="V7"/>
  <c r="AV10"/>
  <c r="BJ13"/>
  <c r="R17"/>
  <c r="N21"/>
  <c r="Z24"/>
  <c r="AJ28"/>
  <c r="M34"/>
  <c r="AR49"/>
  <c r="M91"/>
  <c r="M127"/>
  <c r="AR4"/>
  <c r="X10"/>
  <c r="AW17"/>
  <c r="AM24"/>
  <c r="AG33"/>
  <c r="W52"/>
  <c r="M74"/>
  <c r="S108"/>
  <c r="BE4"/>
  <c r="AP11"/>
  <c r="BI20"/>
  <c r="AZ30"/>
  <c r="AL47"/>
  <c r="AT71"/>
  <c r="W104"/>
  <c r="S10"/>
  <c r="AQ15"/>
  <c r="L18"/>
  <c r="AJ23"/>
  <c r="Z30"/>
  <c r="AX39"/>
  <c r="AD64"/>
  <c r="AC83"/>
  <c r="AK107"/>
  <c r="AJ140"/>
  <c r="N7"/>
  <c r="AB12"/>
  <c r="U20"/>
  <c r="W26"/>
  <c r="T33"/>
  <c r="AB44"/>
  <c r="AD59"/>
  <c r="N75"/>
  <c r="R103"/>
  <c r="AL126"/>
  <c r="T6"/>
  <c r="BB10"/>
  <c r="W16"/>
  <c r="AJ22"/>
  <c r="AB28"/>
  <c r="AB36"/>
  <c r="BK47"/>
  <c r="J65"/>
  <c r="U99"/>
  <c r="S128"/>
  <c r="AF29"/>
  <c r="BD34"/>
  <c r="AP45"/>
  <c r="AZ59"/>
  <c r="Y76"/>
  <c r="V103"/>
  <c r="U136"/>
  <c r="AN34"/>
  <c r="BE47"/>
  <c r="AC64"/>
  <c r="U86"/>
  <c r="BG108"/>
  <c r="R155"/>
  <c r="AC49"/>
  <c r="AX65"/>
  <c r="BE87"/>
  <c r="AB125"/>
  <c r="BH29"/>
  <c r="U32"/>
  <c r="AA36"/>
  <c r="AV44"/>
  <c r="BH54"/>
  <c r="AW66"/>
  <c r="S89"/>
  <c r="BH104"/>
  <c r="H128"/>
  <c r="BG5"/>
  <c r="X12"/>
  <c r="R18"/>
  <c r="Z26"/>
  <c r="AC37"/>
  <c r="AK51"/>
  <c r="BC67"/>
  <c r="R89"/>
  <c r="G113"/>
  <c r="Z5"/>
  <c r="M14"/>
  <c r="BA22"/>
  <c r="AR27"/>
  <c r="T37"/>
  <c r="AU50"/>
  <c r="J67"/>
  <c r="AI88"/>
  <c r="BI114"/>
  <c r="N45"/>
  <c r="BM54"/>
  <c r="AS65"/>
  <c r="BA75"/>
  <c r="AI91"/>
  <c r="AD106"/>
  <c r="AU126"/>
  <c r="AG41"/>
  <c r="L50"/>
  <c r="BE59"/>
  <c r="BD69"/>
  <c r="X85"/>
  <c r="AU98"/>
  <c r="AU139"/>
  <c r="AR53"/>
  <c r="Z74"/>
  <c r="N106"/>
  <c r="X74"/>
  <c r="AA93"/>
  <c r="AP126"/>
  <c r="Q96"/>
  <c r="AR147"/>
  <c r="AH98"/>
  <c r="O128"/>
  <c r="AC136"/>
  <c r="AO138"/>
  <c r="AM136"/>
  <c r="AO144"/>
  <c r="U153"/>
  <c r="F61"/>
  <c r="F70"/>
  <c r="F164"/>
  <c r="F138"/>
  <c r="F13"/>
  <c r="F16"/>
  <c r="F26"/>
  <c r="F33"/>
  <c r="F147"/>
  <c r="F141"/>
  <c r="F139"/>
  <c r="F146"/>
  <c r="F21"/>
  <c r="AB18"/>
  <c r="I48"/>
  <c r="AG16"/>
  <c r="S23"/>
  <c r="Y126"/>
  <c r="R25"/>
  <c r="AP74"/>
  <c r="AB14"/>
  <c r="R45"/>
  <c r="S115"/>
  <c r="AM13"/>
  <c r="Q50"/>
  <c r="BI122"/>
  <c r="AP28"/>
  <c r="V136"/>
  <c r="I33"/>
  <c r="AI100"/>
  <c r="O19"/>
  <c r="H67"/>
  <c r="X9"/>
  <c r="BJ24"/>
  <c r="AK63"/>
  <c r="O127"/>
  <c r="AD11"/>
  <c r="AH27"/>
  <c r="V65"/>
  <c r="AK110"/>
  <c r="AK7"/>
  <c r="I24"/>
  <c r="AQ46"/>
  <c r="AZ93"/>
  <c r="K11"/>
  <c r="AA120"/>
  <c r="V8"/>
  <c r="AD16"/>
  <c r="AT23"/>
  <c r="Z32"/>
  <c r="BI52"/>
  <c r="AL71"/>
  <c r="AR97"/>
  <c r="BM4"/>
  <c r="U13"/>
  <c r="AY23"/>
  <c r="AU34"/>
  <c r="BB62"/>
  <c r="AN85"/>
  <c r="BA4"/>
  <c r="AA10"/>
  <c r="BH17"/>
  <c r="AB26"/>
  <c r="BD40"/>
  <c r="AK67"/>
  <c r="Y97"/>
  <c r="BE5"/>
  <c r="S12"/>
  <c r="M20"/>
  <c r="I27"/>
  <c r="H47"/>
  <c r="BH72"/>
  <c r="Q108"/>
  <c r="AY4"/>
  <c r="BK7"/>
  <c r="AW11"/>
  <c r="H16"/>
  <c r="O21"/>
  <c r="AY25"/>
  <c r="AO32"/>
  <c r="AA49"/>
  <c r="BF68"/>
  <c r="F88"/>
  <c r="AG112"/>
  <c r="S4"/>
  <c r="BA7"/>
  <c r="Z12"/>
  <c r="BE17"/>
  <c r="AK23"/>
  <c r="BL30"/>
  <c r="T40"/>
  <c r="AJ54"/>
  <c r="S68"/>
  <c r="BI88"/>
  <c r="AG114"/>
  <c r="X6"/>
  <c r="AF11"/>
  <c r="R16"/>
  <c r="BE21"/>
  <c r="AG29"/>
  <c r="G37"/>
  <c r="AY49"/>
  <c r="Z69"/>
  <c r="AY88"/>
  <c r="BD118"/>
  <c r="AJ4"/>
  <c r="J7"/>
  <c r="O10"/>
  <c r="AN13"/>
  <c r="BE16"/>
  <c r="AD20"/>
  <c r="H24"/>
  <c r="L28"/>
  <c r="R33"/>
  <c r="N40"/>
  <c r="AZ48"/>
  <c r="N61"/>
  <c r="BI73"/>
  <c r="BD90"/>
  <c r="AJ107"/>
  <c r="BF126"/>
  <c r="AD4"/>
  <c r="BK6"/>
  <c r="AX9"/>
  <c r="BB12"/>
  <c r="AU16"/>
  <c r="BJ20"/>
  <c r="R24"/>
  <c r="BL27"/>
  <c r="AL32"/>
  <c r="BL39"/>
  <c r="BC50"/>
  <c r="P62"/>
  <c r="AF73"/>
  <c r="H90"/>
  <c r="AE106"/>
  <c r="AU124"/>
  <c r="AQ4"/>
  <c r="AC7"/>
  <c r="Z11"/>
  <c r="AT16"/>
  <c r="AL20"/>
  <c r="L25"/>
  <c r="H29"/>
  <c r="G36"/>
  <c r="AX46"/>
  <c r="AA56"/>
  <c r="BA70"/>
  <c r="T85"/>
  <c r="AJ102"/>
  <c r="F132"/>
  <c r="G10"/>
  <c r="AI12"/>
  <c r="AY14"/>
  <c r="BG17"/>
  <c r="BA20"/>
  <c r="V23"/>
  <c r="AD26"/>
  <c r="W29"/>
  <c r="AC33"/>
  <c r="AA39"/>
  <c r="U47"/>
  <c r="AC54"/>
  <c r="W62"/>
  <c r="H70"/>
  <c r="Y81"/>
  <c r="W93"/>
  <c r="AF106"/>
  <c r="O116"/>
  <c r="BH136"/>
  <c r="I5"/>
  <c r="BM6"/>
  <c r="AF9"/>
  <c r="AI11"/>
  <c r="AR14"/>
  <c r="AO17"/>
  <c r="J20"/>
  <c r="BM22"/>
  <c r="AH25"/>
  <c r="BH28"/>
  <c r="BM32"/>
  <c r="BJ36"/>
  <c r="AY43"/>
  <c r="AO50"/>
  <c r="BG58"/>
  <c r="AJ67"/>
  <c r="AE74"/>
  <c r="AT87"/>
  <c r="AM98"/>
  <c r="BE108"/>
  <c r="M125"/>
  <c r="R146"/>
  <c r="J6"/>
  <c r="P8"/>
  <c r="AR10"/>
  <c r="AO13"/>
  <c r="I16"/>
  <c r="Q19"/>
  <c r="AV21"/>
  <c r="BC24"/>
  <c r="M28"/>
  <c r="V31"/>
  <c r="H36"/>
  <c r="R40"/>
  <c r="Y47"/>
  <c r="AN55"/>
  <c r="AN64"/>
  <c r="O73"/>
  <c r="AW84"/>
  <c r="X98"/>
  <c r="BC110"/>
  <c r="AF126"/>
  <c r="BG165"/>
  <c r="AQ28"/>
  <c r="AK31"/>
  <c r="AS34"/>
  <c r="X39"/>
  <c r="BL44"/>
  <c r="BD50"/>
  <c r="L59"/>
  <c r="AK68"/>
  <c r="AF75"/>
  <c r="P89"/>
  <c r="AN98"/>
  <c r="BG112"/>
  <c r="BE134"/>
  <c r="AD29"/>
  <c r="AC34"/>
  <c r="BF39"/>
  <c r="AK47"/>
  <c r="Z54"/>
  <c r="AR63"/>
  <c r="M72"/>
  <c r="AT83"/>
  <c r="AB94"/>
  <c r="X108"/>
  <c r="AQ120"/>
  <c r="AT153"/>
  <c r="AR41"/>
  <c r="L49"/>
  <c r="AP56"/>
  <c r="AB65"/>
  <c r="BJ73"/>
  <c r="Z84"/>
  <c r="T97"/>
  <c r="AW110"/>
  <c r="AO123"/>
  <c r="AW12"/>
  <c r="BK14"/>
  <c r="K18"/>
  <c r="T21"/>
  <c r="AH23"/>
  <c r="AQ26"/>
  <c r="BM28"/>
  <c r="M32"/>
  <c r="BG34"/>
  <c r="AT39"/>
  <c r="AK44"/>
  <c r="BF48"/>
  <c r="U54"/>
  <c r="BG61"/>
  <c r="BM65"/>
  <c r="Y72"/>
  <c r="O78"/>
  <c r="AK88"/>
  <c r="AC96"/>
  <c r="AK104"/>
  <c r="H113"/>
  <c r="BE123"/>
  <c r="AA146"/>
  <c r="AY5"/>
  <c r="AJ8"/>
  <c r="P12"/>
  <c r="AT14"/>
  <c r="J18"/>
  <c r="AL22"/>
  <c r="R26"/>
  <c r="Q31"/>
  <c r="BF34"/>
  <c r="S43"/>
  <c r="Z51"/>
  <c r="AF58"/>
  <c r="AQ67"/>
  <c r="AI74"/>
  <c r="BG88"/>
  <c r="X100"/>
  <c r="AU112"/>
  <c r="BB129"/>
  <c r="AE4"/>
  <c r="AY8"/>
  <c r="AP13"/>
  <c r="AL17"/>
  <c r="AC22"/>
  <c r="Q26"/>
  <c r="H31"/>
  <c r="BM36"/>
  <c r="Z42"/>
  <c r="V50"/>
  <c r="J56"/>
  <c r="AQ66"/>
  <c r="T77"/>
  <c r="BB87"/>
  <c r="J102"/>
  <c r="F111"/>
  <c r="AQ129"/>
  <c r="J41"/>
  <c r="BG44"/>
  <c r="AX49"/>
  <c r="AT53"/>
  <c r="Z59"/>
  <c r="AY64"/>
  <c r="AV69"/>
  <c r="AX74"/>
  <c r="AB83"/>
  <c r="P90"/>
  <c r="W98"/>
  <c r="K105"/>
  <c r="AR113"/>
  <c r="AX122"/>
  <c r="V139"/>
  <c r="I41"/>
  <c r="AX44"/>
  <c r="AW49"/>
  <c r="AK53"/>
  <c r="AG59"/>
  <c r="Y65"/>
  <c r="AB69"/>
  <c r="AD75"/>
  <c r="AP81"/>
  <c r="BB90"/>
  <c r="AG98"/>
  <c r="AO110"/>
  <c r="AS138"/>
  <c r="AD43"/>
  <c r="AB53"/>
  <c r="I64"/>
  <c r="BM73"/>
  <c r="I89"/>
  <c r="BJ103"/>
  <c r="BD120"/>
  <c r="H74"/>
  <c r="AO83"/>
  <c r="K93"/>
  <c r="BK105"/>
  <c r="AY125"/>
  <c r="U84"/>
  <c r="BH95"/>
  <c r="M113"/>
  <c r="AM132"/>
  <c r="AF72"/>
  <c r="AF96"/>
  <c r="H118"/>
  <c r="AN125"/>
  <c r="M166"/>
  <c r="O155"/>
  <c r="BF134"/>
  <c r="AJ135"/>
  <c r="H136"/>
  <c r="BK164"/>
  <c r="BJ165"/>
  <c r="Q147"/>
  <c r="AX152"/>
  <c r="P123"/>
  <c r="BM9"/>
  <c r="AG4"/>
  <c r="BI80"/>
  <c r="G26"/>
  <c r="X128"/>
  <c r="AY28"/>
  <c r="S111"/>
  <c r="BJ26"/>
  <c r="AC94"/>
  <c r="V153"/>
  <c r="K17"/>
  <c r="Y33"/>
  <c r="AG73"/>
  <c r="AJ5"/>
  <c r="K25"/>
  <c r="BF92"/>
  <c r="BK10"/>
  <c r="H30"/>
  <c r="L69"/>
  <c r="AB6"/>
  <c r="G21"/>
  <c r="BH48"/>
  <c r="AU115"/>
  <c r="W8"/>
  <c r="J17"/>
  <c r="M33"/>
  <c r="G70"/>
  <c r="BA122"/>
  <c r="N8"/>
  <c r="U18"/>
  <c r="AK70"/>
  <c r="BF40"/>
  <c r="AW62"/>
  <c r="BI74"/>
  <c r="AL110"/>
  <c r="AD7"/>
  <c r="I13"/>
  <c r="V21"/>
  <c r="AX28"/>
  <c r="AH40"/>
  <c r="BE63"/>
  <c r="AB93"/>
  <c r="T125"/>
  <c r="X8"/>
  <c r="BM16"/>
  <c r="AI25"/>
  <c r="AJ36"/>
  <c r="I58"/>
  <c r="BD89"/>
  <c r="BK166"/>
  <c r="AT12"/>
  <c r="Q21"/>
  <c r="AS26"/>
  <c r="AS33"/>
  <c r="AV47"/>
  <c r="BI54"/>
  <c r="AR70"/>
  <c r="J94"/>
  <c r="AI122"/>
  <c r="U5"/>
  <c r="AP9"/>
  <c r="BF14"/>
  <c r="AZ17"/>
  <c r="O23"/>
  <c r="N29"/>
  <c r="P37"/>
  <c r="AT52"/>
  <c r="M68"/>
  <c r="AT88"/>
  <c r="AZ109"/>
  <c r="AL158"/>
  <c r="BF8"/>
  <c r="BC13"/>
  <c r="AE19"/>
  <c r="S25"/>
  <c r="AM31"/>
  <c r="J42"/>
  <c r="P56"/>
  <c r="BC73"/>
  <c r="AL88"/>
  <c r="BJ111"/>
  <c r="AL26"/>
  <c r="AY31"/>
  <c r="AI39"/>
  <c r="BD52"/>
  <c r="BG68"/>
  <c r="AY89"/>
  <c r="AS113"/>
  <c r="AO29"/>
  <c r="V42"/>
  <c r="AS55"/>
  <c r="Q73"/>
  <c r="AL95"/>
  <c r="AP123"/>
  <c r="BA43"/>
  <c r="X58"/>
  <c r="AY74"/>
  <c r="Y98"/>
  <c r="Y111"/>
  <c r="BE12"/>
  <c r="BF15"/>
  <c r="S18"/>
  <c r="AB21"/>
  <c r="AP23"/>
  <c r="AY26"/>
  <c r="BB39"/>
  <c r="J50"/>
  <c r="H62"/>
  <c r="X73"/>
  <c r="AY81"/>
  <c r="AZ96"/>
  <c r="BI113"/>
  <c r="BH147"/>
  <c r="BH8"/>
  <c r="AW15"/>
  <c r="AT22"/>
  <c r="Y31"/>
  <c r="AG43"/>
  <c r="AQ58"/>
  <c r="N78"/>
  <c r="AF103"/>
  <c r="AP136"/>
  <c r="BB9"/>
  <c r="AG18"/>
  <c r="AF31"/>
  <c r="BM42"/>
  <c r="BG59"/>
  <c r="AL77"/>
  <c r="AA102"/>
  <c r="BC130"/>
  <c r="R41"/>
  <c r="BF49"/>
  <c r="AH59"/>
  <c r="BE69"/>
  <c r="AV84"/>
  <c r="AK98"/>
  <c r="BD113"/>
  <c r="AV139"/>
  <c r="BF44"/>
  <c r="BL54"/>
  <c r="AR65"/>
  <c r="AZ75"/>
  <c r="F91"/>
  <c r="N111"/>
  <c r="G46"/>
  <c r="AP65"/>
  <c r="S91"/>
  <c r="L124"/>
  <c r="BB84"/>
  <c r="AJ110"/>
  <c r="R85"/>
  <c r="I114"/>
  <c r="AA73"/>
  <c r="M121"/>
  <c r="Z124"/>
  <c r="AL161"/>
  <c r="AF136"/>
  <c r="AE153"/>
  <c r="F58"/>
  <c r="F81"/>
  <c r="F19"/>
  <c r="F68"/>
  <c r="F27"/>
  <c r="F6"/>
  <c r="F165"/>
  <c r="F77"/>
  <c r="F62"/>
  <c r="F47"/>
  <c r="F50"/>
  <c r="AN8"/>
  <c r="BG6"/>
  <c r="AX24"/>
  <c r="AG21"/>
  <c r="Q87"/>
  <c r="G23"/>
  <c r="I70"/>
  <c r="AK12"/>
  <c r="W37"/>
  <c r="AH114"/>
  <c r="W11"/>
  <c r="Z43"/>
  <c r="H121"/>
  <c r="O26"/>
  <c r="I135"/>
  <c r="AH28"/>
  <c r="AT99"/>
  <c r="AG17"/>
  <c r="Q63"/>
  <c r="H8"/>
  <c r="AA23"/>
  <c r="AH53"/>
  <c r="BF123"/>
  <c r="AK10"/>
  <c r="AU24"/>
  <c r="AM59"/>
  <c r="P105"/>
  <c r="AX6"/>
  <c r="AM21"/>
  <c r="AA40"/>
  <c r="K88"/>
  <c r="K9"/>
  <c r="O118"/>
  <c r="AX7"/>
  <c r="AK15"/>
  <c r="BE22"/>
  <c r="X30"/>
  <c r="T51"/>
  <c r="AR69"/>
  <c r="Q92"/>
  <c r="Y4"/>
  <c r="AJ12"/>
  <c r="P22"/>
  <c r="AF32"/>
  <c r="AO56"/>
  <c r="AU80"/>
  <c r="T4"/>
  <c r="AN9"/>
  <c r="O16"/>
  <c r="AX25"/>
  <c r="BK37"/>
  <c r="AH62"/>
  <c r="BG96"/>
  <c r="W5"/>
  <c r="AM11"/>
  <c r="Z19"/>
  <c r="U26"/>
  <c r="AZ43"/>
  <c r="I71"/>
  <c r="AP107"/>
  <c r="Z4"/>
  <c r="AP7"/>
  <c r="V11"/>
  <c r="AM15"/>
  <c r="K20"/>
  <c r="U25"/>
  <c r="BB31"/>
  <c r="AD44"/>
  <c r="AU67"/>
  <c r="BM87"/>
  <c r="AQ105"/>
  <c r="X162"/>
  <c r="AE7"/>
  <c r="AG11"/>
  <c r="U17"/>
  <c r="AH22"/>
  <c r="AN29"/>
  <c r="AE39"/>
  <c r="S53"/>
  <c r="BF65"/>
  <c r="AK86"/>
  <c r="R110"/>
  <c r="AR5"/>
  <c r="AT10"/>
  <c r="BA15"/>
  <c r="BB20"/>
  <c r="BA28"/>
  <c r="AE36"/>
  <c r="W47"/>
  <c r="BD65"/>
  <c r="M86"/>
  <c r="BK113"/>
  <c r="V4"/>
  <c r="BE6"/>
  <c r="AQ9"/>
  <c r="V13"/>
  <c r="AM16"/>
  <c r="AY19"/>
  <c r="AZ23"/>
  <c r="AX27"/>
  <c r="X32"/>
  <c r="AP39"/>
  <c r="I47"/>
  <c r="AJ58"/>
  <c r="N72"/>
  <c r="AA89"/>
  <c r="AN103"/>
  <c r="AH123"/>
  <c r="N4"/>
  <c r="AI6"/>
  <c r="AH9"/>
  <c r="AH12"/>
  <c r="G16"/>
  <c r="AQ20"/>
  <c r="BJ23"/>
  <c r="P27"/>
  <c r="H32"/>
  <c r="Z39"/>
  <c r="Y48"/>
  <c r="AM61"/>
  <c r="AH72"/>
  <c r="G87"/>
  <c r="AE104"/>
  <c r="U122"/>
  <c r="AC4"/>
  <c r="O7"/>
  <c r="H11"/>
  <c r="AV14"/>
  <c r="S20"/>
  <c r="BE24"/>
  <c r="AT28"/>
  <c r="AV34"/>
  <c r="AT42"/>
  <c r="AF55"/>
  <c r="BI69"/>
  <c r="AQ83"/>
  <c r="BD100"/>
  <c r="N122"/>
  <c r="BF9"/>
  <c r="V12"/>
  <c r="AN14"/>
  <c r="AS17"/>
  <c r="BL19"/>
  <c r="K23"/>
  <c r="P26"/>
  <c r="AZ28"/>
  <c r="K33"/>
  <c r="X37"/>
  <c r="AT46"/>
  <c r="BG53"/>
  <c r="BH61"/>
  <c r="AP69"/>
  <c r="BG76"/>
  <c r="W92"/>
  <c r="AF105"/>
  <c r="BL115"/>
  <c r="Q134"/>
  <c r="AB4"/>
  <c r="BC6"/>
  <c r="T9"/>
  <c r="Y11"/>
  <c r="AG14"/>
  <c r="AW16"/>
  <c r="BE19"/>
  <c r="AY22"/>
  <c r="T25"/>
  <c r="AS28"/>
  <c r="BG31"/>
  <c r="AT36"/>
  <c r="U43"/>
  <c r="AM49"/>
  <c r="Z58"/>
  <c r="AR64"/>
  <c r="BH73"/>
  <c r="BH86"/>
  <c r="AN97"/>
  <c r="G108"/>
  <c r="R118"/>
  <c r="AQ143"/>
  <c r="BJ5"/>
  <c r="BC7"/>
  <c r="AF10"/>
  <c r="AL12"/>
  <c r="BH15"/>
  <c r="BB18"/>
  <c r="AK21"/>
  <c r="AO24"/>
  <c r="Q27"/>
  <c r="AX30"/>
  <c r="BI34"/>
  <c r="BD39"/>
  <c r="BH46"/>
  <c r="AM53"/>
  <c r="G64"/>
  <c r="AQ72"/>
  <c r="AR83"/>
  <c r="AJ97"/>
  <c r="BD106"/>
  <c r="I125"/>
  <c r="AA163"/>
  <c r="AC28"/>
  <c r="W31"/>
  <c r="AP33"/>
  <c r="J39"/>
  <c r="AR44"/>
  <c r="P50"/>
  <c r="AX58"/>
  <c r="AL65"/>
  <c r="BK74"/>
  <c r="AS88"/>
  <c r="BL97"/>
  <c r="W112"/>
  <c r="AZ125"/>
  <c r="P29"/>
  <c r="AY33"/>
  <c r="AU39"/>
  <c r="AJ46"/>
  <c r="AV52"/>
  <c r="AV62"/>
  <c r="AV71"/>
  <c r="AJ81"/>
  <c r="AV93"/>
  <c r="V104"/>
  <c r="BC118"/>
  <c r="U147"/>
  <c r="U41"/>
  <c r="AA48"/>
  <c r="AP54"/>
  <c r="V64"/>
  <c r="AP73"/>
  <c r="J83"/>
  <c r="AQ96"/>
  <c r="N107"/>
  <c r="AY122"/>
  <c r="AO12"/>
  <c r="BC14"/>
  <c r="BL17"/>
  <c r="Y20"/>
  <c r="Z23"/>
  <c r="S26"/>
  <c r="BE28"/>
  <c r="AP31"/>
  <c r="S34"/>
  <c r="V39"/>
  <c r="BG43"/>
  <c r="AG48"/>
  <c r="J54"/>
  <c r="K59"/>
  <c r="AW65"/>
  <c r="BE71"/>
  <c r="BH77"/>
  <c r="T88"/>
  <c r="T94"/>
  <c r="P103"/>
  <c r="V112"/>
  <c r="S123"/>
  <c r="AJ143"/>
  <c r="BD4"/>
  <c r="AB8"/>
  <c r="BA11"/>
  <c r="AL14"/>
  <c r="BC17"/>
  <c r="BL20"/>
  <c r="BC25"/>
  <c r="BJ30"/>
  <c r="AH34"/>
  <c r="AO42"/>
  <c r="BE48"/>
  <c r="BL56"/>
  <c r="BL65"/>
  <c r="BL73"/>
  <c r="AB86"/>
  <c r="AX97"/>
  <c r="BB109"/>
  <c r="M129"/>
  <c r="Z162"/>
  <c r="AQ8"/>
  <c r="O12"/>
  <c r="AD17"/>
  <c r="U22"/>
  <c r="I26"/>
  <c r="BI30"/>
  <c r="AW34"/>
  <c r="O42"/>
  <c r="H50"/>
  <c r="BI55"/>
  <c r="AE66"/>
  <c r="AH73"/>
  <c r="AE87"/>
  <c r="Q100"/>
  <c r="BM110"/>
  <c r="AI128"/>
  <c r="J160"/>
  <c r="AI44"/>
  <c r="BC48"/>
  <c r="V53"/>
  <c r="AE58"/>
  <c r="BD63"/>
  <c r="AS68"/>
  <c r="AB74"/>
  <c r="AO80"/>
  <c r="AX89"/>
  <c r="AT95"/>
  <c r="AR104"/>
  <c r="AB113"/>
  <c r="J122"/>
  <c r="AT138"/>
  <c r="W161"/>
  <c r="AP44"/>
  <c r="AO49"/>
  <c r="AC53"/>
  <c r="Y59"/>
  <c r="BK63"/>
  <c r="S69"/>
  <c r="T75"/>
  <c r="AB81"/>
  <c r="AN90"/>
  <c r="BD95"/>
  <c r="AS109"/>
  <c r="O130"/>
  <c r="AY42"/>
  <c r="AL51"/>
  <c r="K62"/>
  <c r="BG71"/>
  <c r="AV87"/>
  <c r="BJ99"/>
  <c r="BM117"/>
  <c r="V144"/>
  <c r="BC81"/>
  <c r="BB92"/>
  <c r="AX104"/>
  <c r="Z125"/>
  <c r="AP162"/>
  <c r="AJ95"/>
  <c r="Z112"/>
  <c r="L131"/>
  <c r="P72"/>
  <c r="AK89"/>
  <c r="AY116"/>
  <c r="P125"/>
  <c r="BG163"/>
  <c r="L153"/>
  <c r="AL125"/>
  <c r="AM134"/>
  <c r="O131"/>
  <c r="X164"/>
  <c r="AG158"/>
  <c r="H165"/>
  <c r="BE145"/>
  <c r="AQ22"/>
  <c r="BB73"/>
  <c r="U9"/>
  <c r="K70"/>
  <c r="BA10"/>
  <c r="AI37"/>
  <c r="BG92"/>
  <c r="AO16"/>
  <c r="BC41"/>
  <c r="AK113"/>
  <c r="BI7"/>
  <c r="AJ30"/>
  <c r="BE76"/>
  <c r="AY6"/>
  <c r="AS44"/>
  <c r="Z6"/>
  <c r="AW30"/>
  <c r="X81"/>
  <c r="AK13"/>
  <c r="AP32"/>
  <c r="AB89"/>
  <c r="AG13"/>
  <c r="BC27"/>
  <c r="AY66"/>
  <c r="H124"/>
  <c r="L9"/>
  <c r="BA21"/>
  <c r="AJ41"/>
  <c r="BJ95"/>
  <c r="AB122"/>
  <c r="Q11"/>
  <c r="AB25"/>
  <c r="K43"/>
  <c r="AO87"/>
  <c r="H6"/>
  <c r="AO39"/>
  <c r="BB4"/>
  <c r="AV11"/>
  <c r="BI17"/>
  <c r="Y24"/>
  <c r="T31"/>
  <c r="AB49"/>
  <c r="H66"/>
  <c r="AY84"/>
  <c r="BK108"/>
  <c r="S7"/>
  <c r="AR15"/>
  <c r="AF24"/>
  <c r="AQ33"/>
  <c r="BB54"/>
  <c r="AS73"/>
  <c r="AS104"/>
  <c r="K7"/>
  <c r="T12"/>
  <c r="AA19"/>
  <c r="S27"/>
  <c r="O39"/>
  <c r="AW58"/>
  <c r="AF90"/>
  <c r="AX138"/>
  <c r="BB8"/>
  <c r="AD15"/>
  <c r="BC21"/>
  <c r="BJ28"/>
  <c r="AF45"/>
  <c r="AH67"/>
  <c r="BB96"/>
  <c r="BM140"/>
  <c r="L6"/>
  <c r="R9"/>
  <c r="AQ12"/>
  <c r="AN16"/>
  <c r="AR20"/>
  <c r="BB24"/>
  <c r="BI29"/>
  <c r="P36"/>
  <c r="R50"/>
  <c r="AO66"/>
  <c r="X80"/>
  <c r="Q94"/>
  <c r="M117"/>
  <c r="Y153"/>
  <c r="Y6"/>
  <c r="AB9"/>
  <c r="BG12"/>
  <c r="BC16"/>
  <c r="BF20"/>
  <c r="AM26"/>
  <c r="AJ31"/>
  <c r="AX37"/>
  <c r="AO48"/>
  <c r="AL59"/>
  <c r="AD69"/>
  <c r="K84"/>
  <c r="K104"/>
  <c r="L151"/>
  <c r="AR6"/>
  <c r="P10"/>
  <c r="T14"/>
  <c r="T18"/>
  <c r="AB22"/>
  <c r="S28"/>
  <c r="AH33"/>
  <c r="W41"/>
  <c r="BL50"/>
  <c r="AF64"/>
  <c r="AR77"/>
  <c r="AM100"/>
  <c r="U124"/>
  <c r="J4"/>
  <c r="O6"/>
  <c r="U8"/>
  <c r="AE10"/>
  <c r="BJ12"/>
  <c r="AL15"/>
  <c r="N18"/>
  <c r="AZ20"/>
  <c r="AE23"/>
  <c r="AT26"/>
  <c r="BA29"/>
  <c r="AR33"/>
  <c r="K39"/>
  <c r="AZ44"/>
  <c r="BH52"/>
  <c r="BJ61"/>
  <c r="S71"/>
  <c r="AM84"/>
  <c r="I94"/>
  <c r="V109"/>
  <c r="AB120"/>
  <c r="AU144"/>
  <c r="Y5"/>
  <c r="R7"/>
  <c r="Q9"/>
  <c r="AQ11"/>
  <c r="I14"/>
  <c r="AB17"/>
  <c r="V20"/>
  <c r="BH22"/>
  <c r="AJ25"/>
  <c r="Z28"/>
  <c r="AS31"/>
  <c r="AM36"/>
  <c r="AB43"/>
  <c r="AP51"/>
  <c r="BB59"/>
  <c r="R68"/>
  <c r="AB77"/>
  <c r="BA91"/>
  <c r="AP102"/>
  <c r="BK115"/>
  <c r="G132"/>
  <c r="M4"/>
  <c r="R6"/>
  <c r="J8"/>
  <c r="AL10"/>
  <c r="AY12"/>
  <c r="Y16"/>
  <c r="S19"/>
  <c r="BI21"/>
  <c r="AH24"/>
  <c r="K27"/>
  <c r="Y30"/>
  <c r="BF33"/>
  <c r="Y39"/>
  <c r="G45"/>
  <c r="V52"/>
  <c r="AJ61"/>
  <c r="BL68"/>
  <c r="Z76"/>
  <c r="V88"/>
  <c r="AV97"/>
  <c r="AT111"/>
  <c r="BM131"/>
  <c r="Z9"/>
  <c r="AY10"/>
  <c r="L12"/>
  <c r="AW13"/>
  <c r="AC15"/>
  <c r="T17"/>
  <c r="BJ18"/>
  <c r="AP20"/>
  <c r="AG22"/>
  <c r="J24"/>
  <c r="AZ25"/>
  <c r="BD27"/>
  <c r="J30"/>
  <c r="AN32"/>
  <c r="BA34"/>
  <c r="I39"/>
  <c r="H45"/>
  <c r="W49"/>
  <c r="Z53"/>
  <c r="AN58"/>
  <c r="BF63"/>
  <c r="AC68"/>
  <c r="AO73"/>
  <c r="AV80"/>
  <c r="Z89"/>
  <c r="L97"/>
  <c r="AL104"/>
  <c r="AL112"/>
  <c r="F121"/>
  <c r="AA131"/>
  <c r="W154"/>
  <c r="BH4"/>
  <c r="W6"/>
  <c r="AT7"/>
  <c r="J9"/>
  <c r="AI10"/>
  <c r="R12"/>
  <c r="H14"/>
  <c r="AU15"/>
  <c r="AA17"/>
  <c r="R19"/>
  <c r="BH20"/>
  <c r="AN22"/>
  <c r="AE24"/>
  <c r="L26"/>
  <c r="N28"/>
  <c r="Q30"/>
  <c r="AU32"/>
  <c r="BJ34"/>
  <c r="Q39"/>
  <c r="AW42"/>
  <c r="AF47"/>
  <c r="T52"/>
  <c r="Q56"/>
  <c r="I62"/>
  <c r="Y66"/>
  <c r="AJ71"/>
  <c r="L77"/>
  <c r="BC85"/>
  <c r="AN93"/>
  <c r="Y102"/>
  <c r="L107"/>
  <c r="O112"/>
  <c r="AG123"/>
  <c r="U138"/>
  <c r="AA4"/>
  <c r="AZ5"/>
  <c r="M7"/>
  <c r="AV8"/>
  <c r="L10"/>
  <c r="AH11"/>
  <c r="AD13"/>
  <c r="U15"/>
  <c r="BJ16"/>
  <c r="AN18"/>
  <c r="AS20"/>
  <c r="Y22"/>
  <c r="P24"/>
  <c r="H26"/>
  <c r="BG27"/>
  <c r="BK29"/>
  <c r="AD32"/>
  <c r="AR34"/>
  <c r="AV37"/>
  <c r="AT41"/>
  <c r="BC45"/>
  <c r="AN50"/>
  <c r="N55"/>
  <c r="AK61"/>
  <c r="BA66"/>
  <c r="BM71"/>
  <c r="AX77"/>
  <c r="AP87"/>
  <c r="AM95"/>
  <c r="F103"/>
  <c r="AV109"/>
  <c r="P121"/>
  <c r="N132"/>
  <c r="AU160"/>
  <c r="AN27"/>
  <c r="U29"/>
  <c r="BG30"/>
  <c r="AM32"/>
  <c r="AE34"/>
  <c r="AE37"/>
  <c r="M40"/>
  <c r="X44"/>
  <c r="P48"/>
  <c r="AJ52"/>
  <c r="AB56"/>
  <c r="AX62"/>
  <c r="N68"/>
  <c r="BI72"/>
  <c r="AM78"/>
  <c r="BI86"/>
  <c r="BJ93"/>
  <c r="AW102"/>
  <c r="AU109"/>
  <c r="BE118"/>
  <c r="U130"/>
  <c r="O158"/>
  <c r="G31"/>
  <c r="AK33"/>
  <c r="Z37"/>
  <c r="V41"/>
  <c r="AN45"/>
  <c r="N50"/>
  <c r="BM53"/>
  <c r="G61"/>
  <c r="BC65"/>
  <c r="BM70"/>
  <c r="AD77"/>
  <c r="AJ85"/>
  <c r="G92"/>
  <c r="AC98"/>
  <c r="R107"/>
  <c r="AK115"/>
  <c r="AM127"/>
  <c r="AV145"/>
  <c r="AF39"/>
  <c r="M43"/>
  <c r="BA47"/>
  <c r="AW51"/>
  <c r="S56"/>
  <c r="X62"/>
  <c r="AS67"/>
  <c r="P73"/>
  <c r="X78"/>
  <c r="V87"/>
  <c r="U94"/>
  <c r="G103"/>
  <c r="I110"/>
  <c r="BC116"/>
  <c r="J131"/>
  <c r="BL162"/>
  <c r="BH13"/>
  <c r="AX15"/>
  <c r="AF17"/>
  <c r="V19"/>
  <c r="BE20"/>
  <c r="AM22"/>
  <c r="AK24"/>
  <c r="K26"/>
  <c r="BJ27"/>
  <c r="AJ29"/>
  <c r="R31"/>
  <c r="P33"/>
  <c r="AY34"/>
  <c r="AT37"/>
  <c r="Z40"/>
  <c r="AS43"/>
  <c r="AP46"/>
  <c r="BI49"/>
  <c r="R53"/>
  <c r="AN56"/>
  <c r="T61"/>
  <c r="AB64"/>
  <c r="BD67"/>
  <c r="AR71"/>
  <c r="AT75"/>
  <c r="AK80"/>
  <c r="AZ86"/>
  <c r="AB91"/>
  <c r="BM95"/>
  <c r="BM100"/>
  <c r="AT106"/>
  <c r="I111"/>
  <c r="AH117"/>
  <c r="BK127"/>
  <c r="BL140"/>
  <c r="AA162"/>
  <c r="AQ5"/>
  <c r="AG7"/>
  <c r="AE9"/>
  <c r="AC11"/>
  <c r="AI13"/>
  <c r="AO15"/>
  <c r="AM17"/>
  <c r="AC19"/>
  <c r="V22"/>
  <c r="AR24"/>
  <c r="AS27"/>
  <c r="N30"/>
  <c r="G33"/>
  <c r="U37"/>
  <c r="AX40"/>
  <c r="BK45"/>
  <c r="BH49"/>
  <c r="I55"/>
  <c r="G62"/>
  <c r="AV65"/>
  <c r="AN71"/>
  <c r="BH75"/>
  <c r="AS85"/>
  <c r="N93"/>
  <c r="BF99"/>
  <c r="I108"/>
  <c r="AH115"/>
  <c r="AD127"/>
  <c r="BJ148"/>
  <c r="BK4"/>
  <c r="K8"/>
  <c r="AG10"/>
  <c r="AH13"/>
  <c r="AI16"/>
  <c r="BM18"/>
  <c r="BF21"/>
  <c r="AA24"/>
  <c r="AB27"/>
  <c r="AK30"/>
  <c r="AY32"/>
  <c r="BE36"/>
  <c r="O40"/>
  <c r="BH44"/>
  <c r="BG49"/>
  <c r="AA53"/>
  <c r="AS59"/>
  <c r="AK64"/>
  <c r="P70"/>
  <c r="P76"/>
  <c r="AN84"/>
  <c r="AQ91"/>
  <c r="AD98"/>
  <c r="AL106"/>
  <c r="AL114"/>
  <c r="AQ123"/>
  <c r="AM141"/>
  <c r="BG164"/>
  <c r="X43"/>
  <c r="Y46"/>
  <c r="AU48"/>
  <c r="AV51"/>
  <c r="Q54"/>
  <c r="G58"/>
  <c r="U62"/>
  <c r="AI64"/>
  <c r="H68"/>
  <c r="AY70"/>
  <c r="R74"/>
  <c r="AG78"/>
  <c r="AH84"/>
  <c r="Y89"/>
  <c r="G93"/>
  <c r="I98"/>
  <c r="AM103"/>
  <c r="AT107"/>
  <c r="AP112"/>
  <c r="AX117"/>
  <c r="BG125"/>
  <c r="V135"/>
  <c r="BE146"/>
  <c r="BJ40"/>
  <c r="O43"/>
  <c r="X46"/>
  <c r="Y49"/>
  <c r="AU51"/>
  <c r="AV54"/>
  <c r="V58"/>
  <c r="L62"/>
  <c r="P65"/>
  <c r="AX67"/>
  <c r="X71"/>
  <c r="BE73"/>
  <c r="G78"/>
  <c r="M85"/>
  <c r="BB88"/>
  <c r="AE93"/>
  <c r="BI96"/>
  <c r="O106"/>
  <c r="AQ115"/>
  <c r="AN129"/>
  <c r="M161"/>
  <c r="AW44"/>
  <c r="AA50"/>
  <c r="AS56"/>
  <c r="V63"/>
  <c r="U70"/>
  <c r="AX75"/>
  <c r="W87"/>
  <c r="AA97"/>
  <c r="AV105"/>
  <c r="AS116"/>
  <c r="N129"/>
  <c r="BH165"/>
  <c r="AZ80"/>
  <c r="AF86"/>
  <c r="V92"/>
  <c r="AO99"/>
  <c r="AY109"/>
  <c r="AN123"/>
  <c r="O139"/>
  <c r="BL83"/>
  <c r="P91"/>
  <c r="G102"/>
  <c r="BJ110"/>
  <c r="K123"/>
  <c r="J143"/>
  <c r="AZ68"/>
  <c r="AU77"/>
  <c r="AA95"/>
  <c r="T108"/>
  <c r="F130"/>
  <c r="W120"/>
  <c r="AV140"/>
  <c r="AK123"/>
  <c r="AS139"/>
  <c r="AZ115"/>
  <c r="BL127"/>
  <c r="AF163"/>
  <c r="S144"/>
  <c r="AP130"/>
  <c r="AY147"/>
  <c r="AA132"/>
  <c r="BB152"/>
  <c r="AY154"/>
  <c r="AQ145"/>
  <c r="BK165"/>
  <c r="AN158"/>
  <c r="R128"/>
  <c r="BC159"/>
  <c r="BB5"/>
  <c r="BG7"/>
  <c r="U10"/>
  <c r="AD12"/>
  <c r="AS15"/>
  <c r="BK18"/>
  <c r="AN21"/>
  <c r="O24"/>
  <c r="BC26"/>
  <c r="BJ29"/>
  <c r="AA33"/>
  <c r="BC37"/>
  <c r="N44"/>
  <c r="AH51"/>
  <c r="BA59"/>
  <c r="P67"/>
  <c r="O75"/>
  <c r="F87"/>
  <c r="AD96"/>
  <c r="AN109"/>
  <c r="AQ127"/>
  <c r="P9"/>
  <c r="AM10"/>
  <c r="BK11"/>
  <c r="AL13"/>
  <c r="O15"/>
  <c r="I17"/>
  <c r="AV18"/>
  <c r="AB20"/>
  <c r="S22"/>
  <c r="BI23"/>
  <c r="AO25"/>
  <c r="AO27"/>
  <c r="BD29"/>
  <c r="V32"/>
  <c r="AK34"/>
  <c r="BF37"/>
  <c r="AN44"/>
  <c r="AW48"/>
  <c r="BJ52"/>
  <c r="K58"/>
  <c r="AB63"/>
  <c r="BI67"/>
  <c r="AC72"/>
  <c r="P78"/>
  <c r="U88"/>
  <c r="S96"/>
  <c r="AO103"/>
  <c r="AK111"/>
  <c r="BM120"/>
  <c r="X129"/>
  <c r="S151"/>
  <c r="AX4"/>
  <c r="K6"/>
  <c r="AJ7"/>
  <c r="BI8"/>
  <c r="W10"/>
  <c r="BE11"/>
  <c r="BD13"/>
  <c r="AJ15"/>
  <c r="M17"/>
  <c r="G19"/>
  <c r="AT20"/>
  <c r="Z22"/>
  <c r="Q24"/>
  <c r="BG25"/>
  <c r="BK27"/>
  <c r="BL29"/>
  <c r="AE32"/>
  <c r="AT34"/>
  <c r="AW37"/>
  <c r="N42"/>
  <c r="AD46"/>
  <c r="AR51"/>
  <c r="AT55"/>
  <c r="AL61"/>
  <c r="AT65"/>
  <c r="BD70"/>
  <c r="AM76"/>
  <c r="AX84"/>
  <c r="BE92"/>
  <c r="AA100"/>
  <c r="BE106"/>
  <c r="BK111"/>
  <c r="AF121"/>
  <c r="AF135"/>
  <c r="Q4"/>
  <c r="AN5"/>
  <c r="BL6"/>
  <c r="AL8"/>
  <c r="BI9"/>
  <c r="X11"/>
  <c r="P13"/>
  <c r="G15"/>
  <c r="AV16"/>
  <c r="AC18"/>
  <c r="AH20"/>
  <c r="K22"/>
  <c r="BA23"/>
  <c r="BF25"/>
  <c r="AU27"/>
  <c r="AU29"/>
  <c r="J32"/>
  <c r="X34"/>
  <c r="AF37"/>
  <c r="L41"/>
  <c r="Z45"/>
  <c r="AK49"/>
  <c r="AL54"/>
  <c r="BC59"/>
  <c r="X66"/>
  <c r="AI71"/>
  <c r="J77"/>
  <c r="AP86"/>
  <c r="AH94"/>
  <c r="BM102"/>
  <c r="AU108"/>
  <c r="Q118"/>
  <c r="T130"/>
  <c r="AE158"/>
  <c r="Z27"/>
  <c r="G29"/>
  <c r="AV30"/>
  <c r="Y32"/>
  <c r="T34"/>
  <c r="Q37"/>
  <c r="BK39"/>
  <c r="Y43"/>
  <c r="AM47"/>
  <c r="M52"/>
  <c r="H56"/>
  <c r="AD62"/>
  <c r="AP66"/>
  <c r="O72"/>
  <c r="BL77"/>
  <c r="Z86"/>
  <c r="X93"/>
  <c r="Z100"/>
  <c r="AI108"/>
  <c r="P118"/>
  <c r="BF128"/>
  <c r="AX155"/>
  <c r="AF30"/>
  <c r="L33"/>
  <c r="O37"/>
  <c r="AQ40"/>
  <c r="Q45"/>
  <c r="M49"/>
  <c r="Y53"/>
  <c r="AR59"/>
  <c r="AC65"/>
  <c r="AQ70"/>
  <c r="AV75"/>
  <c r="BD84"/>
  <c r="BJ91"/>
  <c r="BG97"/>
  <c r="AK106"/>
  <c r="BM113"/>
  <c r="AR125"/>
  <c r="BI143"/>
  <c r="R39"/>
  <c r="BF42"/>
  <c r="BF46"/>
  <c r="I51"/>
  <c r="BL55"/>
  <c r="BK61"/>
  <c r="S67"/>
  <c r="AU71"/>
  <c r="AC77"/>
  <c r="AW86"/>
  <c r="AU93"/>
  <c r="AK102"/>
  <c r="BF108"/>
  <c r="BM115"/>
  <c r="AD129"/>
  <c r="BC160"/>
  <c r="AZ13"/>
  <c r="Z15"/>
  <c r="P17"/>
  <c r="N19"/>
  <c r="AW20"/>
  <c r="AE22"/>
  <c r="M24"/>
  <c r="BD25"/>
  <c r="BB27"/>
  <c r="AB29"/>
  <c r="J31"/>
  <c r="BA32"/>
  <c r="AI34"/>
  <c r="AL37"/>
  <c r="Q40"/>
  <c r="T43"/>
  <c r="AB46"/>
  <c r="AU49"/>
  <c r="AR52"/>
  <c r="AW55"/>
  <c r="BI59"/>
  <c r="BI63"/>
  <c r="AR67"/>
  <c r="AB71"/>
  <c r="BC74"/>
  <c r="Q80"/>
  <c r="AT85"/>
  <c r="BK90"/>
  <c r="AV95"/>
  <c r="AP100"/>
  <c r="BM105"/>
  <c r="AV110"/>
  <c r="W116"/>
  <c r="R126"/>
  <c r="Y139"/>
  <c r="AU161"/>
  <c r="S5"/>
  <c r="Y7"/>
  <c r="O9"/>
  <c r="U11"/>
  <c r="S13"/>
  <c r="AG15"/>
  <c r="O17"/>
  <c r="U19"/>
  <c r="AA21"/>
  <c r="AB24"/>
  <c r="AK27"/>
  <c r="AY29"/>
  <c r="BH32"/>
  <c r="R36"/>
  <c r="AJ40"/>
  <c r="AW45"/>
  <c r="AT49"/>
  <c r="BG54"/>
  <c r="AI59"/>
  <c r="AF65"/>
  <c r="BJ70"/>
  <c r="AS75"/>
  <c r="AO84"/>
  <c r="AA91"/>
  <c r="BB98"/>
  <c r="AX107"/>
  <c r="T114"/>
  <c r="AW126"/>
  <c r="AQ141"/>
  <c r="BC4"/>
  <c r="BD7"/>
  <c r="Y10"/>
  <c r="R13"/>
  <c r="AV15"/>
  <c r="AW18"/>
  <c r="AX21"/>
  <c r="K24"/>
  <c r="T27"/>
  <c r="AH29"/>
  <c r="AQ32"/>
  <c r="AW36"/>
  <c r="G40"/>
  <c r="AT44"/>
  <c r="Q48"/>
  <c r="P53"/>
  <c r="BD58"/>
  <c r="W64"/>
  <c r="AH69"/>
  <c r="AH74"/>
  <c r="AH83"/>
  <c r="Z91"/>
  <c r="Z97"/>
  <c r="U106"/>
  <c r="S112"/>
  <c r="Q123"/>
  <c r="BL139"/>
  <c r="AZ163"/>
  <c r="H43"/>
  <c r="AL45"/>
  <c r="AE48"/>
  <c r="AN51"/>
  <c r="BJ53"/>
  <c r="BK56"/>
  <c r="R61"/>
  <c r="AA64"/>
  <c r="BH67"/>
  <c r="AO70"/>
  <c r="G74"/>
  <c r="P77"/>
  <c r="W84"/>
  <c r="AR88"/>
  <c r="BC92"/>
  <c r="AF97"/>
  <c r="AH102"/>
  <c r="J107"/>
  <c r="AD112"/>
  <c r="AU116"/>
  <c r="AP125"/>
  <c r="BH131"/>
  <c r="V145"/>
  <c r="AT40"/>
  <c r="G43"/>
  <c r="H46"/>
  <c r="AL48"/>
  <c r="AE51"/>
  <c r="AN54"/>
  <c r="BJ56"/>
  <c r="BM61"/>
  <c r="R64"/>
  <c r="AN67"/>
  <c r="O71"/>
  <c r="AV73"/>
  <c r="BF77"/>
  <c r="AL83"/>
  <c r="AQ88"/>
  <c r="BM92"/>
  <c r="AU96"/>
  <c r="BB104"/>
  <c r="K113"/>
  <c r="AB127"/>
  <c r="AU159"/>
  <c r="BJ43"/>
  <c r="K50"/>
  <c r="AU54"/>
  <c r="BG62"/>
  <c r="BL69"/>
  <c r="AC75"/>
  <c r="BE86"/>
  <c r="Y94"/>
  <c r="T105"/>
  <c r="AM115"/>
  <c r="AF128"/>
  <c r="BA161"/>
  <c r="L78"/>
  <c r="BG85"/>
  <c r="F92"/>
  <c r="AR98"/>
  <c r="S109"/>
  <c r="BF117"/>
  <c r="BA136"/>
  <c r="AT81"/>
  <c r="AQ90"/>
  <c r="AV99"/>
  <c r="AS108"/>
  <c r="BG120"/>
  <c r="AE142"/>
  <c r="AG67"/>
  <c r="AE77"/>
  <c r="G91"/>
  <c r="AU107"/>
  <c r="AE129"/>
  <c r="BI118"/>
  <c r="T140"/>
  <c r="BK117"/>
  <c r="AP138"/>
  <c r="W114"/>
  <c r="AN127"/>
  <c r="S160"/>
  <c r="W140"/>
  <c r="BC166"/>
  <c r="BG146"/>
  <c r="N131"/>
  <c r="O152"/>
  <c r="BF147"/>
  <c r="K145"/>
  <c r="AW163"/>
  <c r="P158"/>
  <c r="AL28"/>
  <c r="BH33"/>
  <c r="AU45"/>
  <c r="BJ62"/>
  <c r="AK75"/>
  <c r="N91"/>
  <c r="AQ108"/>
  <c r="BK141"/>
  <c r="AS5"/>
  <c r="AK8"/>
  <c r="BL11"/>
  <c r="BC15"/>
  <c r="BC19"/>
  <c r="AN24"/>
  <c r="S30"/>
  <c r="AF36"/>
  <c r="T46"/>
  <c r="BF56"/>
  <c r="G67"/>
  <c r="S81"/>
  <c r="AS98"/>
  <c r="I126"/>
  <c r="BL5"/>
  <c r="AA9"/>
  <c r="W13"/>
  <c r="S17"/>
  <c r="AC21"/>
  <c r="AC26"/>
  <c r="P32"/>
  <c r="W39"/>
  <c r="AN48"/>
  <c r="N62"/>
  <c r="AQ74"/>
  <c r="AG95"/>
  <c r="N114"/>
  <c r="AB154"/>
  <c r="AU5"/>
  <c r="AL7"/>
  <c r="BG9"/>
  <c r="Y12"/>
  <c r="BG14"/>
  <c r="AJ17"/>
  <c r="L20"/>
  <c r="AZ22"/>
  <c r="AW25"/>
  <c r="BI28"/>
  <c r="BB32"/>
  <c r="R37"/>
  <c r="J43"/>
  <c r="Z50"/>
  <c r="AK59"/>
  <c r="AF69"/>
  <c r="AN81"/>
  <c r="AH92"/>
  <c r="Z105"/>
  <c r="R115"/>
  <c r="AG135"/>
  <c r="BF4"/>
  <c r="AW6"/>
  <c r="AP8"/>
  <c r="J11"/>
  <c r="AF13"/>
  <c r="Z16"/>
  <c r="AO19"/>
  <c r="T22"/>
  <c r="BF24"/>
  <c r="AM27"/>
  <c r="BD30"/>
  <c r="AZ34"/>
  <c r="T41"/>
  <c r="S49"/>
  <c r="AF56"/>
  <c r="AH66"/>
  <c r="W75"/>
  <c r="W88"/>
  <c r="P98"/>
  <c r="AE112"/>
  <c r="BB127"/>
  <c r="AR155"/>
  <c r="AL5"/>
  <c r="AQ7"/>
  <c r="AW9"/>
  <c r="M12"/>
  <c r="AA15"/>
  <c r="AS18"/>
  <c r="U21"/>
  <c r="BH23"/>
  <c r="AE26"/>
  <c r="AK29"/>
  <c r="BF32"/>
  <c r="Y37"/>
  <c r="AA43"/>
  <c r="AT50"/>
  <c r="BH58"/>
  <c r="Z66"/>
  <c r="L74"/>
  <c r="BM86"/>
  <c r="AS94"/>
  <c r="R108"/>
  <c r="AL124"/>
  <c r="BM8"/>
  <c r="AC10"/>
  <c r="AY11"/>
  <c r="X13"/>
  <c r="BM14"/>
  <c r="BD16"/>
  <c r="AK18"/>
  <c r="N20"/>
  <c r="H22"/>
  <c r="AU23"/>
  <c r="AA25"/>
  <c r="Y27"/>
  <c r="AM29"/>
  <c r="AZ31"/>
  <c r="U34"/>
  <c r="AO37"/>
  <c r="AI43"/>
  <c r="T48"/>
  <c r="AF52"/>
  <c r="AG56"/>
  <c r="BC62"/>
  <c r="R67"/>
  <c r="BF71"/>
  <c r="AF77"/>
  <c r="R87"/>
  <c r="V95"/>
  <c r="BA102"/>
  <c r="AF110"/>
  <c r="AJ117"/>
  <c r="BH128"/>
  <c r="AX144"/>
  <c r="AL4"/>
  <c r="BK5"/>
  <c r="Z7"/>
  <c r="AW8"/>
  <c r="M10"/>
  <c r="AU11"/>
  <c r="AS13"/>
  <c r="V15"/>
  <c r="BK16"/>
  <c r="BC18"/>
  <c r="AI20"/>
  <c r="L22"/>
  <c r="BB23"/>
  <c r="AS25"/>
  <c r="AV27"/>
  <c r="AV29"/>
  <c r="O32"/>
  <c r="AB34"/>
  <c r="AG37"/>
  <c r="AY41"/>
  <c r="BF45"/>
  <c r="Q51"/>
  <c r="O55"/>
  <c r="K61"/>
  <c r="M65"/>
  <c r="AA70"/>
  <c r="BD75"/>
  <c r="AX83"/>
  <c r="AZ91"/>
  <c r="V99"/>
  <c r="I106"/>
  <c r="Q111"/>
  <c r="K120"/>
  <c r="K133"/>
  <c r="AX160"/>
  <c r="AD5"/>
  <c r="AZ6"/>
  <c r="Z8"/>
  <c r="AY9"/>
  <c r="N11"/>
  <c r="AZ12"/>
  <c r="BE14"/>
  <c r="AH16"/>
  <c r="O18"/>
  <c r="T20"/>
  <c r="BJ21"/>
  <c r="AM23"/>
  <c r="AR25"/>
  <c r="AF27"/>
  <c r="AC29"/>
  <c r="BC31"/>
  <c r="H34"/>
  <c r="K37"/>
  <c r="AR40"/>
  <c r="BA44"/>
  <c r="BL48"/>
  <c r="L54"/>
  <c r="AB59"/>
  <c r="AO65"/>
  <c r="BC70"/>
  <c r="AC76"/>
  <c r="BB85"/>
  <c r="AM93"/>
  <c r="U102"/>
  <c r="BB107"/>
  <c r="AK116"/>
  <c r="BG129"/>
  <c r="BJ154"/>
  <c r="O27"/>
  <c r="BB28"/>
  <c r="AH30"/>
  <c r="N32"/>
  <c r="BA33"/>
  <c r="BB36"/>
  <c r="AW39"/>
  <c r="BL42"/>
  <c r="V47"/>
  <c r="R51"/>
  <c r="AD55"/>
  <c r="J62"/>
  <c r="W66"/>
  <c r="BB71"/>
  <c r="AV76"/>
  <c r="O85"/>
  <c r="AU92"/>
  <c r="AS99"/>
  <c r="BI107"/>
  <c r="AT115"/>
  <c r="BE126"/>
  <c r="Q154"/>
  <c r="R30"/>
  <c r="BJ32"/>
  <c r="AL36"/>
  <c r="K40"/>
  <c r="BD44"/>
  <c r="AY48"/>
  <c r="H53"/>
  <c r="AV58"/>
  <c r="AT64"/>
  <c r="T70"/>
  <c r="V75"/>
  <c r="AA84"/>
  <c r="Q90"/>
  <c r="BA96"/>
  <c r="H106"/>
  <c r="AJ113"/>
  <c r="AT124"/>
  <c r="BI138"/>
  <c r="Y166"/>
  <c r="AL42"/>
  <c r="AI46"/>
  <c r="AX50"/>
  <c r="BJ54"/>
  <c r="W61"/>
  <c r="BF66"/>
  <c r="T71"/>
  <c r="BK76"/>
  <c r="BC84"/>
  <c r="AI92"/>
  <c r="AW100"/>
  <c r="W108"/>
  <c r="Y115"/>
  <c r="AG126"/>
  <c r="T147"/>
  <c r="AR13"/>
  <c r="R15"/>
  <c r="H17"/>
  <c r="AQ18"/>
  <c r="AG20"/>
  <c r="W22"/>
  <c r="BF23"/>
  <c r="AV25"/>
  <c r="AD27"/>
  <c r="L29"/>
  <c r="BK30"/>
  <c r="AS32"/>
  <c r="AA34"/>
  <c r="N37"/>
  <c r="BJ39"/>
  <c r="I43"/>
  <c r="N46"/>
  <c r="K49"/>
  <c r="AD52"/>
  <c r="X55"/>
  <c r="V59"/>
  <c r="AX63"/>
  <c r="AB67"/>
  <c r="AU70"/>
  <c r="AO74"/>
  <c r="AL78"/>
  <c r="AC85"/>
  <c r="W90"/>
  <c r="Y95"/>
  <c r="AJ99"/>
  <c r="AP105"/>
  <c r="BI109"/>
  <c r="BJ115"/>
  <c r="AQ125"/>
  <c r="BD134"/>
  <c r="Q155"/>
  <c r="K5"/>
  <c r="I7"/>
  <c r="G9"/>
  <c r="M11"/>
  <c r="BD12"/>
  <c r="BJ14"/>
  <c r="G17"/>
  <c r="BF18"/>
  <c r="K21"/>
  <c r="T24"/>
  <c r="AH26"/>
  <c r="AQ29"/>
  <c r="AZ32"/>
  <c r="J36"/>
  <c r="Y40"/>
  <c r="V44"/>
  <c r="AI49"/>
  <c r="T54"/>
  <c r="U59"/>
  <c r="AZ64"/>
  <c r="AI69"/>
  <c r="BA74"/>
  <c r="X84"/>
  <c r="V90"/>
  <c r="AE98"/>
  <c r="R105"/>
  <c r="BA113"/>
  <c r="AG125"/>
  <c r="BH140"/>
  <c r="AM4"/>
  <c r="H7"/>
  <c r="I10"/>
  <c r="J13"/>
  <c r="AF15"/>
  <c r="AO18"/>
  <c r="BC20"/>
  <c r="BL23"/>
  <c r="L27"/>
  <c r="Z29"/>
  <c r="AI32"/>
  <c r="BE34"/>
  <c r="BH39"/>
  <c r="G44"/>
  <c r="BM47"/>
  <c r="AM52"/>
  <c r="AW56"/>
  <c r="AS63"/>
  <c r="U69"/>
  <c r="AX73"/>
  <c r="K83"/>
  <c r="AZ88"/>
  <c r="I97"/>
  <c r="AN105"/>
  <c r="AZ111"/>
  <c r="BC121"/>
  <c r="AS133"/>
  <c r="X161"/>
  <c r="BI42"/>
  <c r="V45"/>
  <c r="W48"/>
  <c r="AS50"/>
  <c r="BB53"/>
  <c r="BC56"/>
  <c r="J61"/>
  <c r="S64"/>
  <c r="AV66"/>
  <c r="AF70"/>
  <c r="AN73"/>
  <c r="BD76"/>
  <c r="AP83"/>
  <c r="AM87"/>
  <c r="P92"/>
  <c r="R97"/>
  <c r="BG100"/>
  <c r="BC106"/>
  <c r="AT110"/>
  <c r="AF116"/>
  <c r="BH124"/>
  <c r="Y131"/>
  <c r="BH143"/>
  <c r="AD163"/>
  <c r="AZ42"/>
  <c r="BI45"/>
  <c r="V48"/>
  <c r="W51"/>
  <c r="AS53"/>
  <c r="BB56"/>
  <c r="BE61"/>
  <c r="J64"/>
  <c r="AE67"/>
  <c r="BM69"/>
  <c r="AM73"/>
  <c r="Z77"/>
  <c r="AA83"/>
  <c r="BK87"/>
  <c r="BG91"/>
  <c r="K96"/>
  <c r="AC104"/>
  <c r="AQ111"/>
  <c r="AT126"/>
  <c r="BG143"/>
  <c r="AT43"/>
  <c r="BD49"/>
  <c r="AE54"/>
  <c r="AQ62"/>
  <c r="AV67"/>
  <c r="G75"/>
  <c r="BJ85"/>
  <c r="BC93"/>
  <c r="AB104"/>
  <c r="AN112"/>
  <c r="BJ126"/>
  <c r="W160"/>
  <c r="AO77"/>
  <c r="AQ85"/>
  <c r="T90"/>
  <c r="T98"/>
  <c r="F108"/>
  <c r="S117"/>
  <c r="AR133"/>
  <c r="AA78"/>
  <c r="AD89"/>
  <c r="P99"/>
  <c r="AF107"/>
  <c r="I120"/>
  <c r="AK133"/>
  <c r="BJ66"/>
  <c r="AZ76"/>
  <c r="J90"/>
  <c r="AP106"/>
  <c r="AW121"/>
  <c r="BD117"/>
  <c r="AS136"/>
  <c r="BF116"/>
  <c r="N135"/>
  <c r="AG166"/>
  <c r="BJ125"/>
  <c r="AE155"/>
  <c r="BE138"/>
  <c r="BL164"/>
  <c r="I141"/>
  <c r="Q130"/>
  <c r="K147"/>
  <c r="BC146"/>
  <c r="K166"/>
  <c r="H160"/>
  <c r="X154"/>
  <c r="Q42"/>
  <c r="BJ44"/>
  <c r="H48"/>
  <c r="AL50"/>
  <c r="AF53"/>
  <c r="BK55"/>
  <c r="AJ59"/>
  <c r="AJ63"/>
  <c r="AG66"/>
  <c r="AN69"/>
  <c r="AO72"/>
  <c r="R76"/>
  <c r="AH81"/>
  <c r="AI86"/>
  <c r="AT90"/>
  <c r="AQ94"/>
  <c r="AL98"/>
  <c r="T104"/>
  <c r="AY107"/>
  <c r="AV112"/>
  <c r="BH117"/>
  <c r="AX126"/>
  <c r="AH138"/>
  <c r="L154"/>
  <c r="AV4"/>
  <c r="AD6"/>
  <c r="L8"/>
  <c r="BK9"/>
  <c r="AS11"/>
  <c r="AA13"/>
  <c r="I15"/>
  <c r="AZ16"/>
  <c r="AP18"/>
  <c r="X20"/>
  <c r="N22"/>
  <c r="AW23"/>
  <c r="AE25"/>
  <c r="AC27"/>
  <c r="BL28"/>
  <c r="BB30"/>
  <c r="AB32"/>
  <c r="J34"/>
  <c r="M37"/>
  <c r="BA39"/>
  <c r="AD42"/>
  <c r="J45"/>
  <c r="R48"/>
  <c r="L51"/>
  <c r="BD53"/>
  <c r="AX56"/>
  <c r="AD61"/>
  <c r="M64"/>
  <c r="AA67"/>
  <c r="AT70"/>
  <c r="AZ73"/>
  <c r="U77"/>
  <c r="AI83"/>
  <c r="AJ88"/>
  <c r="AW92"/>
  <c r="AG97"/>
  <c r="AB102"/>
  <c r="BJ106"/>
  <c r="T112"/>
  <c r="U117"/>
  <c r="BJ124"/>
  <c r="AT133"/>
  <c r="Z146"/>
  <c r="W4"/>
  <c r="BF5"/>
  <c r="AV7"/>
  <c r="AD9"/>
  <c r="L11"/>
  <c r="BK12"/>
  <c r="AS14"/>
  <c r="AA16"/>
  <c r="I18"/>
  <c r="AZ19"/>
  <c r="AP21"/>
  <c r="X23"/>
  <c r="N25"/>
  <c r="AW26"/>
  <c r="AE28"/>
  <c r="AC30"/>
  <c r="BL31"/>
  <c r="BB33"/>
  <c r="Y36"/>
  <c r="L39"/>
  <c r="AA41"/>
  <c r="BE43"/>
  <c r="AK46"/>
  <c r="T49"/>
  <c r="BI51"/>
  <c r="H55"/>
  <c r="AP58"/>
  <c r="BD62"/>
  <c r="AE65"/>
  <c r="AL68"/>
  <c r="V72"/>
  <c r="BF75"/>
  <c r="I81"/>
  <c r="J86"/>
  <c r="AL90"/>
  <c r="AN95"/>
  <c r="BB99"/>
  <c r="Q105"/>
  <c r="AJ109"/>
  <c r="AZ113"/>
  <c r="AX120"/>
  <c r="BC127"/>
  <c r="W139"/>
  <c r="AV152"/>
  <c r="BC40"/>
  <c r="BA42"/>
  <c r="AA44"/>
  <c r="Q46"/>
  <c r="AZ47"/>
  <c r="AH49"/>
  <c r="AF51"/>
  <c r="N53"/>
  <c r="BE54"/>
  <c r="AE56"/>
  <c r="J59"/>
  <c r="M62"/>
  <c r="AV63"/>
  <c r="AJ65"/>
  <c r="AF67"/>
  <c r="AC69"/>
  <c r="AQ71"/>
  <c r="AE73"/>
  <c r="AP75"/>
  <c r="BG77"/>
  <c r="BE81"/>
  <c r="BL85"/>
  <c r="AD88"/>
  <c r="U91"/>
  <c r="BH93"/>
  <c r="AY96"/>
  <c r="BA99"/>
  <c r="Y103"/>
  <c r="P106"/>
  <c r="BC108"/>
  <c r="BH111"/>
  <c r="AC115"/>
  <c r="R120"/>
  <c r="AK124"/>
  <c r="K128"/>
  <c r="P134"/>
  <c r="BE142"/>
  <c r="AZ154"/>
  <c r="AL40"/>
  <c r="L42"/>
  <c r="BC43"/>
  <c r="BA45"/>
  <c r="AA47"/>
  <c r="Q49"/>
  <c r="AZ50"/>
  <c r="AH52"/>
  <c r="AF54"/>
  <c r="N56"/>
  <c r="BJ58"/>
  <c r="AG61"/>
  <c r="O63"/>
  <c r="G65"/>
  <c r="BD66"/>
  <c r="BA68"/>
  <c r="AN70"/>
  <c r="AS72"/>
  <c r="H75"/>
  <c r="N77"/>
  <c r="BB80"/>
  <c r="AG84"/>
  <c r="X87"/>
  <c r="AC90"/>
  <c r="AY92"/>
  <c r="Q95"/>
  <c r="BD97"/>
  <c r="BK103"/>
  <c r="T109"/>
  <c r="K115"/>
  <c r="AJ124"/>
  <c r="AO134"/>
  <c r="Z155"/>
  <c r="AI42"/>
  <c r="AZ45"/>
  <c r="X49"/>
  <c r="AO52"/>
  <c r="AC56"/>
  <c r="BD61"/>
  <c r="X65"/>
  <c r="AA69"/>
  <c r="J73"/>
  <c r="BD77"/>
  <c r="AK85"/>
  <c r="BA90"/>
  <c r="AI96"/>
  <c r="AQ102"/>
  <c r="AX108"/>
  <c r="J115"/>
  <c r="AA123"/>
  <c r="K134"/>
  <c r="I153"/>
  <c r="BG75"/>
  <c r="AJ80"/>
  <c r="AL84"/>
  <c r="J88"/>
  <c r="Y91"/>
  <c r="J96"/>
  <c r="AN102"/>
  <c r="AW107"/>
  <c r="AY113"/>
  <c r="AN121"/>
  <c r="M131"/>
  <c r="S148"/>
  <c r="N81"/>
  <c r="AR87"/>
  <c r="BA92"/>
  <c r="BG98"/>
  <c r="V105"/>
  <c r="AR110"/>
  <c r="R117"/>
  <c r="AO126"/>
  <c r="AY140"/>
  <c r="S65"/>
  <c r="R70"/>
  <c r="L76"/>
  <c r="Q85"/>
  <c r="BB94"/>
  <c r="BD104"/>
  <c r="AD113"/>
  <c r="AE127"/>
  <c r="BG151"/>
  <c r="AI124"/>
  <c r="F136"/>
  <c r="P155"/>
  <c r="X122"/>
  <c r="AV130"/>
  <c r="U151"/>
  <c r="R113"/>
  <c r="AU122"/>
  <c r="AG132"/>
  <c r="AV148"/>
  <c r="G134"/>
  <c r="BL143"/>
  <c r="BA160"/>
  <c r="AT134"/>
  <c r="BC143"/>
  <c r="AS162"/>
  <c r="G136"/>
  <c r="AD145"/>
  <c r="W164"/>
  <c r="AC152"/>
  <c r="AK164"/>
  <c r="AJ152"/>
  <c r="Q163"/>
  <c r="O151"/>
  <c r="AW161"/>
  <c r="BG21"/>
  <c r="AO23"/>
  <c r="W25"/>
  <c r="BF26"/>
  <c r="AV28"/>
  <c r="AT30"/>
  <c r="T32"/>
  <c r="BK33"/>
  <c r="AP36"/>
  <c r="AK39"/>
  <c r="P42"/>
  <c r="BI44"/>
  <c r="BC47"/>
  <c r="AH50"/>
  <c r="AE53"/>
  <c r="AJ56"/>
  <c r="S61"/>
  <c r="BH63"/>
  <c r="AR66"/>
  <c r="Q70"/>
  <c r="AJ73"/>
  <c r="AX76"/>
  <c r="R83"/>
  <c r="AF87"/>
  <c r="I92"/>
  <c r="J97"/>
  <c r="K102"/>
  <c r="AS106"/>
  <c r="G111"/>
  <c r="V116"/>
  <c r="X124"/>
  <c r="AP132"/>
  <c r="X145"/>
  <c r="G166"/>
  <c r="AP5"/>
  <c r="AN7"/>
  <c r="V9"/>
  <c r="BM10"/>
  <c r="AM12"/>
  <c r="AC14"/>
  <c r="S16"/>
  <c r="BJ17"/>
  <c r="AR19"/>
  <c r="R21"/>
  <c r="H23"/>
  <c r="BG24"/>
  <c r="AO26"/>
  <c r="W28"/>
  <c r="BF29"/>
  <c r="AV31"/>
  <c r="AT33"/>
  <c r="Q36"/>
  <c r="BH37"/>
  <c r="AW40"/>
  <c r="AC43"/>
  <c r="Z46"/>
  <c r="BD48"/>
  <c r="AX51"/>
  <c r="AD54"/>
  <c r="Q58"/>
  <c r="AP62"/>
  <c r="R65"/>
  <c r="V68"/>
  <c r="Z71"/>
  <c r="X75"/>
  <c r="AW80"/>
  <c r="BI85"/>
  <c r="U90"/>
  <c r="AI94"/>
  <c r="K99"/>
  <c r="AZ104"/>
  <c r="M109"/>
  <c r="AC113"/>
  <c r="AF118"/>
  <c r="AV126"/>
  <c r="Z138"/>
  <c r="X151"/>
  <c r="AU40"/>
  <c r="AC42"/>
  <c r="K44"/>
  <c r="I46"/>
  <c r="AR47"/>
  <c r="Z49"/>
  <c r="H51"/>
  <c r="AY52"/>
  <c r="AW54"/>
  <c r="W56"/>
  <c r="BK58"/>
  <c r="AP61"/>
  <c r="AF63"/>
  <c r="Z65"/>
  <c r="W67"/>
  <c r="T69"/>
  <c r="P71"/>
  <c r="M73"/>
  <c r="AE75"/>
  <c r="AV77"/>
  <c r="AQ81"/>
  <c r="AB85"/>
  <c r="BL87"/>
  <c r="J91"/>
  <c r="AT93"/>
  <c r="AK96"/>
  <c r="N99"/>
  <c r="BG102"/>
  <c r="BL105"/>
  <c r="AO108"/>
  <c r="AR111"/>
  <c r="AP114"/>
  <c r="AE118"/>
  <c r="N124"/>
  <c r="AZ127"/>
  <c r="AI133"/>
  <c r="T141"/>
  <c r="AT152"/>
  <c r="AD40"/>
  <c r="BM41"/>
  <c r="AU43"/>
  <c r="AC45"/>
  <c r="K47"/>
  <c r="I49"/>
  <c r="AR50"/>
  <c r="Z52"/>
  <c r="H54"/>
  <c r="AY55"/>
  <c r="BB58"/>
  <c r="Y61"/>
  <c r="G63"/>
  <c r="AP64"/>
  <c r="AK66"/>
  <c r="AQ68"/>
  <c r="AE70"/>
  <c r="AJ72"/>
  <c r="AK74"/>
  <c r="BC76"/>
  <c r="AN80"/>
  <c r="S84"/>
  <c r="J87"/>
  <c r="AW89"/>
  <c r="Z92"/>
  <c r="F95"/>
  <c r="AP97"/>
  <c r="J103"/>
  <c r="O108"/>
  <c r="AO114"/>
  <c r="AV123"/>
  <c r="AE133"/>
  <c r="X152"/>
  <c r="AV41"/>
  <c r="AJ45"/>
  <c r="H49"/>
  <c r="Y52"/>
  <c r="AX55"/>
  <c r="H61"/>
  <c r="BF64"/>
  <c r="I69"/>
  <c r="BA72"/>
  <c r="M77"/>
  <c r="R84"/>
  <c r="Y90"/>
  <c r="G96"/>
  <c r="R102"/>
  <c r="BF107"/>
  <c r="AL113"/>
  <c r="BJ122"/>
  <c r="AD133"/>
  <c r="AT151"/>
  <c r="AA75"/>
  <c r="AR78"/>
  <c r="V84"/>
  <c r="BA87"/>
  <c r="I91"/>
  <c r="U95"/>
  <c r="V100"/>
  <c r="Q107"/>
  <c r="BL112"/>
  <c r="AW120"/>
  <c r="H129"/>
  <c r="K143"/>
  <c r="AY80"/>
  <c r="AB87"/>
  <c r="AK92"/>
  <c r="BJ97"/>
  <c r="Q104"/>
  <c r="BF109"/>
  <c r="AN116"/>
  <c r="AJ125"/>
  <c r="N139"/>
  <c r="AO162"/>
  <c r="BK69"/>
  <c r="AO75"/>
  <c r="AZ84"/>
  <c r="AG93"/>
  <c r="BB102"/>
  <c r="AZ112"/>
  <c r="BB126"/>
  <c r="AQ147"/>
  <c r="V123"/>
  <c r="AW132"/>
  <c r="AJ153"/>
  <c r="S121"/>
  <c r="AU129"/>
  <c r="AH145"/>
  <c r="AF111"/>
  <c r="W122"/>
  <c r="BA131"/>
  <c r="BA147"/>
  <c r="AK132"/>
  <c r="BF141"/>
  <c r="L159"/>
  <c r="BM133"/>
  <c r="AZ142"/>
  <c r="AZ160"/>
  <c r="AF133"/>
  <c r="AZ144"/>
  <c r="BE162"/>
  <c r="M152"/>
  <c r="BK162"/>
  <c r="AZ148"/>
  <c r="AT162"/>
  <c r="AX148"/>
  <c r="Q161"/>
  <c r="BI19"/>
  <c r="AI21"/>
  <c r="Y23"/>
  <c r="O25"/>
  <c r="AX26"/>
  <c r="AN28"/>
  <c r="V30"/>
  <c r="BM31"/>
  <c r="BC33"/>
  <c r="AH36"/>
  <c r="AC39"/>
  <c r="AB41"/>
  <c r="AJ44"/>
  <c r="AO47"/>
  <c r="W50"/>
  <c r="Q53"/>
  <c r="BJ55"/>
  <c r="AT59"/>
  <c r="AW63"/>
  <c r="AF66"/>
  <c r="AY69"/>
  <c r="AZ72"/>
  <c r="Q76"/>
  <c r="AX81"/>
  <c r="O87"/>
  <c r="AX91"/>
  <c r="BL95"/>
  <c r="AO100"/>
  <c r="V106"/>
  <c r="AU110"/>
  <c r="BB115"/>
  <c r="AK122"/>
  <c r="BD130"/>
  <c r="N144"/>
  <c r="BM164"/>
  <c r="AH5"/>
  <c r="P7"/>
  <c r="BG8"/>
  <c r="BE10"/>
  <c r="AE12"/>
  <c r="U14"/>
  <c r="BD15"/>
  <c r="AT17"/>
  <c r="AJ19"/>
  <c r="J21"/>
  <c r="BI22"/>
  <c r="AI24"/>
  <c r="Y26"/>
  <c r="O28"/>
  <c r="AX29"/>
  <c r="AN31"/>
  <c r="V33"/>
  <c r="BM34"/>
  <c r="AZ37"/>
  <c r="AI40"/>
  <c r="R43"/>
  <c r="AV45"/>
  <c r="AB48"/>
  <c r="AJ51"/>
  <c r="S54"/>
  <c r="BH56"/>
  <c r="BB61"/>
  <c r="AV64"/>
  <c r="I68"/>
  <c r="J71"/>
  <c r="AZ74"/>
  <c r="BA78"/>
  <c r="U85"/>
  <c r="BE89"/>
  <c r="R94"/>
  <c r="BA98"/>
  <c r="BB103"/>
  <c r="AE108"/>
  <c r="F113"/>
  <c r="AZ117"/>
  <c r="J126"/>
  <c r="AJ134"/>
  <c r="AT147"/>
  <c r="AM40"/>
  <c r="U42"/>
  <c r="BL43"/>
  <c r="AT45"/>
  <c r="AB47"/>
  <c r="R49"/>
  <c r="BI50"/>
  <c r="AQ52"/>
  <c r="Y54"/>
  <c r="G56"/>
  <c r="BC58"/>
  <c r="AH61"/>
  <c r="X63"/>
  <c r="BH64"/>
  <c r="BE66"/>
  <c r="K69"/>
  <c r="G71"/>
  <c r="BM72"/>
  <c r="BH74"/>
  <c r="AA77"/>
  <c r="AF81"/>
  <c r="N85"/>
  <c r="AX87"/>
  <c r="AD90"/>
  <c r="U93"/>
  <c r="W96"/>
  <c r="BJ98"/>
  <c r="AS102"/>
  <c r="Y105"/>
  <c r="P108"/>
  <c r="AB111"/>
  <c r="AC114"/>
  <c r="N118"/>
  <c r="I123"/>
  <c r="L127"/>
  <c r="F133"/>
  <c r="AW140"/>
  <c r="AY151"/>
  <c r="AD164"/>
  <c r="AW41"/>
  <c r="AM43"/>
  <c r="U45"/>
  <c r="BL46"/>
  <c r="AT48"/>
  <c r="AB50"/>
  <c r="R52"/>
  <c r="BI53"/>
  <c r="AQ55"/>
  <c r="AD58"/>
  <c r="I61"/>
  <c r="BH62"/>
  <c r="AH64"/>
  <c r="AB66"/>
  <c r="P68"/>
  <c r="M70"/>
  <c r="AA72"/>
  <c r="AA74"/>
  <c r="AQ76"/>
  <c r="BE78"/>
  <c r="AZ83"/>
  <c r="BF86"/>
  <c r="AI89"/>
  <c r="O92"/>
  <c r="AK94"/>
  <c r="Q97"/>
  <c r="AR102"/>
  <c r="AS107"/>
  <c r="AQ113"/>
  <c r="AO121"/>
  <c r="Z132"/>
  <c r="W148"/>
  <c r="AF41"/>
  <c r="BM44"/>
  <c r="U48"/>
  <c r="I52"/>
  <c r="AH55"/>
  <c r="BD59"/>
  <c r="Y64"/>
  <c r="O68"/>
  <c r="AI72"/>
  <c r="BA76"/>
  <c r="BJ83"/>
  <c r="AH89"/>
  <c r="AX94"/>
  <c r="AQ100"/>
  <c r="AD107"/>
  <c r="I113"/>
  <c r="AK121"/>
  <c r="BK129"/>
  <c r="AB147"/>
  <c r="K75"/>
  <c r="AB78"/>
  <c r="BE83"/>
  <c r="BL86"/>
  <c r="AZ90"/>
  <c r="AN94"/>
  <c r="BE99"/>
  <c r="T106"/>
  <c r="AO111"/>
  <c r="X120"/>
  <c r="AP128"/>
  <c r="AF142"/>
  <c r="AY78"/>
  <c r="O86"/>
  <c r="BD91"/>
  <c r="AL97"/>
  <c r="AJ103"/>
  <c r="R109"/>
  <c r="BB114"/>
  <c r="K125"/>
  <c r="AZ136"/>
  <c r="G161"/>
  <c r="G69"/>
  <c r="AD74"/>
  <c r="L84"/>
  <c r="Q93"/>
  <c r="N102"/>
  <c r="AC111"/>
  <c r="X123"/>
  <c r="AW143"/>
  <c r="Y122"/>
  <c r="S131"/>
  <c r="AI147"/>
  <c r="T118"/>
  <c r="K129"/>
  <c r="P144"/>
  <c r="BG110"/>
  <c r="AS120"/>
  <c r="J129"/>
  <c r="J145"/>
  <c r="BD131"/>
  <c r="BC140"/>
  <c r="AJ155"/>
  <c r="AU131"/>
  <c r="AB142"/>
  <c r="AJ159"/>
  <c r="H133"/>
  <c r="BG142"/>
  <c r="AH159"/>
  <c r="R151"/>
  <c r="AE162"/>
  <c r="BM147"/>
  <c r="K161"/>
  <c r="AR146"/>
  <c r="V160"/>
  <c r="AU42"/>
  <c r="S45"/>
  <c r="BJ47"/>
  <c r="AM50"/>
  <c r="J53"/>
  <c r="BA55"/>
  <c r="AC59"/>
  <c r="L63"/>
  <c r="BE65"/>
  <c r="Q69"/>
  <c r="AP72"/>
  <c r="BC75"/>
  <c r="H80"/>
  <c r="AU85"/>
  <c r="AE90"/>
  <c r="AG94"/>
  <c r="J99"/>
  <c r="AA104"/>
  <c r="L109"/>
  <c r="V114"/>
  <c r="AV121"/>
  <c r="BA127"/>
  <c r="AL141"/>
  <c r="AG159"/>
  <c r="BC29"/>
  <c r="AT31"/>
  <c r="Z33"/>
  <c r="M36"/>
  <c r="AY37"/>
  <c r="V40"/>
  <c r="Q43"/>
  <c r="BE45"/>
  <c r="AH48"/>
  <c r="J51"/>
  <c r="AV53"/>
  <c r="AQ56"/>
  <c r="AU61"/>
  <c r="I65"/>
  <c r="AE68"/>
  <c r="V71"/>
  <c r="BE74"/>
  <c r="BK78"/>
  <c r="G85"/>
  <c r="H89"/>
  <c r="V93"/>
  <c r="X97"/>
  <c r="Q103"/>
  <c r="BA107"/>
  <c r="AX112"/>
  <c r="AY117"/>
  <c r="AH126"/>
  <c r="BJ135"/>
  <c r="H152"/>
  <c r="G39"/>
  <c r="BG40"/>
  <c r="AJ43"/>
  <c r="R46"/>
  <c r="AX48"/>
  <c r="AC51"/>
  <c r="V54"/>
  <c r="BG56"/>
  <c r="AT61"/>
  <c r="AS64"/>
  <c r="BL67"/>
  <c r="BL70"/>
  <c r="Y74"/>
  <c r="AZ77"/>
  <c r="AS83"/>
  <c r="AA88"/>
  <c r="L93"/>
  <c r="BF97"/>
  <c r="AP103"/>
  <c r="AZ107"/>
  <c r="BM111"/>
  <c r="F116"/>
  <c r="AM124"/>
  <c r="R134"/>
  <c r="AO153"/>
  <c r="BM12"/>
  <c r="G14"/>
  <c r="J15"/>
  <c r="U16"/>
  <c r="X17"/>
  <c r="AA18"/>
  <c r="AL19"/>
  <c r="AO20"/>
  <c r="AR21"/>
  <c r="AU22"/>
  <c r="AX23"/>
  <c r="BI24"/>
  <c r="BL25"/>
  <c r="N27"/>
  <c r="Q28"/>
  <c r="T29"/>
  <c r="W30"/>
  <c r="Z31"/>
  <c r="AK32"/>
  <c r="AN33"/>
  <c r="AQ34"/>
  <c r="AY36"/>
  <c r="BJ37"/>
  <c r="I40"/>
  <c r="AQ41"/>
  <c r="AH43"/>
  <c r="K45"/>
  <c r="BA46"/>
  <c r="AR48"/>
  <c r="X50"/>
  <c r="P52"/>
  <c r="BE53"/>
  <c r="AL55"/>
  <c r="H58"/>
  <c r="AU59"/>
  <c r="AG62"/>
  <c r="N64"/>
  <c r="Q66"/>
  <c r="K68"/>
  <c r="S70"/>
  <c r="L72"/>
  <c r="U74"/>
  <c r="AK76"/>
  <c r="BC78"/>
  <c r="AJ83"/>
  <c r="L86"/>
  <c r="BH88"/>
  <c r="K91"/>
  <c r="BI93"/>
  <c r="F96"/>
  <c r="BC98"/>
  <c r="AI102"/>
  <c r="S105"/>
  <c r="AB107"/>
  <c r="V110"/>
  <c r="AI113"/>
  <c r="BB116"/>
  <c r="AL122"/>
  <c r="AK127"/>
  <c r="AT132"/>
  <c r="BG141"/>
  <c r="AY152"/>
  <c r="W166"/>
  <c r="BL4"/>
  <c r="N6"/>
  <c r="Q7"/>
  <c r="T8"/>
  <c r="W9"/>
  <c r="Z10"/>
  <c r="AK11"/>
  <c r="AN12"/>
  <c r="AQ13"/>
  <c r="BB14"/>
  <c r="BE15"/>
  <c r="BH16"/>
  <c r="BK17"/>
  <c r="M19"/>
  <c r="P20"/>
  <c r="S21"/>
  <c r="AD22"/>
  <c r="AG23"/>
  <c r="AJ24"/>
  <c r="AM25"/>
  <c r="AP26"/>
  <c r="BA27"/>
  <c r="BD28"/>
  <c r="BG29"/>
  <c r="I31"/>
  <c r="L32"/>
  <c r="O33"/>
  <c r="R34"/>
  <c r="Z36"/>
  <c r="AK37"/>
  <c r="AS39"/>
  <c r="BL40"/>
  <c r="BC42"/>
  <c r="AU44"/>
  <c r="AA46"/>
  <c r="AF48"/>
  <c r="I50"/>
  <c r="AY51"/>
  <c r="AP53"/>
  <c r="AK55"/>
  <c r="R58"/>
  <c r="BH59"/>
  <c r="AT62"/>
  <c r="X64"/>
  <c r="P66"/>
  <c r="J68"/>
  <c r="AG70"/>
  <c r="W72"/>
  <c r="T74"/>
  <c r="AI76"/>
  <c r="M80"/>
  <c r="BF83"/>
  <c r="AY86"/>
  <c r="AO89"/>
  <c r="AF92"/>
  <c r="X95"/>
  <c r="N98"/>
  <c r="BL100"/>
  <c r="AJ104"/>
  <c r="AA107"/>
  <c r="U110"/>
  <c r="AG113"/>
  <c r="AV116"/>
  <c r="BD121"/>
  <c r="N126"/>
  <c r="AS131"/>
  <c r="BM139"/>
  <c r="BG147"/>
  <c r="BA163"/>
  <c r="AU4"/>
  <c r="AX5"/>
  <c r="BI6"/>
  <c r="BL7"/>
  <c r="N9"/>
  <c r="Q10"/>
  <c r="T11"/>
  <c r="W12"/>
  <c r="Z13"/>
  <c r="AK14"/>
  <c r="AN15"/>
  <c r="AQ16"/>
  <c r="BB17"/>
  <c r="BE18"/>
  <c r="BH19"/>
  <c r="BK20"/>
  <c r="M22"/>
  <c r="P23"/>
  <c r="S24"/>
  <c r="AD25"/>
  <c r="AG26"/>
  <c r="AJ27"/>
  <c r="AM28"/>
  <c r="AP29"/>
  <c r="BA30"/>
  <c r="BD31"/>
  <c r="BG32"/>
  <c r="I34"/>
  <c r="I36"/>
  <c r="L37"/>
  <c r="T39"/>
  <c r="X40"/>
  <c r="BK41"/>
  <c r="AQ43"/>
  <c r="W45"/>
  <c r="BJ46"/>
  <c r="AP48"/>
  <c r="AG50"/>
  <c r="N52"/>
  <c r="BC53"/>
  <c r="AU55"/>
  <c r="AB58"/>
  <c r="AC61"/>
  <c r="T63"/>
  <c r="BK64"/>
  <c r="BG66"/>
  <c r="AX68"/>
  <c r="BI70"/>
  <c r="R73"/>
  <c r="AR75"/>
  <c r="M78"/>
  <c r="AW81"/>
  <c r="AR85"/>
  <c r="L88"/>
  <c r="BI90"/>
  <c r="BA93"/>
  <c r="AR96"/>
  <c r="AH99"/>
  <c r="H103"/>
  <c r="BE105"/>
  <c r="AV108"/>
  <c r="AG111"/>
  <c r="P114"/>
  <c r="T117"/>
  <c r="AJ122"/>
  <c r="W127"/>
  <c r="AO132"/>
  <c r="BD140"/>
  <c r="BG148"/>
  <c r="Y162"/>
  <c r="BK40"/>
  <c r="M42"/>
  <c r="P43"/>
  <c r="S44"/>
  <c r="AD45"/>
  <c r="AG46"/>
  <c r="AJ47"/>
  <c r="AM48"/>
  <c r="AP49"/>
  <c r="BA50"/>
  <c r="BD51"/>
  <c r="BG52"/>
  <c r="I54"/>
  <c r="L55"/>
  <c r="O56"/>
  <c r="O58"/>
  <c r="R59"/>
  <c r="Z61"/>
  <c r="AK62"/>
  <c r="AN63"/>
  <c r="AQ64"/>
  <c r="BB65"/>
  <c r="N67"/>
  <c r="Z68"/>
  <c r="AL69"/>
  <c r="BH70"/>
  <c r="J72"/>
  <c r="V73"/>
  <c r="AM74"/>
  <c r="BK75"/>
  <c r="AK77"/>
  <c r="P80"/>
  <c r="N83"/>
  <c r="BG84"/>
  <c r="AH86"/>
  <c r="S88"/>
  <c r="BL89"/>
  <c r="AT91"/>
  <c r="AF93"/>
  <c r="R95"/>
  <c r="BJ96"/>
  <c r="AV98"/>
  <c r="AH100"/>
  <c r="N103"/>
  <c r="BC104"/>
  <c r="AO106"/>
  <c r="AA108"/>
  <c r="N110"/>
  <c r="N112"/>
  <c r="M114"/>
  <c r="N116"/>
  <c r="BB118"/>
  <c r="AA122"/>
  <c r="S125"/>
  <c r="AC127"/>
  <c r="AS130"/>
  <c r="AY134"/>
  <c r="Q140"/>
  <c r="AR144"/>
  <c r="T153"/>
  <c r="AY162"/>
  <c r="BB40"/>
  <c r="BE41"/>
  <c r="BH42"/>
  <c r="BK43"/>
  <c r="M45"/>
  <c r="P46"/>
  <c r="S47"/>
  <c r="AD48"/>
  <c r="AG49"/>
  <c r="AJ50"/>
  <c r="AM51"/>
  <c r="AP52"/>
  <c r="BA53"/>
  <c r="BD54"/>
  <c r="BG55"/>
  <c r="N58"/>
  <c r="Q59"/>
  <c r="Q61"/>
  <c r="T62"/>
  <c r="W63"/>
  <c r="Z64"/>
  <c r="AH65"/>
  <c r="AU66"/>
  <c r="BG67"/>
  <c r="J69"/>
  <c r="V70"/>
  <c r="AP71"/>
  <c r="BB72"/>
  <c r="Q74"/>
  <c r="AN75"/>
  <c r="BM76"/>
  <c r="AF78"/>
  <c r="Q81"/>
  <c r="H84"/>
  <c r="AZ85"/>
  <c r="AL87"/>
  <c r="X89"/>
  <c r="BM90"/>
  <c r="AN92"/>
  <c r="L94"/>
  <c r="AP95"/>
  <c r="AB97"/>
  <c r="AL99"/>
  <c r="O104"/>
  <c r="AH107"/>
  <c r="BE110"/>
  <c r="BE114"/>
  <c r="AN120"/>
  <c r="W126"/>
  <c r="BL132"/>
  <c r="R142"/>
  <c r="M158"/>
  <c r="X41"/>
  <c r="AL43"/>
  <c r="AR45"/>
  <c r="AX47"/>
  <c r="BL49"/>
  <c r="Q52"/>
  <c r="W54"/>
  <c r="AK56"/>
  <c r="AV59"/>
  <c r="AY62"/>
  <c r="O65"/>
  <c r="AM67"/>
  <c r="L70"/>
  <c r="AR72"/>
  <c r="R75"/>
  <c r="Q78"/>
  <c r="AY83"/>
  <c r="I87"/>
  <c r="AM90"/>
  <c r="K94"/>
  <c r="AO97"/>
  <c r="BE100"/>
  <c r="AH105"/>
  <c r="BL108"/>
  <c r="BD112"/>
  <c r="BH116"/>
  <c r="G123"/>
  <c r="AW128"/>
  <c r="BI136"/>
  <c r="V148"/>
  <c r="AS166"/>
  <c r="N76"/>
  <c r="T78"/>
  <c r="AE81"/>
  <c r="AD84"/>
  <c r="AN86"/>
  <c r="AX88"/>
  <c r="BH90"/>
  <c r="BJ92"/>
  <c r="Z96"/>
  <c r="AW99"/>
  <c r="BI103"/>
  <c r="Y107"/>
  <c r="BK110"/>
  <c r="BM114"/>
  <c r="AI120"/>
  <c r="AK125"/>
  <c r="AJ131"/>
  <c r="BB141"/>
  <c r="H161"/>
  <c r="BG80"/>
  <c r="Z85"/>
  <c r="AW88"/>
  <c r="U92"/>
  <c r="AZ95"/>
  <c r="H99"/>
  <c r="AB103"/>
  <c r="AQ106"/>
  <c r="Y110"/>
  <c r="AA114"/>
  <c r="BJ118"/>
  <c r="Y125"/>
  <c r="AI131"/>
  <c r="BA141"/>
  <c r="AH160"/>
  <c r="BB66"/>
  <c r="J70"/>
  <c r="AI73"/>
  <c r="O77"/>
  <c r="AR84"/>
  <c r="BI89"/>
  <c r="S95"/>
  <c r="AR100"/>
  <c r="W107"/>
  <c r="U113"/>
  <c r="AL121"/>
  <c r="BM129"/>
  <c r="Z144"/>
  <c r="AS118"/>
  <c r="H125"/>
  <c r="BK130"/>
  <c r="AH140"/>
  <c r="BG153"/>
  <c r="AE117"/>
  <c r="BI123"/>
  <c r="S129"/>
  <c r="BA138"/>
  <c r="AR151"/>
  <c r="AI110"/>
  <c r="I116"/>
  <c r="AE122"/>
  <c r="AV127"/>
  <c r="M135"/>
  <c r="AC146"/>
  <c r="BC164"/>
  <c r="AE134"/>
  <c r="AU140"/>
  <c r="M147"/>
  <c r="O160"/>
  <c r="G131"/>
  <c r="X136"/>
  <c r="AR142"/>
  <c r="AD152"/>
  <c r="BI163"/>
  <c r="BG132"/>
  <c r="R139"/>
  <c r="P145"/>
  <c r="AU155"/>
  <c r="BA166"/>
  <c r="AP151"/>
  <c r="V159"/>
  <c r="AS164"/>
  <c r="Y147"/>
  <c r="U155"/>
  <c r="BJ162"/>
  <c r="AO145"/>
  <c r="BF152"/>
  <c r="AD160"/>
  <c r="P166"/>
  <c r="AD41"/>
  <c r="BM43"/>
  <c r="AR46"/>
  <c r="O49"/>
  <c r="BF51"/>
  <c r="AB54"/>
  <c r="J58"/>
  <c r="AZ61"/>
  <c r="AE64"/>
  <c r="AZ67"/>
  <c r="H71"/>
  <c r="J74"/>
  <c r="AH77"/>
  <c r="V83"/>
  <c r="G88"/>
  <c r="R92"/>
  <c r="BC96"/>
  <c r="Q102"/>
  <c r="AV106"/>
  <c r="AS111"/>
  <c r="L117"/>
  <c r="G124"/>
  <c r="L133"/>
  <c r="K152"/>
  <c r="AL166"/>
  <c r="BE30"/>
  <c r="AH32"/>
  <c r="O34"/>
  <c r="BK36"/>
  <c r="AG39"/>
  <c r="BJ41"/>
  <c r="AM44"/>
  <c r="N47"/>
  <c r="BA49"/>
  <c r="AE52"/>
  <c r="Y55"/>
  <c r="AA59"/>
  <c r="AA63"/>
  <c r="AN66"/>
  <c r="BH69"/>
  <c r="BG72"/>
  <c r="AO76"/>
  <c r="T83"/>
  <c r="Z87"/>
  <c r="AJ91"/>
  <c r="I95"/>
  <c r="AQ99"/>
  <c r="AB105"/>
  <c r="J110"/>
  <c r="AX114"/>
  <c r="AZ122"/>
  <c r="Z131"/>
  <c r="AP142"/>
  <c r="BF160"/>
  <c r="BE39"/>
  <c r="R42"/>
  <c r="BC44"/>
  <c r="AG47"/>
  <c r="G50"/>
  <c r="AU52"/>
  <c r="AO55"/>
  <c r="W59"/>
  <c r="BL62"/>
  <c r="AI66"/>
  <c r="AG69"/>
  <c r="BF72"/>
  <c r="I76"/>
  <c r="BK80"/>
  <c r="Q86"/>
  <c r="AV90"/>
  <c r="AH95"/>
  <c r="K100"/>
  <c r="BD105"/>
  <c r="BL109"/>
  <c r="BL113"/>
  <c r="AP120"/>
  <c r="Y128"/>
  <c r="Z142"/>
  <c r="AG12"/>
  <c r="AJ13"/>
  <c r="AM14"/>
  <c r="AP15"/>
  <c r="BA16"/>
  <c r="BD17"/>
  <c r="BG18"/>
  <c r="I20"/>
  <c r="L21"/>
  <c r="O22"/>
  <c r="R23"/>
  <c r="AC24"/>
  <c r="AF25"/>
  <c r="AI26"/>
  <c r="AT27"/>
  <c r="AW28"/>
  <c r="AZ29"/>
  <c r="BC30"/>
  <c r="BF31"/>
  <c r="H33"/>
  <c r="K34"/>
  <c r="S36"/>
  <c r="AD37"/>
  <c r="AL39"/>
  <c r="AY40"/>
  <c r="AP42"/>
  <c r="W44"/>
  <c r="BL45"/>
  <c r="BD47"/>
  <c r="AJ49"/>
  <c r="M51"/>
  <c r="G53"/>
  <c r="AT54"/>
  <c r="Z56"/>
  <c r="BF58"/>
  <c r="AS61"/>
  <c r="Y63"/>
  <c r="U65"/>
  <c r="O67"/>
  <c r="H69"/>
  <c r="L71"/>
  <c r="H73"/>
  <c r="AB75"/>
  <c r="AP77"/>
  <c r="K81"/>
  <c r="BM84"/>
  <c r="AG87"/>
  <c r="F90"/>
  <c r="AG92"/>
  <c r="H95"/>
  <c r="AH97"/>
  <c r="Y100"/>
  <c r="BD103"/>
  <c r="W106"/>
  <c r="BD108"/>
  <c r="BI111"/>
  <c r="I115"/>
  <c r="Z120"/>
  <c r="BK124"/>
  <c r="W129"/>
  <c r="AT136"/>
  <c r="AN145"/>
  <c r="R160"/>
  <c r="AF4"/>
  <c r="AI5"/>
  <c r="AT6"/>
  <c r="AW7"/>
  <c r="AZ8"/>
  <c r="BC9"/>
  <c r="BF10"/>
  <c r="H12"/>
  <c r="K13"/>
  <c r="V14"/>
  <c r="Y15"/>
  <c r="AB16"/>
  <c r="AE17"/>
  <c r="AH18"/>
  <c r="AS19"/>
  <c r="AV20"/>
  <c r="AY21"/>
  <c r="BJ22"/>
  <c r="BM23"/>
  <c r="G25"/>
  <c r="J26"/>
  <c r="U27"/>
  <c r="X28"/>
  <c r="AA29"/>
  <c r="AL30"/>
  <c r="AO31"/>
  <c r="AR32"/>
  <c r="AU33"/>
  <c r="AX34"/>
  <c r="BF36"/>
  <c r="M39"/>
  <c r="P40"/>
  <c r="BA41"/>
  <c r="BF43"/>
  <c r="AI45"/>
  <c r="AD47"/>
  <c r="U49"/>
  <c r="BJ50"/>
  <c r="AN52"/>
  <c r="AS54"/>
  <c r="Y56"/>
  <c r="G59"/>
  <c r="BC61"/>
  <c r="AI63"/>
  <c r="T65"/>
  <c r="K67"/>
  <c r="V69"/>
  <c r="AA71"/>
  <c r="W73"/>
  <c r="Z75"/>
  <c r="BB77"/>
  <c r="AG81"/>
  <c r="V85"/>
  <c r="M88"/>
  <c r="BJ90"/>
  <c r="BB93"/>
  <c r="AS96"/>
  <c r="AI99"/>
  <c r="O103"/>
  <c r="BF105"/>
  <c r="AW108"/>
  <c r="BA111"/>
  <c r="H115"/>
  <c r="BM118"/>
  <c r="BD123"/>
  <c r="AJ128"/>
  <c r="AO135"/>
  <c r="AI143"/>
  <c r="H159"/>
  <c r="O4"/>
  <c r="R5"/>
  <c r="AC6"/>
  <c r="AF7"/>
  <c r="AI8"/>
  <c r="AT9"/>
  <c r="AW10"/>
  <c r="AZ11"/>
  <c r="BC12"/>
  <c r="BF13"/>
  <c r="H15"/>
  <c r="K16"/>
  <c r="V17"/>
  <c r="Y18"/>
  <c r="AB19"/>
  <c r="AE20"/>
  <c r="AH21"/>
  <c r="AS22"/>
  <c r="AV23"/>
  <c r="AY24"/>
  <c r="BJ25"/>
  <c r="BM26"/>
  <c r="G28"/>
  <c r="J29"/>
  <c r="U30"/>
  <c r="X31"/>
  <c r="AA32"/>
  <c r="AL33"/>
  <c r="AO34"/>
  <c r="AO36"/>
  <c r="AR37"/>
  <c r="AZ39"/>
  <c r="M41"/>
  <c r="BB42"/>
  <c r="AF44"/>
  <c r="L46"/>
  <c r="BB47"/>
  <c r="AS49"/>
  <c r="Y51"/>
  <c r="BL52"/>
  <c r="BF54"/>
  <c r="AI56"/>
  <c r="AE59"/>
  <c r="AE62"/>
  <c r="L64"/>
  <c r="BH65"/>
  <c r="BB67"/>
  <c r="BJ69"/>
  <c r="BC71"/>
  <c r="S74"/>
  <c r="AW76"/>
  <c r="AF80"/>
  <c r="Q84"/>
  <c r="AX86"/>
  <c r="AN89"/>
  <c r="AE92"/>
  <c r="W95"/>
  <c r="M98"/>
  <c r="BK100"/>
  <c r="AI104"/>
  <c r="Z107"/>
  <c r="T110"/>
  <c r="BM112"/>
  <c r="AD115"/>
  <c r="L120"/>
  <c r="BI124"/>
  <c r="I129"/>
  <c r="AL136"/>
  <c r="M144"/>
  <c r="BK154"/>
  <c r="AE40"/>
  <c r="AH41"/>
  <c r="AS42"/>
  <c r="AV43"/>
  <c r="AY44"/>
  <c r="BJ45"/>
  <c r="BM46"/>
  <c r="G48"/>
  <c r="J49"/>
  <c r="U50"/>
  <c r="X51"/>
  <c r="AA52"/>
  <c r="AL53"/>
  <c r="AO54"/>
  <c r="AR55"/>
  <c r="AU56"/>
  <c r="AU58"/>
  <c r="AX59"/>
  <c r="BF61"/>
  <c r="H63"/>
  <c r="K64"/>
  <c r="Q65"/>
  <c r="AC66"/>
  <c r="AY67"/>
  <c r="BK68"/>
  <c r="W70"/>
  <c r="AH71"/>
  <c r="AT72"/>
  <c r="BF73"/>
  <c r="U75"/>
  <c r="AS76"/>
  <c r="V78"/>
  <c r="R81"/>
  <c r="I84"/>
  <c r="BA85"/>
  <c r="Y87"/>
  <c r="K89"/>
  <c r="BC90"/>
  <c r="AO92"/>
  <c r="AA94"/>
  <c r="L96"/>
  <c r="BE97"/>
  <c r="AP99"/>
  <c r="T102"/>
  <c r="BL103"/>
  <c r="AX105"/>
  <c r="AI107"/>
  <c r="U109"/>
  <c r="O111"/>
  <c r="O113"/>
  <c r="P115"/>
  <c r="AA117"/>
  <c r="V121"/>
  <c r="BC123"/>
  <c r="X126"/>
  <c r="BE128"/>
  <c r="BM132"/>
  <c r="K138"/>
  <c r="V142"/>
  <c r="AD148"/>
  <c r="G159"/>
  <c r="BJ166"/>
  <c r="Y41"/>
  <c r="AB42"/>
  <c r="AE43"/>
  <c r="AH44"/>
  <c r="AS45"/>
  <c r="AV46"/>
  <c r="AY47"/>
  <c r="BJ48"/>
  <c r="BM49"/>
  <c r="G51"/>
  <c r="J52"/>
  <c r="U53"/>
  <c r="X54"/>
  <c r="AA55"/>
  <c r="AL56"/>
  <c r="AT58"/>
  <c r="AW59"/>
  <c r="AW61"/>
  <c r="AZ62"/>
  <c r="BC63"/>
  <c r="BG64"/>
  <c r="J66"/>
  <c r="V67"/>
  <c r="AH68"/>
  <c r="AT69"/>
  <c r="BG70"/>
  <c r="R72"/>
  <c r="AD73"/>
  <c r="BG74"/>
  <c r="W76"/>
  <c r="AT77"/>
  <c r="AC80"/>
  <c r="M83"/>
  <c r="BF84"/>
  <c r="AR86"/>
  <c r="AC88"/>
  <c r="O90"/>
  <c r="AS91"/>
  <c r="T93"/>
  <c r="BM94"/>
  <c r="AJ96"/>
  <c r="V98"/>
  <c r="AG102"/>
  <c r="BH105"/>
  <c r="F109"/>
  <c r="BE112"/>
  <c r="BL116"/>
  <c r="AE123"/>
  <c r="O129"/>
  <c r="J138"/>
  <c r="AC147"/>
  <c r="BI166"/>
  <c r="AA42"/>
  <c r="AO44"/>
  <c r="AU46"/>
  <c r="BI48"/>
  <c r="N51"/>
  <c r="T53"/>
  <c r="Z55"/>
  <c r="AS58"/>
  <c r="AV61"/>
  <c r="BJ63"/>
  <c r="AA66"/>
  <c r="BI68"/>
  <c r="AF71"/>
  <c r="BD73"/>
  <c r="AP76"/>
  <c r="BL80"/>
  <c r="W85"/>
  <c r="BA88"/>
  <c r="Y92"/>
  <c r="BC95"/>
  <c r="Z99"/>
  <c r="AV103"/>
  <c r="S107"/>
  <c r="BD110"/>
  <c r="AZ114"/>
  <c r="AJ120"/>
  <c r="BE125"/>
  <c r="BB132"/>
  <c r="AT142"/>
  <c r="AR159"/>
  <c r="BL74"/>
  <c r="Q77"/>
  <c r="AB80"/>
  <c r="AG83"/>
  <c r="AI85"/>
  <c r="AS87"/>
  <c r="BC89"/>
  <c r="BM91"/>
  <c r="AF94"/>
  <c r="BC97"/>
  <c r="X102"/>
  <c r="BC105"/>
  <c r="K109"/>
  <c r="BC112"/>
  <c r="AQ116"/>
  <c r="O123"/>
  <c r="AB128"/>
  <c r="AJ136"/>
  <c r="AS147"/>
  <c r="BH166"/>
  <c r="AV83"/>
  <c r="T87"/>
  <c r="AI90"/>
  <c r="BF93"/>
  <c r="N97"/>
  <c r="BA100"/>
  <c r="N105"/>
  <c r="AK108"/>
  <c r="Q112"/>
  <c r="J116"/>
  <c r="AR122"/>
  <c r="AA128"/>
  <c r="AI136"/>
  <c r="AO146"/>
  <c r="BD64"/>
  <c r="AJ68"/>
  <c r="H72"/>
  <c r="AG75"/>
  <c r="AH80"/>
  <c r="BB86"/>
  <c r="AR92"/>
  <c r="J98"/>
  <c r="AF104"/>
  <c r="BE109"/>
  <c r="BF115"/>
  <c r="O126"/>
  <c r="L138"/>
  <c r="AF161"/>
  <c r="I122"/>
  <c r="Z127"/>
  <c r="AC135"/>
  <c r="P146"/>
  <c r="AN163"/>
  <c r="K121"/>
  <c r="AJ126"/>
  <c r="AM133"/>
  <c r="AZ143"/>
  <c r="U161"/>
  <c r="J113"/>
  <c r="AA118"/>
  <c r="V125"/>
  <c r="AP131"/>
  <c r="AI141"/>
  <c r="L155"/>
  <c r="X131"/>
  <c r="I138"/>
  <c r="AN143"/>
  <c r="BF153"/>
  <c r="Y164"/>
  <c r="Y133"/>
  <c r="N140"/>
  <c r="AH146"/>
  <c r="J159"/>
  <c r="BH129"/>
  <c r="R135"/>
  <c r="BL141"/>
  <c r="BL151"/>
  <c r="AQ162"/>
  <c r="AU146"/>
  <c r="S154"/>
  <c r="G162"/>
  <c r="BL144"/>
  <c r="AB152"/>
  <c r="BI159"/>
  <c r="W165"/>
  <c r="AH148"/>
  <c r="H158"/>
  <c r="AE163"/>
  <c r="G41"/>
  <c r="AP43"/>
  <c r="U46"/>
  <c r="BG48"/>
  <c r="AI51"/>
  <c r="K54"/>
  <c r="AV56"/>
  <c r="AI61"/>
  <c r="H64"/>
  <c r="AC67"/>
  <c r="AZ70"/>
  <c r="AT73"/>
  <c r="K77"/>
  <c r="AR81"/>
  <c r="AN87"/>
  <c r="AL91"/>
  <c r="T96"/>
  <c r="BC100"/>
  <c r="M106"/>
  <c r="BH110"/>
  <c r="X116"/>
  <c r="BG123"/>
  <c r="AK131"/>
  <c r="Q146"/>
  <c r="AB165"/>
  <c r="AQ30"/>
  <c r="W32"/>
  <c r="BM33"/>
  <c r="AZ36"/>
  <c r="S39"/>
  <c r="AS41"/>
  <c r="P44"/>
  <c r="BG46"/>
  <c r="AD49"/>
  <c r="H52"/>
  <c r="AQ54"/>
  <c r="BM58"/>
  <c r="BM62"/>
  <c r="M66"/>
  <c r="AO69"/>
  <c r="AG72"/>
  <c r="O76"/>
  <c r="BM81"/>
  <c r="BA86"/>
  <c r="AW90"/>
  <c r="BE94"/>
  <c r="BL98"/>
  <c r="AY104"/>
  <c r="AM109"/>
  <c r="F114"/>
  <c r="AT121"/>
  <c r="AP129"/>
  <c r="AA141"/>
  <c r="P159"/>
  <c r="AQ39"/>
  <c r="BI41"/>
  <c r="AL44"/>
  <c r="M47"/>
  <c r="AZ49"/>
  <c r="X52"/>
  <c r="U55"/>
  <c r="BL58"/>
  <c r="AO62"/>
  <c r="L66"/>
  <c r="M69"/>
  <c r="AE72"/>
  <c r="AU75"/>
  <c r="AE80"/>
  <c r="AF85"/>
  <c r="M90"/>
  <c r="BA94"/>
  <c r="AD99"/>
  <c r="AA105"/>
  <c r="AC109"/>
  <c r="X113"/>
  <c r="AP118"/>
  <c r="AL127"/>
  <c r="BK139"/>
  <c r="AO164"/>
  <c r="AB13"/>
  <c r="AE14"/>
  <c r="AH15"/>
  <c r="AS16"/>
  <c r="AV17"/>
  <c r="AY18"/>
  <c r="BJ19"/>
  <c r="BM20"/>
  <c r="G22"/>
  <c r="J23"/>
  <c r="U24"/>
  <c r="X25"/>
  <c r="AA26"/>
  <c r="AL27"/>
  <c r="AO28"/>
  <c r="AR29"/>
  <c r="AU30"/>
  <c r="AX31"/>
  <c r="BI32"/>
  <c r="BL33"/>
  <c r="K36"/>
  <c r="V37"/>
  <c r="AD39"/>
  <c r="AN40"/>
  <c r="AE42"/>
  <c r="L44"/>
  <c r="AX45"/>
  <c r="AS47"/>
  <c r="V49"/>
  <c r="BK50"/>
  <c r="BC52"/>
  <c r="AI54"/>
  <c r="L56"/>
  <c r="AR58"/>
  <c r="AE61"/>
  <c r="K63"/>
  <c r="BA64"/>
  <c r="BI66"/>
  <c r="BD68"/>
  <c r="BK70"/>
  <c r="BE72"/>
  <c r="M75"/>
  <c r="V77"/>
  <c r="BE80"/>
  <c r="AP84"/>
  <c r="P87"/>
  <c r="BM89"/>
  <c r="J92"/>
  <c r="BH94"/>
  <c r="K97"/>
  <c r="BG99"/>
  <c r="AG103"/>
  <c r="F106"/>
  <c r="AG108"/>
  <c r="AI111"/>
  <c r="AV114"/>
  <c r="AN118"/>
  <c r="AB124"/>
  <c r="AQ128"/>
  <c r="AS135"/>
  <c r="U144"/>
  <c r="O159"/>
  <c r="X4"/>
  <c r="AA5"/>
  <c r="AL6"/>
  <c r="AO7"/>
  <c r="AR8"/>
  <c r="AU9"/>
  <c r="AX10"/>
  <c r="BI11"/>
  <c r="BL12"/>
  <c r="N14"/>
  <c r="Q15"/>
  <c r="T16"/>
  <c r="W17"/>
  <c r="Z18"/>
  <c r="AK19"/>
  <c r="AN20"/>
  <c r="AQ21"/>
  <c r="BB22"/>
  <c r="BE23"/>
  <c r="BH24"/>
  <c r="BK25"/>
  <c r="M27"/>
  <c r="P28"/>
  <c r="S29"/>
  <c r="AD30"/>
  <c r="AG31"/>
  <c r="AJ32"/>
  <c r="AM33"/>
  <c r="AP34"/>
  <c r="AX36"/>
  <c r="BI37"/>
  <c r="H40"/>
  <c r="AM41"/>
  <c r="AR43"/>
  <c r="X45"/>
  <c r="P47"/>
  <c r="G49"/>
  <c r="AV50"/>
  <c r="AC52"/>
  <c r="AH54"/>
  <c r="K56"/>
  <c r="BE58"/>
  <c r="AR61"/>
  <c r="U63"/>
  <c r="BM64"/>
  <c r="BH66"/>
  <c r="BC68"/>
  <c r="K71"/>
  <c r="G73"/>
  <c r="L75"/>
  <c r="AN77"/>
  <c r="J81"/>
  <c r="BL84"/>
  <c r="BC87"/>
  <c r="AS90"/>
  <c r="AK93"/>
  <c r="AB96"/>
  <c r="R99"/>
  <c r="AY102"/>
  <c r="AO105"/>
  <c r="AF108"/>
  <c r="AH111"/>
  <c r="AQ114"/>
  <c r="AM118"/>
  <c r="R123"/>
  <c r="BJ127"/>
  <c r="AZ134"/>
  <c r="AN142"/>
  <c r="AW152"/>
  <c r="G4"/>
  <c r="J5"/>
  <c r="U6"/>
  <c r="X7"/>
  <c r="AA8"/>
  <c r="AL9"/>
  <c r="AO10"/>
  <c r="AR11"/>
  <c r="AU12"/>
  <c r="AX13"/>
  <c r="BI14"/>
  <c r="BL15"/>
  <c r="N17"/>
  <c r="Q18"/>
  <c r="T19"/>
  <c r="W20"/>
  <c r="Z21"/>
  <c r="AK22"/>
  <c r="AN23"/>
  <c r="AQ24"/>
  <c r="BB25"/>
  <c r="BE26"/>
  <c r="BH27"/>
  <c r="BK28"/>
  <c r="M30"/>
  <c r="P31"/>
  <c r="S32"/>
  <c r="AD33"/>
  <c r="AG34"/>
  <c r="AG36"/>
  <c r="AJ37"/>
  <c r="AR39"/>
  <c r="BH40"/>
  <c r="AN42"/>
  <c r="U44"/>
  <c r="BG45"/>
  <c r="AN47"/>
  <c r="AE49"/>
  <c r="K51"/>
  <c r="BA52"/>
  <c r="AR54"/>
  <c r="X56"/>
  <c r="T59"/>
  <c r="Q62"/>
  <c r="BG63"/>
  <c r="AU65"/>
  <c r="AL67"/>
  <c r="AX69"/>
  <c r="AM71"/>
  <c r="BK73"/>
  <c r="AE76"/>
  <c r="I80"/>
  <c r="BB83"/>
  <c r="AA86"/>
  <c r="Q89"/>
  <c r="H92"/>
  <c r="BF94"/>
  <c r="AW97"/>
  <c r="AN100"/>
  <c r="L104"/>
  <c r="BI106"/>
  <c r="BA109"/>
  <c r="AM112"/>
  <c r="G115"/>
  <c r="BL118"/>
  <c r="W124"/>
  <c r="BL128"/>
  <c r="AK135"/>
  <c r="S143"/>
  <c r="AW153"/>
  <c r="W40"/>
  <c r="Z41"/>
  <c r="AK42"/>
  <c r="AN43"/>
  <c r="AQ44"/>
  <c r="BB45"/>
  <c r="BE46"/>
  <c r="BH47"/>
  <c r="BK48"/>
  <c r="M50"/>
  <c r="P51"/>
  <c r="S52"/>
  <c r="AD53"/>
  <c r="AG54"/>
  <c r="AJ55"/>
  <c r="AM56"/>
  <c r="AM58"/>
  <c r="AP59"/>
  <c r="AX61"/>
  <c r="BI62"/>
  <c r="BL63"/>
  <c r="H65"/>
  <c r="T66"/>
  <c r="AP67"/>
  <c r="BB68"/>
  <c r="N70"/>
  <c r="Y71"/>
  <c r="AK72"/>
  <c r="AW73"/>
  <c r="J75"/>
  <c r="AH76"/>
  <c r="H78"/>
  <c r="BC80"/>
  <c r="BA83"/>
  <c r="AM85"/>
  <c r="N87"/>
  <c r="BC88"/>
  <c r="AO90"/>
  <c r="AA92"/>
  <c r="M94"/>
  <c r="BE95"/>
  <c r="AQ97"/>
  <c r="AB99"/>
  <c r="I102"/>
  <c r="AX103"/>
  <c r="AJ105"/>
  <c r="U107"/>
  <c r="G109"/>
  <c r="BF110"/>
  <c r="BF112"/>
  <c r="BF114"/>
  <c r="J117"/>
  <c r="BL120"/>
  <c r="AF123"/>
  <c r="G126"/>
  <c r="AH128"/>
  <c r="AD132"/>
  <c r="AK136"/>
  <c r="BC141"/>
  <c r="AN147"/>
  <c r="N158"/>
  <c r="V165"/>
  <c r="Q41"/>
  <c r="T42"/>
  <c r="W43"/>
  <c r="Z44"/>
  <c r="AK45"/>
  <c r="AN46"/>
  <c r="AQ47"/>
  <c r="BB48"/>
  <c r="BE49"/>
  <c r="BH50"/>
  <c r="BK51"/>
  <c r="M53"/>
  <c r="P54"/>
  <c r="S55"/>
  <c r="AD56"/>
  <c r="AL58"/>
  <c r="AO59"/>
  <c r="AO61"/>
  <c r="AR62"/>
  <c r="AU63"/>
  <c r="AX64"/>
  <c r="BJ65"/>
  <c r="M67"/>
  <c r="Y68"/>
  <c r="AK69"/>
  <c r="AW70"/>
  <c r="I72"/>
  <c r="U73"/>
  <c r="AW74"/>
  <c r="K76"/>
  <c r="AJ77"/>
  <c r="O80"/>
  <c r="BD81"/>
  <c r="AU84"/>
  <c r="AG86"/>
  <c r="O88"/>
  <c r="BH89"/>
  <c r="AH91"/>
  <c r="F93"/>
  <c r="AY94"/>
  <c r="V96"/>
  <c r="H98"/>
  <c r="S102"/>
  <c r="AW105"/>
  <c r="BM108"/>
  <c r="AO112"/>
  <c r="AT116"/>
  <c r="H123"/>
  <c r="AX128"/>
  <c r="BJ136"/>
  <c r="AX146"/>
  <c r="AA164"/>
  <c r="S42"/>
  <c r="AG44"/>
  <c r="AM46"/>
  <c r="BA48"/>
  <c r="BG50"/>
  <c r="L53"/>
  <c r="R55"/>
  <c r="AK58"/>
  <c r="AN61"/>
  <c r="BB63"/>
  <c r="R66"/>
  <c r="AY68"/>
  <c r="W71"/>
  <c r="AU73"/>
  <c r="AF76"/>
  <c r="BA80"/>
  <c r="L85"/>
  <c r="AM88"/>
  <c r="K92"/>
  <c r="AO95"/>
  <c r="L99"/>
  <c r="AH103"/>
  <c r="BL106"/>
  <c r="AN110"/>
  <c r="AN114"/>
  <c r="P120"/>
  <c r="AH125"/>
  <c r="Y132"/>
  <c r="Q142"/>
  <c r="BA158"/>
  <c r="BD74"/>
  <c r="I77"/>
  <c r="T80"/>
  <c r="Y83"/>
  <c r="AA85"/>
  <c r="AK87"/>
  <c r="AU89"/>
  <c r="BE91"/>
  <c r="X94"/>
  <c r="AU97"/>
  <c r="BJ100"/>
  <c r="AM105"/>
  <c r="BJ108"/>
  <c r="AT112"/>
  <c r="AE116"/>
  <c r="AH122"/>
  <c r="BI127"/>
  <c r="M136"/>
  <c r="S147"/>
  <c r="V166"/>
  <c r="X83"/>
  <c r="BK86"/>
  <c r="AA90"/>
  <c r="AX93"/>
  <c r="F97"/>
  <c r="AC100"/>
  <c r="BM104"/>
  <c r="AC108"/>
  <c r="H112"/>
  <c r="BG115"/>
  <c r="BL121"/>
  <c r="BH127"/>
  <c r="L136"/>
  <c r="BL145"/>
  <c r="AU166"/>
  <c r="L68"/>
  <c r="BA71"/>
  <c r="Y75"/>
  <c r="Z80"/>
  <c r="AT86"/>
  <c r="L92"/>
  <c r="AS97"/>
  <c r="X104"/>
  <c r="AW109"/>
  <c r="AW115"/>
  <c r="J125"/>
  <c r="AB136"/>
  <c r="AE160"/>
  <c r="BH121"/>
  <c r="R127"/>
  <c r="AI134"/>
  <c r="BG144"/>
  <c r="AN162"/>
  <c r="AT120"/>
  <c r="L126"/>
  <c r="AH132"/>
  <c r="M143"/>
  <c r="AQ160"/>
  <c r="BA112"/>
  <c r="K118"/>
  <c r="AO124"/>
  <c r="AU130"/>
  <c r="U141"/>
  <c r="BA154"/>
  <c r="P131"/>
  <c r="AO136"/>
  <c r="P143"/>
  <c r="AR153"/>
  <c r="N164"/>
  <c r="Q133"/>
  <c r="AA139"/>
  <c r="I146"/>
  <c r="BI158"/>
  <c r="AZ129"/>
  <c r="J135"/>
  <c r="AF141"/>
  <c r="M151"/>
  <c r="BB161"/>
  <c r="W146"/>
  <c r="BD153"/>
  <c r="AB161"/>
  <c r="AN144"/>
  <c r="L152"/>
  <c r="AS159"/>
  <c r="G165"/>
  <c r="AU147"/>
  <c r="AI155"/>
  <c r="W163"/>
  <c r="AG100"/>
  <c r="X103"/>
  <c r="J105"/>
  <c r="BB106"/>
  <c r="Z108"/>
  <c r="BD109"/>
  <c r="BC111"/>
  <c r="BC113"/>
  <c r="BD115"/>
  <c r="G118"/>
  <c r="BI121"/>
  <c r="BA124"/>
  <c r="AY127"/>
  <c r="AR130"/>
  <c r="U135"/>
  <c r="P140"/>
  <c r="W144"/>
  <c r="J153"/>
  <c r="BK161"/>
  <c r="BA40"/>
  <c r="BD41"/>
  <c r="BG42"/>
  <c r="I44"/>
  <c r="L45"/>
  <c r="O46"/>
  <c r="R47"/>
  <c r="AC48"/>
  <c r="AF49"/>
  <c r="AI50"/>
  <c r="AT51"/>
  <c r="AW52"/>
  <c r="AZ53"/>
  <c r="BC54"/>
  <c r="BF55"/>
  <c r="M58"/>
  <c r="P59"/>
  <c r="P61"/>
  <c r="S62"/>
  <c r="AD63"/>
  <c r="AG64"/>
  <c r="AZ65"/>
  <c r="BL66"/>
  <c r="X68"/>
  <c r="AJ69"/>
  <c r="AV70"/>
  <c r="G72"/>
  <c r="T73"/>
  <c r="AJ74"/>
  <c r="BI75"/>
  <c r="X77"/>
  <c r="N80"/>
  <c r="AZ81"/>
  <c r="AF84"/>
  <c r="R86"/>
  <c r="BJ87"/>
  <c r="AV89"/>
  <c r="AD91"/>
  <c r="P93"/>
  <c r="BI94"/>
  <c r="AT96"/>
  <c r="AF98"/>
  <c r="G100"/>
  <c r="BE102"/>
  <c r="AM104"/>
  <c r="Y106"/>
  <c r="K108"/>
  <c r="BC109"/>
  <c r="BB111"/>
  <c r="BB113"/>
  <c r="BC115"/>
  <c r="F118"/>
  <c r="BE121"/>
  <c r="AF124"/>
  <c r="AA127"/>
  <c r="AN130"/>
  <c r="AN134"/>
  <c r="AO140"/>
  <c r="H145"/>
  <c r="AX153"/>
  <c r="AW162"/>
  <c r="AF74"/>
  <c r="AI75"/>
  <c r="AT76"/>
  <c r="AW77"/>
  <c r="AZ78"/>
  <c r="BH80"/>
  <c r="BK81"/>
  <c r="BM83"/>
  <c r="BJ84"/>
  <c r="H86"/>
  <c r="M87"/>
  <c r="R88"/>
  <c r="W89"/>
  <c r="AB90"/>
  <c r="AG91"/>
  <c r="AD92"/>
  <c r="AI93"/>
  <c r="AC95"/>
  <c r="O97"/>
  <c r="AZ98"/>
  <c r="AL100"/>
  <c r="BL102"/>
  <c r="BF104"/>
  <c r="AR106"/>
  <c r="N108"/>
  <c r="H110"/>
  <c r="AX111"/>
  <c r="BH113"/>
  <c r="AY115"/>
  <c r="J118"/>
  <c r="BM121"/>
  <c r="F124"/>
  <c r="BD126"/>
  <c r="AY129"/>
  <c r="BI133"/>
  <c r="BI139"/>
  <c r="AH143"/>
  <c r="AO154"/>
  <c r="S164"/>
  <c r="BG78"/>
  <c r="BJ81"/>
  <c r="AC84"/>
  <c r="W86"/>
  <c r="I88"/>
  <c r="AL89"/>
  <c r="AF91"/>
  <c r="BI92"/>
  <c r="BC94"/>
  <c r="AO96"/>
  <c r="K98"/>
  <c r="BL99"/>
  <c r="AE102"/>
  <c r="Y104"/>
  <c r="BJ105"/>
  <c r="AN107"/>
  <c r="AH109"/>
  <c r="L111"/>
  <c r="V113"/>
  <c r="W115"/>
  <c r="AC117"/>
  <c r="Y121"/>
  <c r="AX123"/>
  <c r="BC126"/>
  <c r="AX129"/>
  <c r="BH133"/>
  <c r="BB139"/>
  <c r="AG143"/>
  <c r="AA153"/>
  <c r="AT164"/>
  <c r="AY65"/>
  <c r="AW67"/>
  <c r="O69"/>
  <c r="M71"/>
  <c r="BD72"/>
  <c r="AL74"/>
  <c r="AB76"/>
  <c r="BC77"/>
  <c r="G83"/>
  <c r="BE85"/>
  <c r="X88"/>
  <c r="W91"/>
  <c r="AW93"/>
  <c r="AN96"/>
  <c r="AM99"/>
  <c r="BJ102"/>
  <c r="J106"/>
  <c r="AB108"/>
  <c r="AL111"/>
  <c r="AR114"/>
  <c r="V118"/>
  <c r="O124"/>
  <c r="AS127"/>
  <c r="BG133"/>
  <c r="AZ141"/>
  <c r="Z153"/>
  <c r="P117"/>
  <c r="AU120"/>
  <c r="AD123"/>
  <c r="U126"/>
  <c r="BC128"/>
  <c r="AC133"/>
  <c r="BG136"/>
  <c r="AX142"/>
  <c r="V151"/>
  <c r="AP159"/>
  <c r="BE166"/>
  <c r="AJ118"/>
  <c r="AF122"/>
  <c r="AE125"/>
  <c r="BE127"/>
  <c r="AQ131"/>
  <c r="Y135"/>
  <c r="AJ141"/>
  <c r="BA146"/>
  <c r="AF155"/>
  <c r="Q165"/>
  <c r="AN111"/>
  <c r="AU114"/>
  <c r="V117"/>
  <c r="J121"/>
  <c r="BH123"/>
  <c r="AA126"/>
  <c r="R129"/>
  <c r="AL133"/>
  <c r="AL138"/>
  <c r="AY143"/>
  <c r="T151"/>
  <c r="BG160"/>
  <c r="S130"/>
  <c r="BA132"/>
  <c r="AZ135"/>
  <c r="L139"/>
  <c r="M142"/>
  <c r="AF145"/>
  <c r="P151"/>
  <c r="W158"/>
  <c r="I162"/>
  <c r="AK129"/>
  <c r="T132"/>
  <c r="BB134"/>
  <c r="BD138"/>
  <c r="Q141"/>
  <c r="R144"/>
  <c r="AM148"/>
  <c r="I155"/>
  <c r="AP161"/>
  <c r="AL165"/>
  <c r="V131"/>
  <c r="M134"/>
  <c r="AU136"/>
  <c r="BA140"/>
  <c r="N143"/>
  <c r="AJ147"/>
  <c r="BB153"/>
  <c r="BH159"/>
  <c r="AV164"/>
  <c r="L145"/>
  <c r="M148"/>
  <c r="P153"/>
  <c r="AT155"/>
  <c r="BE160"/>
  <c r="J163"/>
  <c r="S166"/>
  <c r="V146"/>
  <c r="BH148"/>
  <c r="BK153"/>
  <c r="Z158"/>
  <c r="AI161"/>
  <c r="T164"/>
  <c r="BF166"/>
  <c r="G147"/>
  <c r="AM151"/>
  <c r="AF154"/>
  <c r="S159"/>
  <c r="BE161"/>
  <c r="BF164"/>
  <c r="H100"/>
  <c r="BF102"/>
  <c r="AQ104"/>
  <c r="AC106"/>
  <c r="BG107"/>
  <c r="AE109"/>
  <c r="AA111"/>
  <c r="AA113"/>
  <c r="AA115"/>
  <c r="Z117"/>
  <c r="U121"/>
  <c r="M124"/>
  <c r="BK126"/>
  <c r="BL129"/>
  <c r="L134"/>
  <c r="I139"/>
  <c r="U143"/>
  <c r="AV151"/>
  <c r="AC160"/>
  <c r="AK40"/>
  <c r="AN41"/>
  <c r="AQ42"/>
  <c r="BB43"/>
  <c r="BE44"/>
  <c r="BH45"/>
  <c r="BK46"/>
  <c r="M48"/>
  <c r="P49"/>
  <c r="S50"/>
  <c r="AD51"/>
  <c r="AG52"/>
  <c r="AJ53"/>
  <c r="AM54"/>
  <c r="AP55"/>
  <c r="BA56"/>
  <c r="BI58"/>
  <c r="BL59"/>
  <c r="BL61"/>
  <c r="N63"/>
  <c r="Q64"/>
  <c r="AG65"/>
  <c r="AS66"/>
  <c r="BF67"/>
  <c r="R69"/>
  <c r="AD70"/>
  <c r="AX71"/>
  <c r="BJ72"/>
  <c r="O74"/>
  <c r="AM75"/>
  <c r="BL76"/>
  <c r="AS78"/>
  <c r="AA81"/>
  <c r="G84"/>
  <c r="AV85"/>
  <c r="AH87"/>
  <c r="T89"/>
  <c r="BL90"/>
  <c r="AX92"/>
  <c r="AJ94"/>
  <c r="U96"/>
  <c r="G98"/>
  <c r="AY99"/>
  <c r="AC102"/>
  <c r="N104"/>
  <c r="BG105"/>
  <c r="AR107"/>
  <c r="AD109"/>
  <c r="Z111"/>
  <c r="Y113"/>
  <c r="Z115"/>
  <c r="AS117"/>
  <c r="Q121"/>
  <c r="AU123"/>
  <c r="AM126"/>
  <c r="AM129"/>
  <c r="BJ133"/>
  <c r="H139"/>
  <c r="BF143"/>
  <c r="W152"/>
  <c r="J161"/>
  <c r="P74"/>
  <c r="S75"/>
  <c r="AD76"/>
  <c r="AG77"/>
  <c r="AJ78"/>
  <c r="AR80"/>
  <c r="AU81"/>
  <c r="AW83"/>
  <c r="AT84"/>
  <c r="AY85"/>
  <c r="BD86"/>
  <c r="BI87"/>
  <c r="G89"/>
  <c r="L90"/>
  <c r="Q91"/>
  <c r="N92"/>
  <c r="S93"/>
  <c r="BL94"/>
  <c r="AP96"/>
  <c r="AJ98"/>
  <c r="BM99"/>
  <c r="AV102"/>
  <c r="AH104"/>
  <c r="L106"/>
  <c r="BM107"/>
  <c r="AA109"/>
  <c r="AE111"/>
  <c r="AF113"/>
  <c r="O115"/>
  <c r="AR117"/>
  <c r="BH120"/>
  <c r="AY123"/>
  <c r="Q126"/>
  <c r="BD128"/>
  <c r="U133"/>
  <c r="T138"/>
  <c r="BC142"/>
  <c r="G152"/>
  <c r="J162"/>
  <c r="AQ78"/>
  <c r="V81"/>
  <c r="M84"/>
  <c r="BF85"/>
  <c r="AJ87"/>
  <c r="V89"/>
  <c r="AY90"/>
  <c r="AS92"/>
  <c r="AE94"/>
  <c r="I96"/>
  <c r="BB97"/>
  <c r="X99"/>
  <c r="O102"/>
  <c r="BH103"/>
  <c r="AD105"/>
  <c r="X107"/>
  <c r="BA108"/>
  <c r="BA110"/>
  <c r="BB112"/>
  <c r="AS114"/>
  <c r="BJ116"/>
  <c r="T120"/>
  <c r="Y123"/>
  <c r="P126"/>
  <c r="AZ128"/>
  <c r="T133"/>
  <c r="S138"/>
  <c r="BB142"/>
  <c r="AF151"/>
  <c r="AH161"/>
  <c r="AI65"/>
  <c r="I67"/>
  <c r="BH68"/>
  <c r="AP70"/>
  <c r="X72"/>
  <c r="V74"/>
  <c r="AW75"/>
  <c r="AM77"/>
  <c r="AK81"/>
  <c r="BH84"/>
  <c r="BG87"/>
  <c r="R90"/>
  <c r="Y93"/>
  <c r="BG95"/>
  <c r="AP98"/>
  <c r="AT102"/>
  <c r="BL104"/>
  <c r="L108"/>
  <c r="AZ110"/>
  <c r="BE113"/>
  <c r="AB117"/>
  <c r="AC122"/>
  <c r="BM126"/>
  <c r="AY131"/>
  <c r="M139"/>
  <c r="AD151"/>
  <c r="AQ163"/>
  <c r="O120"/>
  <c r="BM122"/>
  <c r="AF125"/>
  <c r="AE128"/>
  <c r="AR131"/>
  <c r="T136"/>
  <c r="BJ141"/>
  <c r="BD146"/>
  <c r="AR158"/>
  <c r="Q164"/>
  <c r="L118"/>
  <c r="AY121"/>
  <c r="AH124"/>
  <c r="AO127"/>
  <c r="BE129"/>
  <c r="BG134"/>
  <c r="AG140"/>
  <c r="M145"/>
  <c r="N154"/>
  <c r="AK162"/>
  <c r="H111"/>
  <c r="BF113"/>
  <c r="AG116"/>
  <c r="AK120"/>
  <c r="BC122"/>
  <c r="BB125"/>
  <c r="AS128"/>
  <c r="V132"/>
  <c r="BB136"/>
  <c r="I142"/>
  <c r="H148"/>
  <c r="AN159"/>
  <c r="AG165"/>
  <c r="AC132"/>
  <c r="AU134"/>
  <c r="AW138"/>
  <c r="Z141"/>
  <c r="K144"/>
  <c r="BB148"/>
  <c r="AU154"/>
  <c r="AS161"/>
  <c r="AZ165"/>
  <c r="AM131"/>
  <c r="V134"/>
  <c r="BD136"/>
  <c r="AT140"/>
  <c r="AE143"/>
  <c r="L147"/>
  <c r="U154"/>
  <c r="AW159"/>
  <c r="AW164"/>
  <c r="BE130"/>
  <c r="X133"/>
  <c r="W136"/>
  <c r="AP139"/>
  <c r="AQ142"/>
  <c r="AS146"/>
  <c r="AA152"/>
  <c r="W159"/>
  <c r="H163"/>
  <c r="AW144"/>
  <c r="Z147"/>
  <c r="U152"/>
  <c r="AD155"/>
  <c r="BB159"/>
  <c r="BC162"/>
  <c r="AN165"/>
  <c r="AI145"/>
  <c r="AB148"/>
  <c r="BH152"/>
  <c r="BA155"/>
  <c r="AV160"/>
  <c r="Y163"/>
  <c r="Z166"/>
  <c r="BM145"/>
  <c r="G151"/>
  <c r="BI153"/>
  <c r="AF158"/>
  <c r="AG161"/>
  <c r="BC163"/>
  <c r="BD166"/>
  <c r="M99"/>
  <c r="BF100"/>
  <c r="AW103"/>
  <c r="AI105"/>
  <c r="F107"/>
  <c r="AY108"/>
  <c r="AC110"/>
  <c r="AB112"/>
  <c r="Y114"/>
  <c r="AB116"/>
  <c r="AX118"/>
  <c r="AT122"/>
  <c r="AO125"/>
  <c r="AG128"/>
  <c r="AX131"/>
  <c r="AA136"/>
  <c r="S141"/>
  <c r="BJ145"/>
  <c r="AW154"/>
  <c r="AC163"/>
  <c r="H41"/>
  <c r="K42"/>
  <c r="V43"/>
  <c r="Y44"/>
  <c r="AB45"/>
  <c r="AE46"/>
  <c r="AH47"/>
  <c r="AS48"/>
  <c r="AV49"/>
  <c r="AY50"/>
  <c r="BJ51"/>
  <c r="BM52"/>
  <c r="G54"/>
  <c r="J55"/>
  <c r="U56"/>
  <c r="AC58"/>
  <c r="AF59"/>
  <c r="AF61"/>
  <c r="AI62"/>
  <c r="AT63"/>
  <c r="AW64"/>
  <c r="I66"/>
  <c r="U67"/>
  <c r="AP68"/>
  <c r="BB69"/>
  <c r="N71"/>
  <c r="Z72"/>
  <c r="AL73"/>
  <c r="BF74"/>
  <c r="U76"/>
  <c r="AS77"/>
  <c r="AM80"/>
  <c r="Z83"/>
  <c r="BE84"/>
  <c r="AQ86"/>
  <c r="AB88"/>
  <c r="N90"/>
  <c r="BF91"/>
  <c r="AR93"/>
  <c r="AD95"/>
  <c r="P97"/>
  <c r="BE98"/>
  <c r="AF100"/>
  <c r="W103"/>
  <c r="I105"/>
  <c r="BA106"/>
  <c r="AM108"/>
  <c r="AB110"/>
  <c r="X112"/>
  <c r="X114"/>
  <c r="AA116"/>
  <c r="AT118"/>
  <c r="AP122"/>
  <c r="Q125"/>
  <c r="I128"/>
  <c r="AW131"/>
  <c r="BC135"/>
  <c r="AR141"/>
  <c r="AQ146"/>
  <c r="Y155"/>
  <c r="V164"/>
  <c r="AV74"/>
  <c r="AY75"/>
  <c r="BJ76"/>
  <c r="BM77"/>
  <c r="L80"/>
  <c r="O81"/>
  <c r="Q83"/>
  <c r="N84"/>
  <c r="S85"/>
  <c r="X86"/>
  <c r="AC87"/>
  <c r="AH88"/>
  <c r="AM89"/>
  <c r="AR90"/>
  <c r="AW91"/>
  <c r="AT92"/>
  <c r="P94"/>
  <c r="AS95"/>
  <c r="AM97"/>
  <c r="Y99"/>
  <c r="BB100"/>
  <c r="AS103"/>
  <c r="O105"/>
  <c r="I107"/>
  <c r="AT108"/>
  <c r="Z110"/>
  <c r="AJ112"/>
  <c r="S114"/>
  <c r="U116"/>
  <c r="BK118"/>
  <c r="T122"/>
  <c r="L125"/>
  <c r="V127"/>
  <c r="BB130"/>
  <c r="AE135"/>
  <c r="AI140"/>
  <c r="AP146"/>
  <c r="AP155"/>
  <c r="AW165"/>
  <c r="AI80"/>
  <c r="P83"/>
  <c r="J85"/>
  <c r="AM86"/>
  <c r="AG88"/>
  <c r="K90"/>
  <c r="AV91"/>
  <c r="AP93"/>
  <c r="L95"/>
  <c r="BM96"/>
  <c r="AQ98"/>
  <c r="U100"/>
  <c r="L103"/>
  <c r="AO104"/>
  <c r="AA106"/>
  <c r="M108"/>
  <c r="AX109"/>
  <c r="BF111"/>
  <c r="AN113"/>
  <c r="AX115"/>
  <c r="W118"/>
  <c r="BA121"/>
  <c r="BC124"/>
  <c r="U127"/>
  <c r="BA130"/>
  <c r="AD135"/>
  <c r="AB140"/>
  <c r="AL145"/>
  <c r="AM154"/>
  <c r="U166"/>
  <c r="AD66"/>
  <c r="BM67"/>
  <c r="BC69"/>
  <c r="AC71"/>
  <c r="S73"/>
  <c r="I75"/>
  <c r="AR76"/>
  <c r="BF78"/>
  <c r="AM83"/>
  <c r="V86"/>
  <c r="M89"/>
  <c r="AU91"/>
  <c r="AT94"/>
  <c r="BL96"/>
  <c r="L100"/>
  <c r="BG103"/>
  <c r="AH106"/>
  <c r="AG109"/>
  <c r="G112"/>
  <c r="AE115"/>
  <c r="AR120"/>
  <c r="AN124"/>
  <c r="Q129"/>
  <c r="AP134"/>
  <c r="AC143"/>
  <c r="AB158"/>
  <c r="AV117"/>
  <c r="AZ121"/>
  <c r="BJ123"/>
  <c r="J127"/>
  <c r="BF129"/>
  <c r="X134"/>
  <c r="AT139"/>
  <c r="AP143"/>
  <c r="AM152"/>
  <c r="AM161"/>
  <c r="AH116"/>
  <c r="AL120"/>
  <c r="BD122"/>
  <c r="BK125"/>
  <c r="AT128"/>
  <c r="W132"/>
  <c r="N138"/>
  <c r="J142"/>
  <c r="AF148"/>
  <c r="BF159"/>
  <c r="BE165"/>
  <c r="AS112"/>
  <c r="BK114"/>
  <c r="BJ117"/>
  <c r="AX121"/>
  <c r="AG124"/>
  <c r="AF127"/>
  <c r="BD129"/>
  <c r="AR134"/>
  <c r="AF140"/>
  <c r="AY144"/>
  <c r="AY153"/>
  <c r="M162"/>
  <c r="AY130"/>
  <c r="AP133"/>
  <c r="Q136"/>
  <c r="O140"/>
  <c r="AK142"/>
  <c r="X146"/>
  <c r="BD152"/>
  <c r="BJ158"/>
  <c r="AY163"/>
  <c r="BI129"/>
  <c r="BH132"/>
  <c r="AY135"/>
  <c r="K139"/>
  <c r="T142"/>
  <c r="AP144"/>
  <c r="AN151"/>
  <c r="I158"/>
  <c r="AG162"/>
  <c r="AR129"/>
  <c r="BB131"/>
  <c r="BI134"/>
  <c r="AM138"/>
  <c r="X141"/>
  <c r="Q144"/>
  <c r="X148"/>
  <c r="BE154"/>
  <c r="O161"/>
  <c r="Y165"/>
  <c r="O146"/>
  <c r="AK148"/>
  <c r="AV153"/>
  <c r="AQ158"/>
  <c r="T161"/>
  <c r="U164"/>
  <c r="AQ166"/>
  <c r="BJ146"/>
  <c r="BE151"/>
  <c r="R154"/>
  <c r="AK159"/>
  <c r="AY161"/>
  <c r="BH164"/>
  <c r="BJ144"/>
  <c r="AM147"/>
  <c r="AP152"/>
  <c r="BL154"/>
  <c r="N160"/>
  <c r="AZ162"/>
  <c r="AK165"/>
  <c r="BI98"/>
  <c r="AU100"/>
  <c r="AL103"/>
  <c r="X105"/>
  <c r="BM106"/>
  <c r="AN108"/>
  <c r="M110"/>
  <c r="L112"/>
  <c r="L114"/>
  <c r="M116"/>
  <c r="AD118"/>
  <c r="Z122"/>
  <c r="R125"/>
  <c r="J128"/>
  <c r="U131"/>
  <c r="BD135"/>
  <c r="AP140"/>
  <c r="O145"/>
  <c r="BH153"/>
  <c r="AX162"/>
  <c r="BI40"/>
  <c r="BL41"/>
  <c r="N43"/>
  <c r="Q44"/>
  <c r="T45"/>
  <c r="W46"/>
  <c r="Z47"/>
  <c r="AK48"/>
  <c r="AN49"/>
  <c r="AQ50"/>
  <c r="BB51"/>
  <c r="BE52"/>
  <c r="BH53"/>
  <c r="BK54"/>
  <c r="M56"/>
  <c r="U58"/>
  <c r="X59"/>
  <c r="X61"/>
  <c r="AA62"/>
  <c r="AL63"/>
  <c r="AO64"/>
  <c r="BI65"/>
  <c r="L67"/>
  <c r="AG68"/>
  <c r="AS69"/>
  <c r="BE70"/>
  <c r="Q72"/>
  <c r="AC73"/>
  <c r="AU74"/>
  <c r="J76"/>
  <c r="AI77"/>
  <c r="Y80"/>
  <c r="L83"/>
  <c r="AQ84"/>
  <c r="AC86"/>
  <c r="N88"/>
  <c r="BG89"/>
  <c r="AR91"/>
  <c r="AD93"/>
  <c r="P95"/>
  <c r="BH96"/>
  <c r="AT98"/>
  <c r="R100"/>
  <c r="I103"/>
  <c r="BA104"/>
  <c r="AM106"/>
  <c r="Y108"/>
  <c r="L110"/>
  <c r="K112"/>
  <c r="K114"/>
  <c r="L116"/>
  <c r="Z118"/>
  <c r="V122"/>
  <c r="AZ124"/>
  <c r="AR127"/>
  <c r="T131"/>
  <c r="Q135"/>
  <c r="O141"/>
  <c r="BI145"/>
  <c r="AR154"/>
  <c r="AB163"/>
  <c r="AN74"/>
  <c r="AQ75"/>
  <c r="BB76"/>
  <c r="BE77"/>
  <c r="BH78"/>
  <c r="G81"/>
  <c r="I83"/>
  <c r="F84"/>
  <c r="K85"/>
  <c r="P86"/>
  <c r="U87"/>
  <c r="Z88"/>
  <c r="AE89"/>
  <c r="AJ90"/>
  <c r="AO91"/>
  <c r="AL92"/>
  <c r="BG93"/>
  <c r="AK95"/>
  <c r="AE97"/>
  <c r="BH98"/>
  <c r="AT100"/>
  <c r="AC103"/>
  <c r="G105"/>
  <c r="BH106"/>
  <c r="V108"/>
  <c r="Q110"/>
  <c r="R112"/>
  <c r="J114"/>
  <c r="K116"/>
  <c r="X118"/>
  <c r="F122"/>
  <c r="AS124"/>
  <c r="K127"/>
  <c r="AE130"/>
  <c r="AA134"/>
  <c r="L140"/>
  <c r="AK144"/>
  <c r="G155"/>
  <c r="T165"/>
  <c r="K80"/>
  <c r="H83"/>
  <c r="BA84"/>
  <c r="AE86"/>
  <c r="Y88"/>
  <c r="AT89"/>
  <c r="AN91"/>
  <c r="Z93"/>
  <c r="BK94"/>
  <c r="BE96"/>
  <c r="S98"/>
  <c r="M100"/>
  <c r="BC102"/>
  <c r="AG104"/>
  <c r="S106"/>
  <c r="AV107"/>
  <c r="AP109"/>
  <c r="AM111"/>
  <c r="AE113"/>
  <c r="AO115"/>
  <c r="AQ117"/>
  <c r="AM121"/>
  <c r="AD124"/>
  <c r="G127"/>
  <c r="AD130"/>
  <c r="Z134"/>
  <c r="K140"/>
  <c r="AE144"/>
  <c r="BM153"/>
  <c r="AT165"/>
  <c r="BG65"/>
  <c r="BE67"/>
  <c r="AM69"/>
  <c r="U71"/>
  <c r="K73"/>
  <c r="AT74"/>
  <c r="AJ76"/>
  <c r="AH78"/>
  <c r="O83"/>
  <c r="N86"/>
  <c r="AF88"/>
  <c r="AM91"/>
  <c r="V94"/>
  <c r="BD96"/>
  <c r="BC99"/>
  <c r="S103"/>
  <c r="R106"/>
  <c r="Q109"/>
  <c r="AU111"/>
  <c r="V115"/>
  <c r="AG118"/>
  <c r="AC124"/>
  <c r="AN128"/>
  <c r="Y134"/>
  <c r="I143"/>
  <c r="BJ153"/>
  <c r="AN117"/>
  <c r="T121"/>
  <c r="BB123"/>
  <c r="AS126"/>
  <c r="T129"/>
  <c r="AQ133"/>
  <c r="G139"/>
  <c r="BL142"/>
  <c r="V152"/>
  <c r="BM159"/>
  <c r="Z116"/>
  <c r="N120"/>
  <c r="AV122"/>
  <c r="AU125"/>
  <c r="F128"/>
  <c r="BE131"/>
  <c r="AR136"/>
  <c r="AU141"/>
  <c r="I148"/>
  <c r="BC155"/>
  <c r="AH165"/>
  <c r="M112"/>
  <c r="BC114"/>
  <c r="BB117"/>
  <c r="R121"/>
  <c r="Y124"/>
  <c r="BG126"/>
  <c r="AT129"/>
  <c r="H134"/>
  <c r="AD139"/>
  <c r="BM143"/>
  <c r="BE152"/>
  <c r="N161"/>
  <c r="AQ130"/>
  <c r="BI132"/>
  <c r="I136"/>
  <c r="AZ139"/>
  <c r="AC142"/>
  <c r="BF145"/>
  <c r="AQ151"/>
  <c r="AK158"/>
  <c r="X163"/>
  <c r="AS129"/>
  <c r="AZ132"/>
  <c r="BJ134"/>
  <c r="BL138"/>
  <c r="AW141"/>
  <c r="AB144"/>
  <c r="AB151"/>
  <c r="W155"/>
  <c r="S162"/>
  <c r="AC166"/>
  <c r="AT131"/>
  <c r="AK134"/>
  <c r="G138"/>
  <c r="BI140"/>
  <c r="BB143"/>
  <c r="AV147"/>
  <c r="AS154"/>
  <c r="L160"/>
  <c r="K165"/>
  <c r="AZ145"/>
  <c r="AC148"/>
  <c r="AF153"/>
  <c r="BJ155"/>
  <c r="BM160"/>
  <c r="BF163"/>
  <c r="AA166"/>
  <c r="BB146"/>
  <c r="I151"/>
  <c r="J154"/>
  <c r="BF158"/>
  <c r="AQ161"/>
  <c r="AZ164"/>
  <c r="AD144"/>
  <c r="AE147"/>
  <c r="J152"/>
  <c r="BD154"/>
  <c r="AQ159"/>
  <c r="T162"/>
  <c r="M165"/>
  <c r="H94"/>
  <c r="M95"/>
  <c r="R96"/>
  <c r="W97"/>
  <c r="AB98"/>
  <c r="AG99"/>
  <c r="AD100"/>
  <c r="AF102"/>
  <c r="AK103"/>
  <c r="AP104"/>
  <c r="AU105"/>
  <c r="AZ106"/>
  <c r="BE107"/>
  <c r="BB108"/>
  <c r="BG109"/>
  <c r="M111"/>
  <c r="AA112"/>
  <c r="AO113"/>
  <c r="BD114"/>
  <c r="BI115"/>
  <c r="AG117"/>
  <c r="J120"/>
  <c r="BB121"/>
  <c r="Z123"/>
  <c r="BD124"/>
  <c r="AE126"/>
  <c r="Q128"/>
  <c r="N130"/>
  <c r="BE132"/>
  <c r="AV135"/>
  <c r="AL139"/>
  <c r="O142"/>
  <c r="AM145"/>
  <c r="AG152"/>
  <c r="AI160"/>
  <c r="AU164"/>
  <c r="AI78"/>
  <c r="AQ80"/>
  <c r="BB81"/>
  <c r="BD83"/>
  <c r="BI84"/>
  <c r="G86"/>
  <c r="L87"/>
  <c r="Q88"/>
  <c r="N89"/>
  <c r="S90"/>
  <c r="X91"/>
  <c r="AC92"/>
  <c r="AH93"/>
  <c r="AM94"/>
  <c r="AR95"/>
  <c r="AW96"/>
  <c r="AT97"/>
  <c r="AY98"/>
  <c r="BD99"/>
  <c r="BI100"/>
  <c r="BK102"/>
  <c r="I104"/>
  <c r="F105"/>
  <c r="K106"/>
  <c r="P107"/>
  <c r="U108"/>
  <c r="Z109"/>
  <c r="AH110"/>
  <c r="AW111"/>
  <c r="BK112"/>
  <c r="R114"/>
  <c r="AF115"/>
  <c r="AZ116"/>
  <c r="AH118"/>
  <c r="N121"/>
  <c r="BF122"/>
  <c r="AR124"/>
  <c r="AD126"/>
  <c r="P128"/>
  <c r="G130"/>
  <c r="BD132"/>
  <c r="AU135"/>
  <c r="AK139"/>
  <c r="H142"/>
  <c r="BK144"/>
  <c r="AF152"/>
  <c r="AE159"/>
  <c r="S165"/>
  <c r="AA65"/>
  <c r="AL66"/>
  <c r="AO67"/>
  <c r="AR68"/>
  <c r="AU69"/>
  <c r="AX70"/>
  <c r="BI71"/>
  <c r="BL72"/>
  <c r="N74"/>
  <c r="Q75"/>
  <c r="T76"/>
  <c r="W77"/>
  <c r="AX78"/>
  <c r="AS81"/>
  <c r="T84"/>
  <c r="BM85"/>
  <c r="AY87"/>
  <c r="AC89"/>
  <c r="O91"/>
  <c r="AZ92"/>
  <c r="AD94"/>
  <c r="X96"/>
  <c r="BI97"/>
  <c r="AU99"/>
  <c r="V102"/>
  <c r="H104"/>
  <c r="BI105"/>
  <c r="AM107"/>
  <c r="Y109"/>
  <c r="BI110"/>
  <c r="BJ112"/>
  <c r="M115"/>
  <c r="Q117"/>
  <c r="BF120"/>
  <c r="AI123"/>
  <c r="Z126"/>
  <c r="F129"/>
  <c r="AF132"/>
  <c r="AY136"/>
  <c r="G142"/>
  <c r="G148"/>
  <c r="BD159"/>
  <c r="H117"/>
  <c r="BA118"/>
  <c r="AB121"/>
  <c r="F123"/>
  <c r="BG124"/>
  <c r="AK126"/>
  <c r="W128"/>
  <c r="M130"/>
  <c r="BK132"/>
  <c r="BM135"/>
  <c r="AF139"/>
  <c r="N142"/>
  <c r="N145"/>
  <c r="AS151"/>
  <c r="Y158"/>
  <c r="Q162"/>
  <c r="AJ166"/>
  <c r="AM117"/>
  <c r="V120"/>
  <c r="P122"/>
  <c r="BA123"/>
  <c r="AM125"/>
  <c r="Q127"/>
  <c r="BB128"/>
  <c r="AC131"/>
  <c r="I134"/>
  <c r="BF136"/>
  <c r="AR140"/>
  <c r="AA143"/>
  <c r="BB147"/>
  <c r="AZ153"/>
  <c r="T160"/>
  <c r="P164"/>
  <c r="AQ110"/>
  <c r="AK112"/>
  <c r="O114"/>
  <c r="BH115"/>
  <c r="AD117"/>
  <c r="U120"/>
  <c r="O122"/>
  <c r="AZ123"/>
  <c r="AD125"/>
  <c r="H127"/>
  <c r="BA128"/>
  <c r="AB131"/>
  <c r="BK133"/>
  <c r="AQ136"/>
  <c r="AQ140"/>
  <c r="Z143"/>
  <c r="AD147"/>
  <c r="AH153"/>
  <c r="BE159"/>
  <c r="BB163"/>
  <c r="AA130"/>
  <c r="U132"/>
  <c r="BF133"/>
  <c r="AR135"/>
  <c r="Q138"/>
  <c r="BH139"/>
  <c r="AX141"/>
  <c r="AF143"/>
  <c r="AT145"/>
  <c r="O148"/>
  <c r="S153"/>
  <c r="L158"/>
  <c r="AP160"/>
  <c r="AK163"/>
  <c r="Q166"/>
  <c r="AX130"/>
  <c r="AR132"/>
  <c r="N134"/>
  <c r="BG135"/>
  <c r="AF138"/>
  <c r="V140"/>
  <c r="L142"/>
  <c r="AU143"/>
  <c r="U146"/>
  <c r="AY148"/>
  <c r="BE153"/>
  <c r="AU158"/>
  <c r="AD161"/>
  <c r="K164"/>
  <c r="AO166"/>
  <c r="BM130"/>
  <c r="AY132"/>
  <c r="AC134"/>
  <c r="O136"/>
  <c r="AU138"/>
  <c r="AK140"/>
  <c r="AA142"/>
  <c r="I144"/>
  <c r="BF146"/>
  <c r="AA151"/>
  <c r="T154"/>
  <c r="I159"/>
  <c r="AN161"/>
  <c r="AI164"/>
  <c r="BM166"/>
  <c r="BH145"/>
  <c r="AX147"/>
  <c r="AH151"/>
  <c r="X153"/>
  <c r="BG154"/>
  <c r="AY158"/>
  <c r="AW160"/>
  <c r="W162"/>
  <c r="M164"/>
  <c r="AV165"/>
  <c r="AV144"/>
  <c r="AT146"/>
  <c r="T148"/>
  <c r="BM151"/>
  <c r="AM153"/>
  <c r="AC155"/>
  <c r="AC159"/>
  <c r="BL160"/>
  <c r="BB162"/>
  <c r="AB164"/>
  <c r="J166"/>
  <c r="Y145"/>
  <c r="BH146"/>
  <c r="AP148"/>
  <c r="R152"/>
  <c r="H154"/>
  <c r="BG155"/>
  <c r="AI159"/>
  <c r="Y161"/>
  <c r="BH162"/>
  <c r="AP164"/>
  <c r="AN166"/>
  <c r="AY93"/>
  <c r="BD94"/>
  <c r="BI95"/>
  <c r="G97"/>
  <c r="L98"/>
  <c r="Q99"/>
  <c r="N100"/>
  <c r="P102"/>
  <c r="U103"/>
  <c r="Z104"/>
  <c r="AE105"/>
  <c r="AJ106"/>
  <c r="AO107"/>
  <c r="AL108"/>
  <c r="AQ109"/>
  <c r="BB110"/>
  <c r="I112"/>
  <c r="W113"/>
  <c r="AK114"/>
  <c r="AP115"/>
  <c r="BK116"/>
  <c r="AW118"/>
  <c r="AC121"/>
  <c r="BG122"/>
  <c r="AE124"/>
  <c r="F126"/>
  <c r="AU127"/>
  <c r="AG129"/>
  <c r="Q132"/>
  <c r="H135"/>
  <c r="BH138"/>
  <c r="AE141"/>
  <c r="L144"/>
  <c r="AI151"/>
  <c r="AF159"/>
  <c r="AS163"/>
  <c r="S78"/>
  <c r="AA80"/>
  <c r="AL81"/>
  <c r="AN83"/>
  <c r="AS84"/>
  <c r="AX85"/>
  <c r="BC86"/>
  <c r="BH87"/>
  <c r="BM88"/>
  <c r="BJ89"/>
  <c r="H91"/>
  <c r="M92"/>
  <c r="R93"/>
  <c r="W94"/>
  <c r="AB95"/>
  <c r="AG96"/>
  <c r="AD97"/>
  <c r="AI98"/>
  <c r="AN99"/>
  <c r="AS100"/>
  <c r="AU102"/>
  <c r="AZ103"/>
  <c r="BE104"/>
  <c r="BB105"/>
  <c r="BG106"/>
  <c r="BL107"/>
  <c r="J109"/>
  <c r="P110"/>
  <c r="AD111"/>
  <c r="AR112"/>
  <c r="BG113"/>
  <c r="N115"/>
  <c r="AD116"/>
  <c r="I118"/>
  <c r="AV120"/>
  <c r="AD122"/>
  <c r="P124"/>
  <c r="BI125"/>
  <c r="AT127"/>
  <c r="AF129"/>
  <c r="P132"/>
  <c r="G135"/>
  <c r="BG138"/>
  <c r="AD141"/>
  <c r="H144"/>
  <c r="AT148"/>
  <c r="AC158"/>
  <c r="H164"/>
  <c r="K65"/>
  <c r="V66"/>
  <c r="Y67"/>
  <c r="AB68"/>
  <c r="AE69"/>
  <c r="AH70"/>
  <c r="AS71"/>
  <c r="AV72"/>
  <c r="AY73"/>
  <c r="BJ74"/>
  <c r="BM75"/>
  <c r="G77"/>
  <c r="Z78"/>
  <c r="M81"/>
  <c r="BC83"/>
  <c r="AW85"/>
  <c r="S87"/>
  <c r="BL88"/>
  <c r="AP90"/>
  <c r="AB92"/>
  <c r="N94"/>
  <c r="AY95"/>
  <c r="AK97"/>
  <c r="O99"/>
  <c r="BH100"/>
  <c r="AY103"/>
  <c r="AC105"/>
  <c r="O107"/>
  <c r="AZ108"/>
  <c r="AG110"/>
  <c r="AQ112"/>
  <c r="AI114"/>
  <c r="AM116"/>
  <c r="H120"/>
  <c r="BB122"/>
  <c r="BH125"/>
  <c r="Z128"/>
  <c r="AH131"/>
  <c r="W135"/>
  <c r="AX140"/>
  <c r="AN146"/>
  <c r="AN155"/>
  <c r="AR165"/>
  <c r="U118"/>
  <c r="BK120"/>
  <c r="BE122"/>
  <c r="AA124"/>
  <c r="M126"/>
  <c r="AX127"/>
  <c r="AL129"/>
  <c r="AL132"/>
  <c r="O135"/>
  <c r="BB138"/>
  <c r="W141"/>
  <c r="T144"/>
  <c r="BD148"/>
  <c r="BC154"/>
  <c r="V161"/>
  <c r="R165"/>
  <c r="O117"/>
  <c r="F120"/>
  <c r="AQ121"/>
  <c r="AC123"/>
  <c r="G125"/>
  <c r="AZ126"/>
  <c r="AL128"/>
  <c r="AK130"/>
  <c r="AB133"/>
  <c r="BL135"/>
  <c r="H140"/>
  <c r="BK142"/>
  <c r="AF146"/>
  <c r="BG152"/>
  <c r="BK158"/>
  <c r="P163"/>
  <c r="AA110"/>
  <c r="BL111"/>
  <c r="AX113"/>
  <c r="AB115"/>
  <c r="F117"/>
  <c r="BG118"/>
  <c r="AP121"/>
  <c r="AB123"/>
  <c r="BM124"/>
  <c r="AQ126"/>
  <c r="AK128"/>
  <c r="AJ130"/>
  <c r="AA133"/>
  <c r="AW135"/>
  <c r="BC139"/>
  <c r="BJ142"/>
  <c r="K146"/>
  <c r="AI152"/>
  <c r="AM158"/>
  <c r="BA162"/>
  <c r="K130"/>
  <c r="AV131"/>
  <c r="AH133"/>
  <c r="L135"/>
  <c r="BE136"/>
  <c r="AR139"/>
  <c r="R141"/>
  <c r="H143"/>
  <c r="BC144"/>
  <c r="AL147"/>
  <c r="AQ152"/>
  <c r="X155"/>
  <c r="BL159"/>
  <c r="AV162"/>
  <c r="AA165"/>
  <c r="AH130"/>
  <c r="L132"/>
  <c r="BE133"/>
  <c r="AA135"/>
  <c r="H138"/>
  <c r="BG139"/>
  <c r="AO141"/>
  <c r="W143"/>
  <c r="AE145"/>
  <c r="N148"/>
  <c r="AD153"/>
  <c r="BH155"/>
  <c r="AM160"/>
  <c r="V163"/>
  <c r="BM165"/>
  <c r="AW130"/>
  <c r="S132"/>
  <c r="BL133"/>
  <c r="AP135"/>
  <c r="W138"/>
  <c r="U140"/>
  <c r="BD141"/>
  <c r="AT143"/>
  <c r="H146"/>
  <c r="AW148"/>
  <c r="AP153"/>
  <c r="U158"/>
  <c r="BK160"/>
  <c r="AT163"/>
  <c r="AB166"/>
  <c r="AR145"/>
  <c r="R147"/>
  <c r="J151"/>
  <c r="BA152"/>
  <c r="AI154"/>
  <c r="AI158"/>
  <c r="Q160"/>
  <c r="BH161"/>
  <c r="AH163"/>
  <c r="X165"/>
  <c r="AF144"/>
  <c r="N146"/>
  <c r="BE147"/>
  <c r="AG151"/>
  <c r="O153"/>
  <c r="M155"/>
  <c r="AX158"/>
  <c r="AN160"/>
  <c r="V162"/>
  <c r="BM163"/>
  <c r="BC165"/>
  <c r="BB144"/>
  <c r="AJ146"/>
  <c r="J148"/>
  <c r="BC151"/>
  <c r="BA153"/>
  <c r="AA155"/>
  <c r="K159"/>
  <c r="BB160"/>
  <c r="AJ162"/>
  <c r="Z164"/>
  <c r="H166"/>
  <c r="AQ93"/>
  <c r="AV94"/>
  <c r="BA95"/>
  <c r="BF96"/>
  <c r="BK97"/>
  <c r="I99"/>
  <c r="F100"/>
  <c r="H102"/>
  <c r="M103"/>
  <c r="R104"/>
  <c r="W105"/>
  <c r="AB106"/>
  <c r="AG107"/>
  <c r="AD108"/>
  <c r="AI109"/>
  <c r="AS110"/>
  <c r="BG111"/>
  <c r="N113"/>
  <c r="AB114"/>
  <c r="AG115"/>
  <c r="BA116"/>
  <c r="AL118"/>
  <c r="O121"/>
  <c r="AS122"/>
  <c r="T124"/>
  <c r="BM125"/>
  <c r="AJ127"/>
  <c r="V129"/>
  <c r="BG131"/>
  <c r="AX134"/>
  <c r="AK138"/>
  <c r="N141"/>
  <c r="BE143"/>
  <c r="AU148"/>
  <c r="AD158"/>
  <c r="M163"/>
  <c r="K78"/>
  <c r="S80"/>
  <c r="AD81"/>
  <c r="AF83"/>
  <c r="AK84"/>
  <c r="AP85"/>
  <c r="AU86"/>
  <c r="AZ87"/>
  <c r="BE88"/>
  <c r="BB89"/>
  <c r="BG90"/>
  <c r="BL91"/>
  <c r="J93"/>
  <c r="O94"/>
  <c r="T95"/>
  <c r="Y96"/>
  <c r="V97"/>
  <c r="AA98"/>
  <c r="AF99"/>
  <c r="AK100"/>
  <c r="AM102"/>
  <c r="AR103"/>
  <c r="AW104"/>
  <c r="AT105"/>
  <c r="AY106"/>
  <c r="BD107"/>
  <c r="BI108"/>
  <c r="G110"/>
  <c r="U111"/>
  <c r="AI112"/>
  <c r="AW113"/>
  <c r="BL114"/>
  <c r="T116"/>
  <c r="BE117"/>
  <c r="AH120"/>
  <c r="S122"/>
  <c r="BL123"/>
  <c r="AX125"/>
  <c r="AI127"/>
  <c r="U129"/>
  <c r="AZ131"/>
  <c r="AQ134"/>
  <c r="AJ138"/>
  <c r="M141"/>
  <c r="AX143"/>
  <c r="Q148"/>
  <c r="AO155"/>
  <c r="AR163"/>
  <c r="BL64"/>
  <c r="N66"/>
  <c r="Q67"/>
  <c r="T68"/>
  <c r="W69"/>
  <c r="Z70"/>
  <c r="AK71"/>
  <c r="AN72"/>
  <c r="AQ73"/>
  <c r="BB74"/>
  <c r="BE75"/>
  <c r="BH76"/>
  <c r="R78"/>
  <c r="BF80"/>
  <c r="AU83"/>
  <c r="Y85"/>
  <c r="BJ86"/>
  <c r="BD88"/>
  <c r="AH90"/>
  <c r="T92"/>
  <c r="BE93"/>
  <c r="AI95"/>
  <c r="AC97"/>
  <c r="G99"/>
  <c r="AZ100"/>
  <c r="AA103"/>
  <c r="M105"/>
  <c r="G107"/>
  <c r="AR108"/>
  <c r="X110"/>
  <c r="P112"/>
  <c r="Q114"/>
  <c r="AC116"/>
  <c r="BF118"/>
  <c r="AQ122"/>
  <c r="U125"/>
  <c r="BG127"/>
  <c r="K131"/>
  <c r="F135"/>
  <c r="AA140"/>
  <c r="BI144"/>
  <c r="AC154"/>
  <c r="I165"/>
  <c r="M118"/>
  <c r="BC120"/>
  <c r="AG122"/>
  <c r="K124"/>
  <c r="BL125"/>
  <c r="AP127"/>
  <c r="AB129"/>
  <c r="BF131"/>
  <c r="AW134"/>
  <c r="AQ138"/>
  <c r="L141"/>
  <c r="BA143"/>
  <c r="BD147"/>
  <c r="O154"/>
  <c r="BI160"/>
  <c r="BE164"/>
  <c r="G117"/>
  <c r="AR118"/>
  <c r="AA121"/>
  <c r="U123"/>
  <c r="BF124"/>
  <c r="AR126"/>
  <c r="N128"/>
  <c r="L130"/>
  <c r="N133"/>
  <c r="BA135"/>
  <c r="BD139"/>
  <c r="X142"/>
  <c r="BA145"/>
  <c r="AL152"/>
  <c r="AO158"/>
  <c r="BD162"/>
  <c r="AZ166"/>
  <c r="AV111"/>
  <c r="AP113"/>
  <c r="T115"/>
  <c r="BM116"/>
  <c r="AI118"/>
  <c r="Z121"/>
  <c r="T123"/>
  <c r="BE124"/>
  <c r="AI126"/>
  <c r="M128"/>
  <c r="H130"/>
  <c r="M133"/>
  <c r="AL135"/>
  <c r="AO139"/>
  <c r="W142"/>
  <c r="AC145"/>
  <c r="N152"/>
  <c r="Q158"/>
  <c r="AI162"/>
  <c r="AE166"/>
  <c r="AF131"/>
  <c r="Z133"/>
  <c r="BK134"/>
  <c r="AW136"/>
  <c r="T139"/>
  <c r="BK140"/>
  <c r="BI142"/>
  <c r="AQ144"/>
  <c r="AA147"/>
  <c r="BB151"/>
  <c r="BI154"/>
  <c r="AX159"/>
  <c r="AH162"/>
  <c r="N165"/>
  <c r="J130"/>
  <c r="BC131"/>
  <c r="AW133"/>
  <c r="S135"/>
  <c r="BL136"/>
  <c r="AI139"/>
  <c r="Y141"/>
  <c r="O143"/>
  <c r="R145"/>
  <c r="BJ147"/>
  <c r="AO152"/>
  <c r="AH155"/>
  <c r="AA160"/>
  <c r="K163"/>
  <c r="AY165"/>
  <c r="Y130"/>
  <c r="BJ131"/>
  <c r="BD133"/>
  <c r="AH135"/>
  <c r="O138"/>
  <c r="AX139"/>
  <c r="AN141"/>
  <c r="AL143"/>
  <c r="BC145"/>
  <c r="AL148"/>
  <c r="BM152"/>
  <c r="BF155"/>
  <c r="AY160"/>
  <c r="AI163"/>
  <c r="N166"/>
  <c r="T145"/>
  <c r="BK146"/>
  <c r="BI148"/>
  <c r="AS152"/>
  <c r="AA154"/>
  <c r="K158"/>
  <c r="BJ159"/>
  <c r="AZ161"/>
  <c r="Z163"/>
  <c r="P165"/>
  <c r="AY166"/>
  <c r="AY145"/>
  <c r="AW147"/>
  <c r="Y151"/>
  <c r="G153"/>
  <c r="AP154"/>
  <c r="AH158"/>
  <c r="AF160"/>
  <c r="N162"/>
  <c r="BE163"/>
  <c r="AE165"/>
  <c r="AL144"/>
  <c r="AB146"/>
  <c r="BK147"/>
  <c r="AU151"/>
  <c r="AC153"/>
  <c r="K155"/>
  <c r="BL158"/>
  <c r="AT160"/>
  <c r="AB162"/>
  <c r="BK163"/>
  <c r="BA165"/>
  <c r="AP78"/>
  <c r="AX80"/>
  <c r="BI81"/>
  <c r="BK83"/>
  <c r="I85"/>
  <c r="F86"/>
  <c r="K87"/>
  <c r="P88"/>
  <c r="U89"/>
  <c r="Z90"/>
  <c r="AE91"/>
  <c r="AJ92"/>
  <c r="AO93"/>
  <c r="AL94"/>
  <c r="AQ95"/>
  <c r="AV96"/>
  <c r="BA97"/>
  <c r="BF98"/>
  <c r="BK99"/>
  <c r="F102"/>
  <c r="K103"/>
  <c r="P104"/>
  <c r="U105"/>
  <c r="Z106"/>
  <c r="AE107"/>
  <c r="AJ108"/>
  <c r="AO109"/>
  <c r="AP110"/>
  <c r="BE111"/>
  <c r="L113"/>
  <c r="Z114"/>
  <c r="AN115"/>
  <c r="BI116"/>
  <c r="AU118"/>
  <c r="X121"/>
  <c r="J123"/>
  <c r="BB124"/>
  <c r="AN126"/>
  <c r="L128"/>
  <c r="AW129"/>
  <c r="O132"/>
  <c r="BM134"/>
  <c r="AI138"/>
  <c r="AC141"/>
  <c r="G144"/>
  <c r="AQ148"/>
  <c r="BM154"/>
  <c r="BL161"/>
  <c r="AT166"/>
  <c r="BL117"/>
  <c r="G120"/>
  <c r="L121"/>
  <c r="Q122"/>
  <c r="N123"/>
  <c r="S124"/>
  <c r="X125"/>
  <c r="AC126"/>
  <c r="AH127"/>
  <c r="AM128"/>
  <c r="AV129"/>
  <c r="AG131"/>
  <c r="O133"/>
  <c r="BH134"/>
  <c r="AH136"/>
  <c r="U139"/>
  <c r="BG140"/>
  <c r="AM142"/>
  <c r="AJ144"/>
  <c r="P147"/>
  <c r="BJ151"/>
  <c r="AL154"/>
  <c r="T159"/>
  <c r="BJ161"/>
  <c r="AN164"/>
  <c r="R116"/>
  <c r="W117"/>
  <c r="AB118"/>
  <c r="AD120"/>
  <c r="AI121"/>
  <c r="AN122"/>
  <c r="AS123"/>
  <c r="AX124"/>
  <c r="BC125"/>
  <c r="BH126"/>
  <c r="BM127"/>
  <c r="BJ128"/>
  <c r="W130"/>
  <c r="I132"/>
  <c r="BA133"/>
  <c r="AM135"/>
  <c r="AB138"/>
  <c r="S140"/>
  <c r="BI141"/>
  <c r="AO143"/>
  <c r="M146"/>
  <c r="BC148"/>
  <c r="AI153"/>
  <c r="T158"/>
  <c r="BH160"/>
  <c r="AL163"/>
  <c r="L166"/>
  <c r="AY110"/>
  <c r="BD111"/>
  <c r="BI112"/>
  <c r="G114"/>
  <c r="L115"/>
  <c r="Q116"/>
  <c r="N117"/>
  <c r="S118"/>
  <c r="AC120"/>
  <c r="AH121"/>
  <c r="AM122"/>
  <c r="AR123"/>
  <c r="AW124"/>
  <c r="AT125"/>
  <c r="AY126"/>
  <c r="BD127"/>
  <c r="BI128"/>
  <c r="V130"/>
  <c r="H132"/>
  <c r="AZ133"/>
  <c r="X135"/>
  <c r="M138"/>
  <c r="R140"/>
  <c r="BH141"/>
  <c r="AK143"/>
  <c r="AX145"/>
  <c r="AE148"/>
  <c r="K153"/>
  <c r="AZ155"/>
  <c r="AJ160"/>
  <c r="N163"/>
  <c r="BB165"/>
  <c r="AI130"/>
  <c r="AN131"/>
  <c r="AS132"/>
  <c r="AX133"/>
  <c r="BC134"/>
  <c r="BH135"/>
  <c r="BM136"/>
  <c r="BM138"/>
  <c r="G140"/>
  <c r="J141"/>
  <c r="U142"/>
  <c r="X143"/>
  <c r="AC144"/>
  <c r="J146"/>
  <c r="AZ147"/>
  <c r="AC151"/>
  <c r="AG153"/>
  <c r="J155"/>
  <c r="AW158"/>
  <c r="AB160"/>
  <c r="U162"/>
  <c r="BJ163"/>
  <c r="AO165"/>
  <c r="BA129"/>
  <c r="BF130"/>
  <c r="BK131"/>
  <c r="I133"/>
  <c r="F134"/>
  <c r="K135"/>
  <c r="P136"/>
  <c r="P138"/>
  <c r="S139"/>
  <c r="AD140"/>
  <c r="AG141"/>
  <c r="AJ142"/>
  <c r="AM143"/>
  <c r="BA144"/>
  <c r="AV146"/>
  <c r="Y148"/>
  <c r="P152"/>
  <c r="G154"/>
  <c r="AV155"/>
  <c r="X159"/>
  <c r="P161"/>
  <c r="BF162"/>
  <c r="AL164"/>
  <c r="O166"/>
  <c r="I130"/>
  <c r="F131"/>
  <c r="K132"/>
  <c r="P133"/>
  <c r="U134"/>
  <c r="Z135"/>
  <c r="AE136"/>
  <c r="AE138"/>
  <c r="AH139"/>
  <c r="AS140"/>
  <c r="AV141"/>
  <c r="AY142"/>
  <c r="BJ143"/>
  <c r="AP145"/>
  <c r="V147"/>
  <c r="BK148"/>
  <c r="AN152"/>
  <c r="AE154"/>
  <c r="G158"/>
  <c r="AV159"/>
  <c r="AC161"/>
  <c r="U163"/>
  <c r="BJ164"/>
  <c r="AM166"/>
  <c r="BM144"/>
  <c r="G146"/>
  <c r="J147"/>
  <c r="U148"/>
  <c r="Z151"/>
  <c r="AK152"/>
  <c r="AN153"/>
  <c r="AQ154"/>
  <c r="BB155"/>
  <c r="BG158"/>
  <c r="I160"/>
  <c r="L161"/>
  <c r="O162"/>
  <c r="R163"/>
  <c r="AC164"/>
  <c r="AF165"/>
  <c r="AI166"/>
  <c r="BD144"/>
  <c r="BG145"/>
  <c r="I147"/>
  <c r="L148"/>
  <c r="Q151"/>
  <c r="T152"/>
  <c r="W153"/>
  <c r="Z154"/>
  <c r="AK155"/>
  <c r="AP158"/>
  <c r="BA159"/>
  <c r="BD160"/>
  <c r="BG161"/>
  <c r="I163"/>
  <c r="L164"/>
  <c r="O165"/>
  <c r="R166"/>
  <c r="AT144"/>
  <c r="AW145"/>
  <c r="AZ146"/>
  <c r="BC147"/>
  <c r="BF148"/>
  <c r="BK151"/>
  <c r="M153"/>
  <c r="P154"/>
  <c r="S155"/>
  <c r="X158"/>
  <c r="AA159"/>
  <c r="AL160"/>
  <c r="AO161"/>
  <c r="AR162"/>
  <c r="AU163"/>
  <c r="AX164"/>
  <c r="BI165"/>
  <c r="BL166"/>
  <c r="J78"/>
  <c r="R80"/>
  <c r="AC81"/>
  <c r="AE83"/>
  <c r="AJ84"/>
  <c r="AO85"/>
  <c r="AL86"/>
  <c r="AQ87"/>
  <c r="AV88"/>
  <c r="BA89"/>
  <c r="BF90"/>
  <c r="BK91"/>
  <c r="I93"/>
  <c r="F94"/>
  <c r="K95"/>
  <c r="P96"/>
  <c r="U97"/>
  <c r="Z98"/>
  <c r="AE99"/>
  <c r="AJ100"/>
  <c r="AL102"/>
  <c r="AQ103"/>
  <c r="AV104"/>
  <c r="BA105"/>
  <c r="BF106"/>
  <c r="BK107"/>
  <c r="I109"/>
  <c r="F110"/>
  <c r="T111"/>
  <c r="AH112"/>
  <c r="AV113"/>
  <c r="BJ114"/>
  <c r="S116"/>
  <c r="BA117"/>
  <c r="AG120"/>
  <c r="R122"/>
  <c r="BK123"/>
  <c r="AW125"/>
  <c r="T127"/>
  <c r="BM128"/>
  <c r="AT130"/>
  <c r="AJ133"/>
  <c r="K136"/>
  <c r="BA139"/>
  <c r="AU142"/>
  <c r="BK145"/>
  <c r="BK152"/>
  <c r="AB159"/>
  <c r="AQ164"/>
  <c r="AF117"/>
  <c r="AK118"/>
  <c r="AM120"/>
  <c r="AR121"/>
  <c r="AW122"/>
  <c r="AT123"/>
  <c r="AY124"/>
  <c r="BD125"/>
  <c r="BI126"/>
  <c r="G128"/>
  <c r="L129"/>
  <c r="AL130"/>
  <c r="X132"/>
  <c r="J134"/>
  <c r="BB135"/>
  <c r="AC138"/>
  <c r="I140"/>
  <c r="AY141"/>
  <c r="AB143"/>
  <c r="BB145"/>
  <c r="AG148"/>
  <c r="N153"/>
  <c r="BD155"/>
  <c r="AR160"/>
  <c r="S163"/>
  <c r="BF165"/>
  <c r="AX116"/>
  <c r="BC117"/>
  <c r="BH118"/>
  <c r="BJ120"/>
  <c r="H122"/>
  <c r="M123"/>
  <c r="R124"/>
  <c r="W125"/>
  <c r="AB126"/>
  <c r="AG127"/>
  <c r="AD128"/>
  <c r="AI129"/>
  <c r="R131"/>
  <c r="BJ132"/>
  <c r="AV134"/>
  <c r="AD136"/>
  <c r="AE139"/>
  <c r="K141"/>
  <c r="AW142"/>
  <c r="BF144"/>
  <c r="AF147"/>
  <c r="S152"/>
  <c r="BB154"/>
  <c r="AO159"/>
  <c r="P162"/>
  <c r="BD164"/>
  <c r="S110"/>
  <c r="X111"/>
  <c r="AC112"/>
  <c r="AH113"/>
  <c r="AM114"/>
  <c r="AR115"/>
  <c r="AW116"/>
  <c r="AT117"/>
  <c r="AY118"/>
  <c r="BI120"/>
  <c r="G122"/>
  <c r="L123"/>
  <c r="Q124"/>
  <c r="N125"/>
  <c r="S126"/>
  <c r="X127"/>
  <c r="AC128"/>
  <c r="AH129"/>
  <c r="Q131"/>
  <c r="BF132"/>
  <c r="AG134"/>
  <c r="R136"/>
  <c r="P139"/>
  <c r="G141"/>
  <c r="AV142"/>
  <c r="AH144"/>
  <c r="H147"/>
  <c r="BH151"/>
  <c r="AD154"/>
  <c r="Q159"/>
  <c r="BF161"/>
  <c r="AF164"/>
  <c r="BJ129"/>
  <c r="H131"/>
  <c r="M132"/>
  <c r="R133"/>
  <c r="W134"/>
  <c r="AB135"/>
  <c r="AG136"/>
  <c r="AG138"/>
  <c r="AJ139"/>
  <c r="AM140"/>
  <c r="AP141"/>
  <c r="BA142"/>
  <c r="BD143"/>
  <c r="U145"/>
  <c r="BI146"/>
  <c r="AN148"/>
  <c r="AE152"/>
  <c r="V154"/>
  <c r="BK155"/>
  <c r="AM159"/>
  <c r="AE161"/>
  <c r="L163"/>
  <c r="AY164"/>
  <c r="AR166"/>
  <c r="Z130"/>
  <c r="AE131"/>
  <c r="AJ132"/>
  <c r="AO133"/>
  <c r="AL134"/>
  <c r="AQ135"/>
  <c r="AV136"/>
  <c r="AV138"/>
  <c r="AY139"/>
  <c r="BJ140"/>
  <c r="BM141"/>
  <c r="G143"/>
  <c r="J144"/>
  <c r="BD145"/>
  <c r="AK147"/>
  <c r="N151"/>
  <c r="R153"/>
  <c r="BH154"/>
  <c r="AJ158"/>
  <c r="M160"/>
  <c r="H162"/>
  <c r="AV163"/>
  <c r="Z165"/>
  <c r="AJ129"/>
  <c r="AO130"/>
  <c r="AL131"/>
  <c r="AQ132"/>
  <c r="AV133"/>
  <c r="BA134"/>
  <c r="BF135"/>
  <c r="BK136"/>
  <c r="BK138"/>
  <c r="M140"/>
  <c r="P141"/>
  <c r="S142"/>
  <c r="AD143"/>
  <c r="AM144"/>
  <c r="AG146"/>
  <c r="K148"/>
  <c r="AZ151"/>
  <c r="AB153"/>
  <c r="T155"/>
  <c r="BH158"/>
  <c r="AK160"/>
  <c r="AF162"/>
  <c r="I164"/>
  <c r="AX165"/>
  <c r="AG144"/>
  <c r="AJ145"/>
  <c r="AM146"/>
  <c r="AP147"/>
  <c r="BA148"/>
  <c r="BF151"/>
  <c r="H153"/>
  <c r="K154"/>
  <c r="V155"/>
  <c r="AA158"/>
  <c r="AL159"/>
  <c r="AO160"/>
  <c r="AR161"/>
  <c r="AU162"/>
  <c r="AX163"/>
  <c r="BI164"/>
  <c r="BL165"/>
  <c r="X144"/>
  <c r="AA145"/>
  <c r="AL146"/>
  <c r="AO147"/>
  <c r="AR148"/>
  <c r="AW151"/>
  <c r="AZ152"/>
  <c r="BC153"/>
  <c r="BF154"/>
  <c r="J158"/>
  <c r="U159"/>
  <c r="X160"/>
  <c r="AA161"/>
  <c r="AL162"/>
  <c r="AO163"/>
  <c r="AR164"/>
  <c r="AU165"/>
  <c r="AX166"/>
  <c r="Q145"/>
  <c r="T146"/>
  <c r="W147"/>
  <c r="Z148"/>
  <c r="AE151"/>
  <c r="AH152"/>
  <c r="AS153"/>
  <c r="AV154"/>
  <c r="AY155"/>
  <c r="BD158"/>
  <c r="BG159"/>
  <c r="I161"/>
  <c r="L162"/>
  <c r="O163"/>
  <c r="R164"/>
  <c r="AC165"/>
  <c r="AF166"/>
  <c r="BK77"/>
  <c r="J80"/>
  <c r="U81"/>
  <c r="W83"/>
  <c r="AB84"/>
  <c r="AG85"/>
  <c r="AD86"/>
  <c r="AI87"/>
  <c r="AN88"/>
  <c r="AS89"/>
  <c r="AX90"/>
  <c r="BC91"/>
  <c r="BH92"/>
  <c r="BM93"/>
  <c r="BJ94"/>
  <c r="H96"/>
  <c r="M97"/>
  <c r="R98"/>
  <c r="W99"/>
  <c r="AB100"/>
  <c r="AD102"/>
  <c r="AI103"/>
  <c r="AN104"/>
  <c r="AS105"/>
  <c r="AX106"/>
  <c r="BC107"/>
  <c r="BH108"/>
  <c r="BM109"/>
  <c r="K111"/>
  <c r="Y112"/>
  <c r="AM113"/>
  <c r="BA114"/>
  <c r="H116"/>
  <c r="AP117"/>
  <c r="S120"/>
  <c r="BK121"/>
  <c r="AW123"/>
  <c r="AI125"/>
  <c r="F127"/>
  <c r="AY128"/>
  <c r="AC130"/>
  <c r="S133"/>
  <c r="AT135"/>
  <c r="AG139"/>
  <c r="AD142"/>
  <c r="Z145"/>
  <c r="Y152"/>
  <c r="BB158"/>
  <c r="G164"/>
  <c r="X117"/>
  <c r="AC118"/>
  <c r="AE120"/>
  <c r="AJ121"/>
  <c r="AO122"/>
  <c r="AL123"/>
  <c r="AQ124"/>
  <c r="AV125"/>
  <c r="BA126"/>
  <c r="BF127"/>
  <c r="BK128"/>
  <c r="X130"/>
  <c r="J132"/>
  <c r="BB133"/>
  <c r="AN135"/>
  <c r="R138"/>
  <c r="BE139"/>
  <c r="AK141"/>
  <c r="Q143"/>
  <c r="AK145"/>
  <c r="P148"/>
  <c r="BJ152"/>
  <c r="AM155"/>
  <c r="U160"/>
  <c r="BI162"/>
  <c r="AI165"/>
  <c r="AP116"/>
  <c r="AU117"/>
  <c r="AZ118"/>
  <c r="BB120"/>
  <c r="BG121"/>
  <c r="BL122"/>
  <c r="J124"/>
  <c r="O125"/>
  <c r="T126"/>
  <c r="Y127"/>
  <c r="V128"/>
  <c r="AA129"/>
  <c r="BJ130"/>
  <c r="AV132"/>
  <c r="AH134"/>
  <c r="S136"/>
  <c r="Q139"/>
  <c r="BF140"/>
  <c r="AL142"/>
  <c r="AI144"/>
  <c r="N147"/>
  <c r="BI151"/>
  <c r="AK154"/>
  <c r="R159"/>
  <c r="BI161"/>
  <c r="AG164"/>
  <c r="K110"/>
  <c r="P111"/>
  <c r="U112"/>
  <c r="Z113"/>
  <c r="AE114"/>
  <c r="AJ115"/>
  <c r="AO116"/>
  <c r="AL117"/>
  <c r="AQ118"/>
  <c r="BA120"/>
  <c r="BF121"/>
  <c r="BK122"/>
  <c r="I124"/>
  <c r="F125"/>
  <c r="K126"/>
  <c r="P127"/>
  <c r="U128"/>
  <c r="Z129"/>
  <c r="BI130"/>
  <c r="AU132"/>
  <c r="S134"/>
  <c r="BK135"/>
  <c r="AZ138"/>
  <c r="BE140"/>
  <c r="AH142"/>
  <c r="O144"/>
  <c r="AY146"/>
  <c r="AK151"/>
  <c r="M154"/>
  <c r="BE158"/>
  <c r="AK161"/>
  <c r="O164"/>
  <c r="AW166"/>
  <c r="BG130"/>
  <c r="BL131"/>
  <c r="J133"/>
  <c r="O134"/>
  <c r="T135"/>
  <c r="Y136"/>
  <c r="Y138"/>
  <c r="AB139"/>
  <c r="AE140"/>
  <c r="AH141"/>
  <c r="AS142"/>
  <c r="AV143"/>
  <c r="G145"/>
  <c r="AW146"/>
  <c r="AA148"/>
  <c r="Q152"/>
  <c r="I154"/>
  <c r="AW155"/>
  <c r="Y159"/>
  <c r="R161"/>
  <c r="BG162"/>
  <c r="AM164"/>
  <c r="AD166"/>
  <c r="R130"/>
  <c r="W131"/>
  <c r="AB132"/>
  <c r="AG133"/>
  <c r="AD134"/>
  <c r="AI135"/>
  <c r="AN136"/>
  <c r="AN138"/>
  <c r="AQ139"/>
  <c r="BB140"/>
  <c r="BE141"/>
  <c r="BH142"/>
  <c r="BK143"/>
  <c r="AS145"/>
  <c r="X147"/>
  <c r="BL148"/>
  <c r="BC152"/>
  <c r="AT154"/>
  <c r="V158"/>
  <c r="BK159"/>
  <c r="BC161"/>
  <c r="AJ163"/>
  <c r="L165"/>
  <c r="BB166"/>
  <c r="AG130"/>
  <c r="AD131"/>
  <c r="AI132"/>
  <c r="AN133"/>
  <c r="AS134"/>
  <c r="AX135"/>
  <c r="BC136"/>
  <c r="BC138"/>
  <c r="BF139"/>
  <c r="H141"/>
  <c r="K142"/>
  <c r="V143"/>
  <c r="AA144"/>
  <c r="S146"/>
  <c r="BI147"/>
  <c r="AL151"/>
  <c r="Q153"/>
  <c r="H155"/>
  <c r="AT158"/>
  <c r="Z160"/>
  <c r="R162"/>
  <c r="BH163"/>
  <c r="AJ165"/>
  <c r="Y144"/>
  <c r="AB145"/>
  <c r="AE146"/>
  <c r="AH147"/>
  <c r="AS148"/>
  <c r="AX151"/>
  <c r="BI152"/>
  <c r="BL153"/>
  <c r="N155"/>
  <c r="S158"/>
  <c r="AD159"/>
  <c r="AG160"/>
  <c r="AJ161"/>
  <c r="AM162"/>
  <c r="AP163"/>
  <c r="BA164"/>
  <c r="BD165"/>
  <c r="BG166"/>
  <c r="S145"/>
  <c r="AD146"/>
  <c r="AG147"/>
  <c r="AJ148"/>
  <c r="AO151"/>
  <c r="AR152"/>
  <c r="AU153"/>
  <c r="AX154"/>
  <c r="BI155"/>
  <c r="M159"/>
  <c r="P160"/>
  <c r="S161"/>
  <c r="AD162"/>
  <c r="AG163"/>
  <c r="AJ164"/>
  <c r="AM165"/>
  <c r="AP166"/>
  <c r="I145"/>
  <c r="L146"/>
  <c r="O147"/>
  <c r="R148"/>
  <c r="W151"/>
  <c r="Z152"/>
  <c r="AK153"/>
  <c r="AN154"/>
  <c r="AQ155"/>
  <c r="AV158"/>
  <c r="AY159"/>
  <c r="BJ160"/>
  <c r="BM161"/>
  <c r="G163"/>
  <c r="J164"/>
  <c r="U165"/>
  <c r="X166"/>
  <c r="AX156"/>
  <c r="AX149"/>
  <c r="AX150"/>
  <c r="AX137"/>
  <c r="AX119"/>
  <c r="AX82"/>
  <c r="AX101"/>
  <c r="AX79"/>
  <c r="AX57"/>
  <c r="AX167"/>
  <c r="AX157"/>
  <c r="AX38"/>
  <c r="AX35"/>
  <c r="AX60"/>
  <c r="AO149"/>
  <c r="AO156"/>
  <c r="AO150"/>
  <c r="AO157"/>
  <c r="AO119"/>
  <c r="AO167"/>
  <c r="AO101"/>
  <c r="AO137"/>
  <c r="AO79"/>
  <c r="AO38"/>
  <c r="AO60"/>
  <c r="AO57"/>
  <c r="AO82"/>
  <c r="AO35"/>
  <c r="AQ156"/>
  <c r="AQ157"/>
  <c r="AQ149"/>
  <c r="AQ150"/>
  <c r="AQ82"/>
  <c r="AQ119"/>
  <c r="AQ101"/>
  <c r="AQ167"/>
  <c r="AQ57"/>
  <c r="AQ137"/>
  <c r="AQ38"/>
  <c r="AQ79"/>
  <c r="AQ60"/>
  <c r="AQ35"/>
  <c r="BE149"/>
  <c r="BE157"/>
  <c r="BE167"/>
  <c r="BE156"/>
  <c r="BE119"/>
  <c r="BE150"/>
  <c r="BE101"/>
  <c r="BE137"/>
  <c r="BE79"/>
  <c r="BE82"/>
  <c r="BE38"/>
  <c r="BE60"/>
  <c r="BE35"/>
  <c r="BE57"/>
  <c r="AF156"/>
  <c r="AF167"/>
  <c r="AF157"/>
  <c r="AF149"/>
  <c r="AF119"/>
  <c r="AF150"/>
  <c r="AF79"/>
  <c r="AF137"/>
  <c r="AF82"/>
  <c r="AF35"/>
  <c r="AF60"/>
  <c r="AF101"/>
  <c r="AF57"/>
  <c r="AF38"/>
  <c r="BG156"/>
  <c r="BG167"/>
  <c r="BG157"/>
  <c r="BG149"/>
  <c r="BG150"/>
  <c r="BG82"/>
  <c r="BG101"/>
  <c r="BG57"/>
  <c r="BG79"/>
  <c r="BG38"/>
  <c r="BG119"/>
  <c r="BG137"/>
  <c r="BG60"/>
  <c r="BG35"/>
  <c r="AH156"/>
  <c r="AH149"/>
  <c r="AH167"/>
  <c r="AH157"/>
  <c r="AH119"/>
  <c r="AH82"/>
  <c r="AH137"/>
  <c r="AH101"/>
  <c r="AH57"/>
  <c r="AH150"/>
  <c r="AH79"/>
  <c r="AH38"/>
  <c r="AH60"/>
  <c r="AH35"/>
  <c r="N150"/>
  <c r="N156"/>
  <c r="N137"/>
  <c r="N167"/>
  <c r="N149"/>
  <c r="N157"/>
  <c r="N119"/>
  <c r="N60"/>
  <c r="N101"/>
  <c r="N79"/>
  <c r="N35"/>
  <c r="N82"/>
  <c r="N57"/>
  <c r="N38"/>
  <c r="AW149"/>
  <c r="AW150"/>
  <c r="AW167"/>
  <c r="AW137"/>
  <c r="AW119"/>
  <c r="AW101"/>
  <c r="AW79"/>
  <c r="AW157"/>
  <c r="AW38"/>
  <c r="AW60"/>
  <c r="AW35"/>
  <c r="AW82"/>
  <c r="AW57"/>
  <c r="AW156"/>
  <c r="Z156"/>
  <c r="Z149"/>
  <c r="Z150"/>
  <c r="Z137"/>
  <c r="Z119"/>
  <c r="Z167"/>
  <c r="Z82"/>
  <c r="Z157"/>
  <c r="Z101"/>
  <c r="Z57"/>
  <c r="Z79"/>
  <c r="Z60"/>
  <c r="Z38"/>
  <c r="Z35"/>
  <c r="AS167"/>
  <c r="AS157"/>
  <c r="AS137"/>
  <c r="AS149"/>
  <c r="AS156"/>
  <c r="AS60"/>
  <c r="AS150"/>
  <c r="AS101"/>
  <c r="AS119"/>
  <c r="AS57"/>
  <c r="AS38"/>
  <c r="AS79"/>
  <c r="AS35"/>
  <c r="AS82"/>
  <c r="I149"/>
  <c r="I167"/>
  <c r="I157"/>
  <c r="I119"/>
  <c r="I101"/>
  <c r="I156"/>
  <c r="I79"/>
  <c r="I150"/>
  <c r="I82"/>
  <c r="I38"/>
  <c r="I60"/>
  <c r="I137"/>
  <c r="I35"/>
  <c r="I57"/>
  <c r="J156"/>
  <c r="J149"/>
  <c r="J150"/>
  <c r="J167"/>
  <c r="J137"/>
  <c r="J119"/>
  <c r="J82"/>
  <c r="J101"/>
  <c r="J57"/>
  <c r="J38"/>
  <c r="J35"/>
  <c r="J60"/>
  <c r="J157"/>
  <c r="J79"/>
  <c r="AU149"/>
  <c r="AU167"/>
  <c r="AU157"/>
  <c r="AU150"/>
  <c r="AU79"/>
  <c r="AU156"/>
  <c r="AU119"/>
  <c r="AU82"/>
  <c r="AU60"/>
  <c r="AU137"/>
  <c r="AU35"/>
  <c r="AU57"/>
  <c r="AU38"/>
  <c r="AU101"/>
  <c r="X156"/>
  <c r="X167"/>
  <c r="X157"/>
  <c r="X150"/>
  <c r="X137"/>
  <c r="X119"/>
  <c r="X149"/>
  <c r="X79"/>
  <c r="X101"/>
  <c r="X35"/>
  <c r="X57"/>
  <c r="X38"/>
  <c r="X60"/>
  <c r="X82"/>
  <c r="Q149"/>
  <c r="Q157"/>
  <c r="Q167"/>
  <c r="Q156"/>
  <c r="Q119"/>
  <c r="Q101"/>
  <c r="Q137"/>
  <c r="Q79"/>
  <c r="Q150"/>
  <c r="Q38"/>
  <c r="Q60"/>
  <c r="Q57"/>
  <c r="Q82"/>
  <c r="Q35"/>
  <c r="AA156"/>
  <c r="AA119"/>
  <c r="AA167"/>
  <c r="AA82"/>
  <c r="AA157"/>
  <c r="AA149"/>
  <c r="AA101"/>
  <c r="AA57"/>
  <c r="AA79"/>
  <c r="AA60"/>
  <c r="AA38"/>
  <c r="AA137"/>
  <c r="AA150"/>
  <c r="AA35"/>
  <c r="AZ150"/>
  <c r="AZ156"/>
  <c r="AZ137"/>
  <c r="AZ167"/>
  <c r="AZ119"/>
  <c r="AZ157"/>
  <c r="AZ149"/>
  <c r="AZ82"/>
  <c r="AZ101"/>
  <c r="AZ79"/>
  <c r="AZ57"/>
  <c r="AZ60"/>
  <c r="AZ35"/>
  <c r="AZ38"/>
  <c r="AN156"/>
  <c r="AN167"/>
  <c r="AN157"/>
  <c r="AN150"/>
  <c r="AN119"/>
  <c r="AN137"/>
  <c r="AN79"/>
  <c r="AN60"/>
  <c r="AN57"/>
  <c r="AN35"/>
  <c r="AN82"/>
  <c r="AN149"/>
  <c r="AN38"/>
  <c r="AN101"/>
  <c r="BI167"/>
  <c r="BI157"/>
  <c r="BI150"/>
  <c r="BI137"/>
  <c r="BI149"/>
  <c r="BI79"/>
  <c r="BI60"/>
  <c r="BI82"/>
  <c r="BI101"/>
  <c r="BI119"/>
  <c r="BI38"/>
  <c r="BI57"/>
  <c r="BI156"/>
  <c r="BI35"/>
  <c r="BA167"/>
  <c r="BA157"/>
  <c r="BA156"/>
  <c r="BA137"/>
  <c r="BA149"/>
  <c r="BA119"/>
  <c r="BA60"/>
  <c r="BA101"/>
  <c r="BA82"/>
  <c r="BA150"/>
  <c r="BA57"/>
  <c r="BA35"/>
  <c r="BA38"/>
  <c r="BA79"/>
  <c r="W149"/>
  <c r="W167"/>
  <c r="W157"/>
  <c r="W150"/>
  <c r="W79"/>
  <c r="W101"/>
  <c r="W156"/>
  <c r="W82"/>
  <c r="W60"/>
  <c r="W35"/>
  <c r="W137"/>
  <c r="W57"/>
  <c r="W119"/>
  <c r="W38"/>
  <c r="AM149"/>
  <c r="AM167"/>
  <c r="AM157"/>
  <c r="AM150"/>
  <c r="AM156"/>
  <c r="AM137"/>
  <c r="AM79"/>
  <c r="AM119"/>
  <c r="AM101"/>
  <c r="AM60"/>
  <c r="AM35"/>
  <c r="AM38"/>
  <c r="AM82"/>
  <c r="AM57"/>
  <c r="S156"/>
  <c r="S167"/>
  <c r="S157"/>
  <c r="S149"/>
  <c r="S150"/>
  <c r="S82"/>
  <c r="S101"/>
  <c r="S57"/>
  <c r="S119"/>
  <c r="S79"/>
  <c r="S38"/>
  <c r="S35"/>
  <c r="S137"/>
  <c r="S60"/>
  <c r="BL156"/>
  <c r="BL167"/>
  <c r="BL157"/>
  <c r="BL150"/>
  <c r="BL119"/>
  <c r="BL137"/>
  <c r="BL79"/>
  <c r="BL101"/>
  <c r="BL35"/>
  <c r="BL57"/>
  <c r="BL149"/>
  <c r="BL82"/>
  <c r="BL38"/>
  <c r="BL60"/>
  <c r="AB150"/>
  <c r="AB137"/>
  <c r="AB156"/>
  <c r="AB119"/>
  <c r="AB167"/>
  <c r="AB82"/>
  <c r="AB157"/>
  <c r="AB149"/>
  <c r="AB101"/>
  <c r="AB57"/>
  <c r="AB60"/>
  <c r="AB38"/>
  <c r="AB79"/>
  <c r="AB35"/>
  <c r="AR150"/>
  <c r="AR167"/>
  <c r="AR137"/>
  <c r="AR157"/>
  <c r="AR149"/>
  <c r="AR82"/>
  <c r="AR57"/>
  <c r="AR101"/>
  <c r="AR119"/>
  <c r="AR156"/>
  <c r="AR79"/>
  <c r="AR38"/>
  <c r="AR35"/>
  <c r="AR60"/>
  <c r="AG149"/>
  <c r="AG167"/>
  <c r="AG157"/>
  <c r="AG156"/>
  <c r="AG119"/>
  <c r="AG137"/>
  <c r="AG101"/>
  <c r="AG150"/>
  <c r="AG79"/>
  <c r="AG82"/>
  <c r="AG38"/>
  <c r="AG57"/>
  <c r="AG35"/>
  <c r="AG60"/>
  <c r="BF156"/>
  <c r="BF149"/>
  <c r="BF167"/>
  <c r="BF157"/>
  <c r="BF150"/>
  <c r="BF119"/>
  <c r="BF82"/>
  <c r="BF101"/>
  <c r="BF137"/>
  <c r="BF57"/>
  <c r="BF79"/>
  <c r="BF38"/>
  <c r="BF60"/>
  <c r="BF35"/>
  <c r="AP156"/>
  <c r="AP149"/>
  <c r="AP150"/>
  <c r="AP157"/>
  <c r="AP119"/>
  <c r="AP82"/>
  <c r="AP101"/>
  <c r="AP57"/>
  <c r="AP137"/>
  <c r="AP38"/>
  <c r="AP167"/>
  <c r="AP79"/>
  <c r="AP60"/>
  <c r="AP35"/>
  <c r="AJ150"/>
  <c r="AJ137"/>
  <c r="AJ167"/>
  <c r="AJ149"/>
  <c r="AJ156"/>
  <c r="AJ82"/>
  <c r="AJ79"/>
  <c r="AJ57"/>
  <c r="AJ157"/>
  <c r="AJ38"/>
  <c r="AJ60"/>
  <c r="AJ35"/>
  <c r="AJ101"/>
  <c r="AJ119"/>
  <c r="Y149"/>
  <c r="Y156"/>
  <c r="Y150"/>
  <c r="Y137"/>
  <c r="Y119"/>
  <c r="Y157"/>
  <c r="Y101"/>
  <c r="Y79"/>
  <c r="Y167"/>
  <c r="Y38"/>
  <c r="Y60"/>
  <c r="Y57"/>
  <c r="Y82"/>
  <c r="Y35"/>
  <c r="AK167"/>
  <c r="AK157"/>
  <c r="AK150"/>
  <c r="AK137"/>
  <c r="AK149"/>
  <c r="AK156"/>
  <c r="AK101"/>
  <c r="AK60"/>
  <c r="AK79"/>
  <c r="AK82"/>
  <c r="AK119"/>
  <c r="AK35"/>
  <c r="AK38"/>
  <c r="AK57"/>
  <c r="U167"/>
  <c r="U157"/>
  <c r="U137"/>
  <c r="U150"/>
  <c r="U149"/>
  <c r="U156"/>
  <c r="U82"/>
  <c r="U60"/>
  <c r="U101"/>
  <c r="U35"/>
  <c r="U119"/>
  <c r="U38"/>
  <c r="U57"/>
  <c r="U79"/>
  <c r="AC167"/>
  <c r="AC157"/>
  <c r="AC149"/>
  <c r="AC137"/>
  <c r="AC156"/>
  <c r="AC150"/>
  <c r="AC119"/>
  <c r="AC60"/>
  <c r="AC57"/>
  <c r="AC101"/>
  <c r="AC79"/>
  <c r="AC82"/>
  <c r="AC35"/>
  <c r="AC38"/>
  <c r="BD156"/>
  <c r="BD167"/>
  <c r="BD157"/>
  <c r="BD149"/>
  <c r="BD119"/>
  <c r="BD137"/>
  <c r="BD79"/>
  <c r="BD150"/>
  <c r="BD60"/>
  <c r="BD57"/>
  <c r="BD35"/>
  <c r="BD101"/>
  <c r="BD38"/>
  <c r="BD82"/>
  <c r="P156"/>
  <c r="P167"/>
  <c r="P157"/>
  <c r="P149"/>
  <c r="P119"/>
  <c r="P137"/>
  <c r="P79"/>
  <c r="P150"/>
  <c r="P60"/>
  <c r="P57"/>
  <c r="P35"/>
  <c r="P101"/>
  <c r="P38"/>
  <c r="P82"/>
  <c r="AV156"/>
  <c r="AV167"/>
  <c r="AV157"/>
  <c r="AV119"/>
  <c r="AV79"/>
  <c r="AV101"/>
  <c r="AV82"/>
  <c r="AV150"/>
  <c r="AV137"/>
  <c r="AV35"/>
  <c r="AV149"/>
  <c r="AV60"/>
  <c r="AV57"/>
  <c r="AV38"/>
  <c r="O149"/>
  <c r="O167"/>
  <c r="O157"/>
  <c r="O150"/>
  <c r="O156"/>
  <c r="O137"/>
  <c r="O79"/>
  <c r="O119"/>
  <c r="O60"/>
  <c r="O57"/>
  <c r="O35"/>
  <c r="O82"/>
  <c r="O101"/>
  <c r="O38"/>
  <c r="M167"/>
  <c r="M157"/>
  <c r="M156"/>
  <c r="M137"/>
  <c r="M150"/>
  <c r="M149"/>
  <c r="M119"/>
  <c r="M60"/>
  <c r="M101"/>
  <c r="M79"/>
  <c r="M82"/>
  <c r="M57"/>
  <c r="M35"/>
  <c r="M38"/>
  <c r="L150"/>
  <c r="L137"/>
  <c r="L156"/>
  <c r="L82"/>
  <c r="L101"/>
  <c r="L157"/>
  <c r="L149"/>
  <c r="L79"/>
  <c r="L119"/>
  <c r="L57"/>
  <c r="L60"/>
  <c r="L35"/>
  <c r="L38"/>
  <c r="L167"/>
  <c r="BJ150"/>
  <c r="BJ137"/>
  <c r="BJ157"/>
  <c r="BJ167"/>
  <c r="BJ149"/>
  <c r="BJ101"/>
  <c r="BJ79"/>
  <c r="BJ60"/>
  <c r="BJ82"/>
  <c r="BJ35"/>
  <c r="BJ119"/>
  <c r="BJ57"/>
  <c r="BJ38"/>
  <c r="BJ156"/>
  <c r="AD150"/>
  <c r="AD157"/>
  <c r="AD149"/>
  <c r="AD137"/>
  <c r="AD119"/>
  <c r="AD60"/>
  <c r="AD156"/>
  <c r="AD82"/>
  <c r="AD35"/>
  <c r="AD167"/>
  <c r="AD57"/>
  <c r="AD101"/>
  <c r="AD79"/>
  <c r="AD38"/>
  <c r="AI156"/>
  <c r="AI150"/>
  <c r="AI167"/>
  <c r="AI137"/>
  <c r="AI82"/>
  <c r="AI101"/>
  <c r="AI57"/>
  <c r="AI119"/>
  <c r="AI79"/>
  <c r="AI149"/>
  <c r="AI38"/>
  <c r="AI157"/>
  <c r="AI35"/>
  <c r="AI60"/>
  <c r="AY156"/>
  <c r="AY150"/>
  <c r="AY137"/>
  <c r="AY157"/>
  <c r="AY149"/>
  <c r="AY82"/>
  <c r="AY101"/>
  <c r="AY119"/>
  <c r="AY79"/>
  <c r="AY57"/>
  <c r="AY167"/>
  <c r="AY60"/>
  <c r="AY38"/>
  <c r="AY35"/>
  <c r="AL150"/>
  <c r="AL156"/>
  <c r="AL137"/>
  <c r="AL157"/>
  <c r="AL167"/>
  <c r="AL149"/>
  <c r="AL119"/>
  <c r="AL101"/>
  <c r="AL60"/>
  <c r="AL79"/>
  <c r="AL35"/>
  <c r="AL82"/>
  <c r="AL38"/>
  <c r="AL57"/>
  <c r="BH150"/>
  <c r="BH137"/>
  <c r="BH167"/>
  <c r="BH157"/>
  <c r="BH149"/>
  <c r="BH156"/>
  <c r="BH82"/>
  <c r="BH57"/>
  <c r="BH35"/>
  <c r="BH119"/>
  <c r="BH38"/>
  <c r="BH79"/>
  <c r="BH60"/>
  <c r="BH101"/>
  <c r="BB150"/>
  <c r="BB149"/>
  <c r="BB156"/>
  <c r="BB137"/>
  <c r="BB167"/>
  <c r="BB157"/>
  <c r="BB119"/>
  <c r="BB60"/>
  <c r="BB79"/>
  <c r="BB57"/>
  <c r="BB35"/>
  <c r="BB82"/>
  <c r="BB38"/>
  <c r="BB101"/>
  <c r="BC149"/>
  <c r="BC167"/>
  <c r="BC157"/>
  <c r="BC150"/>
  <c r="BC156"/>
  <c r="BC79"/>
  <c r="BC119"/>
  <c r="BC60"/>
  <c r="BC57"/>
  <c r="BC35"/>
  <c r="BC82"/>
  <c r="BC101"/>
  <c r="BC137"/>
  <c r="BC38"/>
  <c r="BK149"/>
  <c r="BK167"/>
  <c r="BK157"/>
  <c r="BK150"/>
  <c r="BK156"/>
  <c r="BK137"/>
  <c r="BK119"/>
  <c r="BK79"/>
  <c r="BK101"/>
  <c r="BK60"/>
  <c r="BK35"/>
  <c r="BK82"/>
  <c r="BK57"/>
  <c r="BK38"/>
  <c r="T150"/>
  <c r="T137"/>
  <c r="T167"/>
  <c r="T157"/>
  <c r="T149"/>
  <c r="T156"/>
  <c r="T82"/>
  <c r="T57"/>
  <c r="T101"/>
  <c r="T38"/>
  <c r="T119"/>
  <c r="T35"/>
  <c r="T79"/>
  <c r="T60"/>
  <c r="BM149"/>
  <c r="BM156"/>
  <c r="BM150"/>
  <c r="BM119"/>
  <c r="BM157"/>
  <c r="BM137"/>
  <c r="BM101"/>
  <c r="BM167"/>
  <c r="BM79"/>
  <c r="BM60"/>
  <c r="BM57"/>
  <c r="BM38"/>
  <c r="BM35"/>
  <c r="BM82"/>
  <c r="AT150"/>
  <c r="AT167"/>
  <c r="AT157"/>
  <c r="AT137"/>
  <c r="AT156"/>
  <c r="AT82"/>
  <c r="AT60"/>
  <c r="AT35"/>
  <c r="AT101"/>
  <c r="AT119"/>
  <c r="AT149"/>
  <c r="AT57"/>
  <c r="AT38"/>
  <c r="AT79"/>
  <c r="AE149"/>
  <c r="AE167"/>
  <c r="AE157"/>
  <c r="AE150"/>
  <c r="AE79"/>
  <c r="AE119"/>
  <c r="AE60"/>
  <c r="AE137"/>
  <c r="AE156"/>
  <c r="AE82"/>
  <c r="AE35"/>
  <c r="AE57"/>
  <c r="AE38"/>
  <c r="AE101"/>
  <c r="R156"/>
  <c r="R149"/>
  <c r="R157"/>
  <c r="R150"/>
  <c r="R167"/>
  <c r="R119"/>
  <c r="R82"/>
  <c r="R101"/>
  <c r="R137"/>
  <c r="R57"/>
  <c r="R79"/>
  <c r="R38"/>
  <c r="R35"/>
  <c r="R60"/>
  <c r="K156"/>
  <c r="K150"/>
  <c r="K137"/>
  <c r="K82"/>
  <c r="K101"/>
  <c r="K157"/>
  <c r="K149"/>
  <c r="K79"/>
  <c r="K119"/>
  <c r="K57"/>
  <c r="K38"/>
  <c r="K60"/>
  <c r="K167"/>
  <c r="K35"/>
  <c r="K35" i="2" l="1"/>
  <c r="K60"/>
  <c r="K38"/>
  <c r="K57"/>
  <c r="K79"/>
  <c r="K82"/>
  <c r="R60"/>
  <c r="R35"/>
  <c r="R38"/>
  <c r="R79"/>
  <c r="R57"/>
  <c r="R82"/>
  <c r="AE38"/>
  <c r="AE57"/>
  <c r="AE35"/>
  <c r="AE82"/>
  <c r="AE60"/>
  <c r="AE79"/>
  <c r="AT79"/>
  <c r="AT38"/>
  <c r="AT57"/>
  <c r="AT35"/>
  <c r="AT60"/>
  <c r="AT82"/>
  <c r="BM82"/>
  <c r="BM35"/>
  <c r="BM38"/>
  <c r="BM57"/>
  <c r="BM60"/>
  <c r="BM79"/>
  <c r="T60"/>
  <c r="T79"/>
  <c r="T35"/>
  <c r="T38"/>
  <c r="T57"/>
  <c r="T82"/>
  <c r="BK38"/>
  <c r="BK57"/>
  <c r="BK82"/>
  <c r="BK35"/>
  <c r="BK60"/>
  <c r="BK79"/>
  <c r="BC38"/>
  <c r="BC82"/>
  <c r="BC35"/>
  <c r="BC57"/>
  <c r="BC60"/>
  <c r="BC79"/>
  <c r="BB38"/>
  <c r="BB82"/>
  <c r="BB35"/>
  <c r="BB57"/>
  <c r="BB79"/>
  <c r="BB60"/>
  <c r="BH60"/>
  <c r="BH79"/>
  <c r="BH38"/>
  <c r="BH35"/>
  <c r="BH57"/>
  <c r="BH82"/>
  <c r="AL57"/>
  <c r="AL38"/>
  <c r="AL82"/>
  <c r="AL35"/>
  <c r="AL79"/>
  <c r="AL60"/>
  <c r="AY35"/>
  <c r="AY38"/>
  <c r="AY60"/>
  <c r="AY57"/>
  <c r="AY79"/>
  <c r="AY82"/>
  <c r="AI60"/>
  <c r="AI35"/>
  <c r="AI38"/>
  <c r="AI79"/>
  <c r="AI57"/>
  <c r="AI82"/>
  <c r="AD38"/>
  <c r="AD79"/>
  <c r="AD57"/>
  <c r="AD35"/>
  <c r="AD82"/>
  <c r="AD60"/>
  <c r="BJ38"/>
  <c r="BJ57"/>
  <c r="BJ35"/>
  <c r="BJ82"/>
  <c r="BJ60"/>
  <c r="BJ79"/>
  <c r="L38"/>
  <c r="L35"/>
  <c r="L60"/>
  <c r="L57"/>
  <c r="L79"/>
  <c r="L82"/>
  <c r="M38"/>
  <c r="M35"/>
  <c r="M57"/>
  <c r="M82"/>
  <c r="M79"/>
  <c r="M60"/>
  <c r="O38"/>
  <c r="O82"/>
  <c r="O35"/>
  <c r="O57"/>
  <c r="O60"/>
  <c r="O79"/>
  <c r="AV38"/>
  <c r="AV57"/>
  <c r="AV60"/>
  <c r="AV35"/>
  <c r="AV82"/>
  <c r="AV79"/>
  <c r="P82"/>
  <c r="P38"/>
  <c r="P35"/>
  <c r="P57"/>
  <c r="P60"/>
  <c r="P79"/>
  <c r="BD82"/>
  <c r="BD38"/>
  <c r="BD35"/>
  <c r="BD57"/>
  <c r="BD60"/>
  <c r="BD79"/>
  <c r="AC38"/>
  <c r="AC35"/>
  <c r="AC82"/>
  <c r="AC79"/>
  <c r="AC57"/>
  <c r="AC60"/>
  <c r="U79"/>
  <c r="U57"/>
  <c r="U38"/>
  <c r="U35"/>
  <c r="U60"/>
  <c r="U82"/>
  <c r="AK57"/>
  <c r="AK38"/>
  <c r="AK35"/>
  <c r="AK82"/>
  <c r="AK79"/>
  <c r="AK60"/>
  <c r="Y35"/>
  <c r="Y82"/>
  <c r="Y57"/>
  <c r="Y60"/>
  <c r="Y38"/>
  <c r="Y79"/>
  <c r="AJ35"/>
  <c r="AJ60"/>
  <c r="AJ38"/>
  <c r="AJ57"/>
  <c r="AJ79"/>
  <c r="AJ82"/>
  <c r="AP35"/>
  <c r="AP60"/>
  <c r="AP79"/>
  <c r="AP38"/>
  <c r="AP57"/>
  <c r="AP82"/>
  <c r="BF35"/>
  <c r="BF60"/>
  <c r="BF38"/>
  <c r="BF79"/>
  <c r="BF57"/>
  <c r="BF82"/>
  <c r="AG60"/>
  <c r="AG35"/>
  <c r="AG57"/>
  <c r="AG38"/>
  <c r="AG82"/>
  <c r="AG79"/>
  <c r="AR60"/>
  <c r="AR35"/>
  <c r="AR38"/>
  <c r="AR79"/>
  <c r="AR57"/>
  <c r="AR82"/>
  <c r="AB35"/>
  <c r="AB79"/>
  <c r="AB38"/>
  <c r="AB60"/>
  <c r="AB57"/>
  <c r="AB82"/>
  <c r="BL60"/>
  <c r="BL38"/>
  <c r="BL82"/>
  <c r="BL57"/>
  <c r="BL35"/>
  <c r="BL79"/>
  <c r="S60"/>
  <c r="S35"/>
  <c r="S38"/>
  <c r="S79"/>
  <c r="S57"/>
  <c r="S82"/>
  <c r="AM57"/>
  <c r="AM82"/>
  <c r="AM38"/>
  <c r="AM35"/>
  <c r="AM60"/>
  <c r="AM79"/>
  <c r="W38"/>
  <c r="W57"/>
  <c r="W35"/>
  <c r="W60"/>
  <c r="W82"/>
  <c r="W79"/>
  <c r="BA79"/>
  <c r="BA38"/>
  <c r="BA35"/>
  <c r="BA57"/>
  <c r="BA82"/>
  <c r="BA60"/>
  <c r="BI35"/>
  <c r="BI57"/>
  <c r="BI38"/>
  <c r="BI82"/>
  <c r="BI60"/>
  <c r="BI79"/>
  <c r="AN38"/>
  <c r="AN82"/>
  <c r="AN35"/>
  <c r="AN57"/>
  <c r="AN60"/>
  <c r="AN79"/>
  <c r="AZ38"/>
  <c r="AZ35"/>
  <c r="AZ60"/>
  <c r="AZ57"/>
  <c r="AZ79"/>
  <c r="AZ82"/>
  <c r="AA35"/>
  <c r="AA38"/>
  <c r="AA60"/>
  <c r="AA79"/>
  <c r="AA57"/>
  <c r="AA82"/>
  <c r="Q35"/>
  <c r="Q82"/>
  <c r="Q57"/>
  <c r="Q60"/>
  <c r="Q38"/>
  <c r="Q79"/>
  <c r="X82"/>
  <c r="X60"/>
  <c r="X38"/>
  <c r="X57"/>
  <c r="X35"/>
  <c r="X79"/>
  <c r="AU38"/>
  <c r="AU57"/>
  <c r="AU35"/>
  <c r="AU60"/>
  <c r="AU82"/>
  <c r="AU79"/>
  <c r="J79"/>
  <c r="J60"/>
  <c r="J35"/>
  <c r="J38"/>
  <c r="J57"/>
  <c r="J82"/>
  <c r="I57"/>
  <c r="I35"/>
  <c r="I60"/>
  <c r="I38"/>
  <c r="I82"/>
  <c r="I79"/>
  <c r="AS82"/>
  <c r="AS35"/>
  <c r="AS79"/>
  <c r="AS38"/>
  <c r="AS57"/>
  <c r="AS60"/>
  <c r="Z35"/>
  <c r="Z38"/>
  <c r="Z60"/>
  <c r="Z79"/>
  <c r="Z57"/>
  <c r="Z82"/>
  <c r="AW57"/>
  <c r="AW82"/>
  <c r="AW35"/>
  <c r="AW60"/>
  <c r="AW38"/>
  <c r="AW79"/>
  <c r="N38"/>
  <c r="N57"/>
  <c r="N82"/>
  <c r="N35"/>
  <c r="N79"/>
  <c r="N60"/>
  <c r="AH35"/>
  <c r="AH60"/>
  <c r="AH38"/>
  <c r="AH79"/>
  <c r="AH57"/>
  <c r="AH82"/>
  <c r="BG35"/>
  <c r="BG60"/>
  <c r="BG38"/>
  <c r="BG79"/>
  <c r="BG57"/>
  <c r="BG82"/>
  <c r="AF38"/>
  <c r="AF57"/>
  <c r="AF60"/>
  <c r="AF35"/>
  <c r="AF82"/>
  <c r="AF79"/>
  <c r="BE57"/>
  <c r="BE35"/>
  <c r="BE60"/>
  <c r="BE38"/>
  <c r="BE82"/>
  <c r="BE79"/>
  <c r="AQ35"/>
  <c r="AQ60"/>
  <c r="AQ79"/>
  <c r="AQ38"/>
  <c r="AQ57"/>
  <c r="AQ82"/>
  <c r="AO35"/>
  <c r="AO82"/>
  <c r="AO57"/>
  <c r="AO60"/>
  <c r="AO38"/>
  <c r="AO79"/>
  <c r="AX60"/>
  <c r="AX35"/>
  <c r="AX38"/>
  <c r="AX57"/>
  <c r="AX79"/>
  <c r="AX82"/>
  <c r="R98"/>
  <c r="M97"/>
  <c r="H96"/>
  <c r="BJ94"/>
  <c r="BM93"/>
  <c r="BH92"/>
  <c r="BC91"/>
  <c r="AX90"/>
  <c r="AS89"/>
  <c r="AN88"/>
  <c r="AI87"/>
  <c r="AD86"/>
  <c r="AG85"/>
  <c r="AB84"/>
  <c r="W83"/>
  <c r="U81"/>
  <c r="J80"/>
  <c r="BK77"/>
  <c r="Z98"/>
  <c r="U97"/>
  <c r="P96"/>
  <c r="K95"/>
  <c r="F94"/>
  <c r="I93"/>
  <c r="BK91"/>
  <c r="BF90"/>
  <c r="BA89"/>
  <c r="AV88"/>
  <c r="AQ87"/>
  <c r="AL86"/>
  <c r="AO85"/>
  <c r="AJ84"/>
  <c r="AE83"/>
  <c r="AC81"/>
  <c r="R80"/>
  <c r="J78"/>
  <c r="BF98"/>
  <c r="BA97"/>
  <c r="AV96"/>
  <c r="AQ95"/>
  <c r="AL94"/>
  <c r="AO93"/>
  <c r="AJ92"/>
  <c r="AE91"/>
  <c r="Z90"/>
  <c r="U89"/>
  <c r="P88"/>
  <c r="K87"/>
  <c r="F86"/>
  <c r="I85"/>
  <c r="BK83"/>
  <c r="BI81"/>
  <c r="AX80"/>
  <c r="AP78"/>
  <c r="AC97"/>
  <c r="AI95"/>
  <c r="BE93"/>
  <c r="T92"/>
  <c r="AH90"/>
  <c r="BD88"/>
  <c r="BJ86"/>
  <c r="Y85"/>
  <c r="AU83"/>
  <c r="BF80"/>
  <c r="R78"/>
  <c r="BH76"/>
  <c r="BE75"/>
  <c r="BB74"/>
  <c r="AQ73"/>
  <c r="AN72"/>
  <c r="AK71"/>
  <c r="Z70"/>
  <c r="W69"/>
  <c r="T68"/>
  <c r="Q67"/>
  <c r="N66"/>
  <c r="BL64"/>
  <c r="AA98"/>
  <c r="V97"/>
  <c r="Y96"/>
  <c r="T95"/>
  <c r="O94"/>
  <c r="J93"/>
  <c r="BL91"/>
  <c r="BG90"/>
  <c r="BB89"/>
  <c r="BE88"/>
  <c r="AZ87"/>
  <c r="AU86"/>
  <c r="AP85"/>
  <c r="AK84"/>
  <c r="AF83"/>
  <c r="AD81"/>
  <c r="S80"/>
  <c r="K78"/>
  <c r="BK97"/>
  <c r="BF96"/>
  <c r="BA95"/>
  <c r="AV94"/>
  <c r="AQ93"/>
  <c r="AK97"/>
  <c r="AY95"/>
  <c r="N94"/>
  <c r="AB92"/>
  <c r="AP90"/>
  <c r="BL88"/>
  <c r="S87"/>
  <c r="AW85"/>
  <c r="BC83"/>
  <c r="M81"/>
  <c r="Z78"/>
  <c r="G77"/>
  <c r="BM75"/>
  <c r="BJ74"/>
  <c r="AY73"/>
  <c r="AV72"/>
  <c r="AS71"/>
  <c r="AH70"/>
  <c r="AE69"/>
  <c r="AB68"/>
  <c r="Y67"/>
  <c r="V66"/>
  <c r="K65"/>
  <c r="AI98"/>
  <c r="AD97"/>
  <c r="AG96"/>
  <c r="AB95"/>
  <c r="W94"/>
  <c r="R93"/>
  <c r="M92"/>
  <c r="H91"/>
  <c r="BJ89"/>
  <c r="BM88"/>
  <c r="BH87"/>
  <c r="BC86"/>
  <c r="AX85"/>
  <c r="AS84"/>
  <c r="AN83"/>
  <c r="AL81"/>
  <c r="AA80"/>
  <c r="S78"/>
  <c r="L98"/>
  <c r="G97"/>
  <c r="BI95"/>
  <c r="BD94"/>
  <c r="AY93"/>
  <c r="BI97"/>
  <c r="X96"/>
  <c r="AD94"/>
  <c r="AZ92"/>
  <c r="O91"/>
  <c r="AC89"/>
  <c r="AY87"/>
  <c r="BM85"/>
  <c r="T84"/>
  <c r="AS81"/>
  <c r="AX78"/>
  <c r="W77"/>
  <c r="T76"/>
  <c r="Q75"/>
  <c r="N74"/>
  <c r="BL72"/>
  <c r="BI71"/>
  <c r="AX70"/>
  <c r="AU69"/>
  <c r="AR68"/>
  <c r="AO67"/>
  <c r="AL66"/>
  <c r="AA65"/>
  <c r="AY98"/>
  <c r="AT97"/>
  <c r="AW96"/>
  <c r="AR95"/>
  <c r="AM94"/>
  <c r="AH93"/>
  <c r="AC92"/>
  <c r="X91"/>
  <c r="S90"/>
  <c r="N89"/>
  <c r="Q88"/>
  <c r="L87"/>
  <c r="G86"/>
  <c r="BI84"/>
  <c r="BD83"/>
  <c r="BB81"/>
  <c r="AQ80"/>
  <c r="AI78"/>
  <c r="AB98"/>
  <c r="W97"/>
  <c r="R96"/>
  <c r="M95"/>
  <c r="H94"/>
  <c r="BD96"/>
  <c r="V94"/>
  <c r="AM91"/>
  <c r="AF88"/>
  <c r="N86"/>
  <c r="O83"/>
  <c r="AH78"/>
  <c r="AJ76"/>
  <c r="AT74"/>
  <c r="K73"/>
  <c r="U71"/>
  <c r="AM69"/>
  <c r="BE67"/>
  <c r="BG65"/>
  <c r="S98"/>
  <c r="BE96"/>
  <c r="BK94"/>
  <c r="Z93"/>
  <c r="AN91"/>
  <c r="AT89"/>
  <c r="Y88"/>
  <c r="AE86"/>
  <c r="BA84"/>
  <c r="H83"/>
  <c r="K80"/>
  <c r="BH98"/>
  <c r="AE97"/>
  <c r="AK95"/>
  <c r="BG93"/>
  <c r="AL92"/>
  <c r="AO91"/>
  <c r="AJ90"/>
  <c r="AE89"/>
  <c r="Z88"/>
  <c r="U87"/>
  <c r="P86"/>
  <c r="K85"/>
  <c r="F84"/>
  <c r="I83"/>
  <c r="G81"/>
  <c r="BH78"/>
  <c r="BE77"/>
  <c r="BB76"/>
  <c r="AQ75"/>
  <c r="AN74"/>
  <c r="AT98"/>
  <c r="BH96"/>
  <c r="P95"/>
  <c r="AD93"/>
  <c r="AR91"/>
  <c r="BG89"/>
  <c r="N88"/>
  <c r="AC86"/>
  <c r="AQ84"/>
  <c r="L83"/>
  <c r="Y80"/>
  <c r="AI77"/>
  <c r="J76"/>
  <c r="AU74"/>
  <c r="AC73"/>
  <c r="Q72"/>
  <c r="BE70"/>
  <c r="AS69"/>
  <c r="AG68"/>
  <c r="L67"/>
  <c r="BI65"/>
  <c r="AO64"/>
  <c r="AL63"/>
  <c r="AA62"/>
  <c r="X61"/>
  <c r="X59"/>
  <c r="U58"/>
  <c r="M56"/>
  <c r="BK54"/>
  <c r="BH53"/>
  <c r="BE52"/>
  <c r="BB51"/>
  <c r="AQ50"/>
  <c r="AN49"/>
  <c r="AK48"/>
  <c r="Z47"/>
  <c r="W46"/>
  <c r="T45"/>
  <c r="Q44"/>
  <c r="N43"/>
  <c r="BL41"/>
  <c r="BI40"/>
  <c r="BL96"/>
  <c r="AT94"/>
  <c r="AU91"/>
  <c r="M89"/>
  <c r="V86"/>
  <c r="AM83"/>
  <c r="BF78"/>
  <c r="AR76"/>
  <c r="I75"/>
  <c r="S73"/>
  <c r="AC71"/>
  <c r="BC69"/>
  <c r="BM67"/>
  <c r="AD66"/>
  <c r="AQ98"/>
  <c r="BM96"/>
  <c r="L95"/>
  <c r="AP93"/>
  <c r="AV91"/>
  <c r="K90"/>
  <c r="AG88"/>
  <c r="AM86"/>
  <c r="J85"/>
  <c r="P83"/>
  <c r="AI80"/>
  <c r="AM97"/>
  <c r="AS95"/>
  <c r="P94"/>
  <c r="AT92"/>
  <c r="AW91"/>
  <c r="AR90"/>
  <c r="AM89"/>
  <c r="AH88"/>
  <c r="AC87"/>
  <c r="X86"/>
  <c r="S85"/>
  <c r="N84"/>
  <c r="Q83"/>
  <c r="O81"/>
  <c r="L80"/>
  <c r="BM77"/>
  <c r="BJ76"/>
  <c r="AY75"/>
  <c r="AV74"/>
  <c r="BE98"/>
  <c r="P97"/>
  <c r="AD95"/>
  <c r="AR93"/>
  <c r="BF91"/>
  <c r="N90"/>
  <c r="AB88"/>
  <c r="AQ86"/>
  <c r="BE84"/>
  <c r="Z83"/>
  <c r="AM80"/>
  <c r="AS77"/>
  <c r="U76"/>
  <c r="BF74"/>
  <c r="AL73"/>
  <c r="Z72"/>
  <c r="N71"/>
  <c r="BB69"/>
  <c r="AP68"/>
  <c r="U67"/>
  <c r="I66"/>
  <c r="AW64"/>
  <c r="AT63"/>
  <c r="AI62"/>
  <c r="AF61"/>
  <c r="AF59"/>
  <c r="AC58"/>
  <c r="U56"/>
  <c r="J55"/>
  <c r="G54"/>
  <c r="BM52"/>
  <c r="BJ51"/>
  <c r="AY50"/>
  <c r="AV49"/>
  <c r="AS48"/>
  <c r="AH47"/>
  <c r="AE46"/>
  <c r="AB45"/>
  <c r="Y44"/>
  <c r="V43"/>
  <c r="K42"/>
  <c r="H41"/>
  <c r="AP98"/>
  <c r="BG95"/>
  <c r="Y93"/>
  <c r="R90"/>
  <c r="BG87"/>
  <c r="BH84"/>
  <c r="AK81"/>
  <c r="AM77"/>
  <c r="AW75"/>
  <c r="V74"/>
  <c r="X72"/>
  <c r="AP70"/>
  <c r="BH68"/>
  <c r="I67"/>
  <c r="AI65"/>
  <c r="BB97"/>
  <c r="I96"/>
  <c r="AE94"/>
  <c r="AS92"/>
  <c r="AY90"/>
  <c r="V89"/>
  <c r="AJ87"/>
  <c r="BF85"/>
  <c r="M84"/>
  <c r="V81"/>
  <c r="AQ78"/>
  <c r="AJ98"/>
  <c r="AP96"/>
  <c r="BL94"/>
  <c r="S93"/>
  <c r="N92"/>
  <c r="Q91"/>
  <c r="L90"/>
  <c r="G89"/>
  <c r="BI87"/>
  <c r="BD86"/>
  <c r="AY85"/>
  <c r="AT84"/>
  <c r="AW83"/>
  <c r="AU81"/>
  <c r="AR80"/>
  <c r="AJ78"/>
  <c r="AG77"/>
  <c r="AD76"/>
  <c r="S75"/>
  <c r="P74"/>
  <c r="G98"/>
  <c r="U96"/>
  <c r="AJ94"/>
  <c r="AX92"/>
  <c r="BL90"/>
  <c r="T89"/>
  <c r="AH87"/>
  <c r="AV85"/>
  <c r="G84"/>
  <c r="AA81"/>
  <c r="AS78"/>
  <c r="BL76"/>
  <c r="AM75"/>
  <c r="O74"/>
  <c r="BJ72"/>
  <c r="AX71"/>
  <c r="AD70"/>
  <c r="R69"/>
  <c r="BF67"/>
  <c r="AS66"/>
  <c r="AG65"/>
  <c r="Q64"/>
  <c r="N63"/>
  <c r="BL61"/>
  <c r="BL59"/>
  <c r="BI58"/>
  <c r="BA56"/>
  <c r="AP55"/>
  <c r="AM54"/>
  <c r="AJ53"/>
  <c r="AG52"/>
  <c r="AD51"/>
  <c r="S50"/>
  <c r="P49"/>
  <c r="M48"/>
  <c r="BK46"/>
  <c r="BH45"/>
  <c r="BE44"/>
  <c r="BB43"/>
  <c r="AQ42"/>
  <c r="AN41"/>
  <c r="AK40"/>
  <c r="AN96"/>
  <c r="AW93"/>
  <c r="W91"/>
  <c r="X88"/>
  <c r="BE85"/>
  <c r="G83"/>
  <c r="BC77"/>
  <c r="AB76"/>
  <c r="AL74"/>
  <c r="BD72"/>
  <c r="M71"/>
  <c r="O69"/>
  <c r="AW67"/>
  <c r="AY65"/>
  <c r="K98"/>
  <c r="AO96"/>
  <c r="BC94"/>
  <c r="BI92"/>
  <c r="AF91"/>
  <c r="AL89"/>
  <c r="I88"/>
  <c r="W86"/>
  <c r="AC84"/>
  <c r="BJ81"/>
  <c r="BG78"/>
  <c r="AZ98"/>
  <c r="O97"/>
  <c r="AC95"/>
  <c r="AI93"/>
  <c r="AD92"/>
  <c r="AG91"/>
  <c r="AB90"/>
  <c r="W89"/>
  <c r="R88"/>
  <c r="M87"/>
  <c r="H86"/>
  <c r="BJ84"/>
  <c r="BM83"/>
  <c r="BK81"/>
  <c r="BH80"/>
  <c r="AZ78"/>
  <c r="AW77"/>
  <c r="AT76"/>
  <c r="AI75"/>
  <c r="AF74"/>
  <c r="AF98"/>
  <c r="AT96"/>
  <c r="BI94"/>
  <c r="P93"/>
  <c r="AD91"/>
  <c r="AV89"/>
  <c r="BJ87"/>
  <c r="R86"/>
  <c r="AF84"/>
  <c r="AZ81"/>
  <c r="N80"/>
  <c r="X77"/>
  <c r="BI75"/>
  <c r="AJ74"/>
  <c r="T73"/>
  <c r="G72"/>
  <c r="AV70"/>
  <c r="AJ69"/>
  <c r="X68"/>
  <c r="BL66"/>
  <c r="AZ65"/>
  <c r="AG64"/>
  <c r="AD63"/>
  <c r="S62"/>
  <c r="P61"/>
  <c r="P59"/>
  <c r="M58"/>
  <c r="BF55"/>
  <c r="BC54"/>
  <c r="AZ53"/>
  <c r="AW52"/>
  <c r="AT51"/>
  <c r="AI50"/>
  <c r="AF49"/>
  <c r="AC48"/>
  <c r="R47"/>
  <c r="O46"/>
  <c r="L45"/>
  <c r="I44"/>
  <c r="BG42"/>
  <c r="BD41"/>
  <c r="BA40"/>
  <c r="AS97"/>
  <c r="L92"/>
  <c r="AT86"/>
  <c r="Z80"/>
  <c r="Y75"/>
  <c r="BA71"/>
  <c r="L68"/>
  <c r="F97"/>
  <c r="AX93"/>
  <c r="AA90"/>
  <c r="BK86"/>
  <c r="X83"/>
  <c r="AU97"/>
  <c r="X94"/>
  <c r="BE91"/>
  <c r="AU89"/>
  <c r="AK87"/>
  <c r="AA85"/>
  <c r="Y83"/>
  <c r="T80"/>
  <c r="I77"/>
  <c r="BD74"/>
  <c r="AO95"/>
  <c r="K92"/>
  <c r="AM88"/>
  <c r="L85"/>
  <c r="BA80"/>
  <c r="AF76"/>
  <c r="AU73"/>
  <c r="W71"/>
  <c r="AY68"/>
  <c r="R66"/>
  <c r="BB63"/>
  <c r="AN61"/>
  <c r="AK58"/>
  <c r="R55"/>
  <c r="L53"/>
  <c r="BG50"/>
  <c r="BA48"/>
  <c r="AM46"/>
  <c r="AG44"/>
  <c r="S42"/>
  <c r="H98"/>
  <c r="V96"/>
  <c r="AY94"/>
  <c r="F93"/>
  <c r="AH91"/>
  <c r="BH89"/>
  <c r="O88"/>
  <c r="AG86"/>
  <c r="AU84"/>
  <c r="BD81"/>
  <c r="O80"/>
  <c r="AJ77"/>
  <c r="K76"/>
  <c r="AW74"/>
  <c r="U73"/>
  <c r="I72"/>
  <c r="AW70"/>
  <c r="AK69"/>
  <c r="Y68"/>
  <c r="M67"/>
  <c r="BJ65"/>
  <c r="AX64"/>
  <c r="AU63"/>
  <c r="AR62"/>
  <c r="AO61"/>
  <c r="AO59"/>
  <c r="AL58"/>
  <c r="AD56"/>
  <c r="S55"/>
  <c r="P54"/>
  <c r="M53"/>
  <c r="BK51"/>
  <c r="BH50"/>
  <c r="BE49"/>
  <c r="BB48"/>
  <c r="AQ47"/>
  <c r="AN46"/>
  <c r="AK45"/>
  <c r="Z44"/>
  <c r="W43"/>
  <c r="T42"/>
  <c r="Q41"/>
  <c r="AQ97"/>
  <c r="BE95"/>
  <c r="M94"/>
  <c r="AA92"/>
  <c r="AO90"/>
  <c r="BC88"/>
  <c r="N87"/>
  <c r="AM85"/>
  <c r="BA83"/>
  <c r="BC80"/>
  <c r="H78"/>
  <c r="AH76"/>
  <c r="J75"/>
  <c r="AW73"/>
  <c r="AK72"/>
  <c r="Y71"/>
  <c r="N70"/>
  <c r="BB68"/>
  <c r="AP67"/>
  <c r="T66"/>
  <c r="H65"/>
  <c r="BL63"/>
  <c r="BI62"/>
  <c r="AX61"/>
  <c r="AP59"/>
  <c r="AM58"/>
  <c r="AM56"/>
  <c r="AJ55"/>
  <c r="AG54"/>
  <c r="AD53"/>
  <c r="S52"/>
  <c r="P51"/>
  <c r="M50"/>
  <c r="BK48"/>
  <c r="BH47"/>
  <c r="BE46"/>
  <c r="BB45"/>
  <c r="AQ44"/>
  <c r="AN43"/>
  <c r="AK42"/>
  <c r="Z41"/>
  <c r="W40"/>
  <c r="AW97"/>
  <c r="BF94"/>
  <c r="H92"/>
  <c r="Q89"/>
  <c r="AA86"/>
  <c r="BB83"/>
  <c r="I80"/>
  <c r="AE76"/>
  <c r="BK73"/>
  <c r="AM71"/>
  <c r="AX69"/>
  <c r="AL67"/>
  <c r="AU65"/>
  <c r="BG63"/>
  <c r="Q62"/>
  <c r="T59"/>
  <c r="X56"/>
  <c r="AR54"/>
  <c r="BA52"/>
  <c r="K51"/>
  <c r="AE49"/>
  <c r="AN47"/>
  <c r="BG45"/>
  <c r="U44"/>
  <c r="AN42"/>
  <c r="BH40"/>
  <c r="AR39"/>
  <c r="AJ37"/>
  <c r="AG36"/>
  <c r="AG34"/>
  <c r="AD33"/>
  <c r="S32"/>
  <c r="P31"/>
  <c r="M30"/>
  <c r="BK28"/>
  <c r="BH27"/>
  <c r="BE26"/>
  <c r="BB25"/>
  <c r="AQ24"/>
  <c r="AN23"/>
  <c r="AK22"/>
  <c r="Z21"/>
  <c r="W20"/>
  <c r="T19"/>
  <c r="Q18"/>
  <c r="N17"/>
  <c r="BL15"/>
  <c r="BI14"/>
  <c r="AX13"/>
  <c r="AU12"/>
  <c r="AR11"/>
  <c r="AO10"/>
  <c r="AL9"/>
  <c r="AA8"/>
  <c r="X7"/>
  <c r="U6"/>
  <c r="J5"/>
  <c r="G4"/>
  <c r="AB96"/>
  <c r="AK93"/>
  <c r="AS90"/>
  <c r="BC87"/>
  <c r="BL84"/>
  <c r="J81"/>
  <c r="AN77"/>
  <c r="L75"/>
  <c r="G73"/>
  <c r="K71"/>
  <c r="BC68"/>
  <c r="BH66"/>
  <c r="BM64"/>
  <c r="U63"/>
  <c r="AR61"/>
  <c r="BE58"/>
  <c r="K56"/>
  <c r="AH54"/>
  <c r="AC52"/>
  <c r="AV50"/>
  <c r="G49"/>
  <c r="P47"/>
  <c r="X45"/>
  <c r="AR43"/>
  <c r="AM41"/>
  <c r="H40"/>
  <c r="BI37"/>
  <c r="AX36"/>
  <c r="AP34"/>
  <c r="AM33"/>
  <c r="AJ32"/>
  <c r="AG31"/>
  <c r="AD30"/>
  <c r="S29"/>
  <c r="P28"/>
  <c r="M27"/>
  <c r="BK25"/>
  <c r="BH24"/>
  <c r="BE23"/>
  <c r="BB22"/>
  <c r="AQ21"/>
  <c r="AN20"/>
  <c r="AK19"/>
  <c r="Z18"/>
  <c r="W17"/>
  <c r="T16"/>
  <c r="Q15"/>
  <c r="N14"/>
  <c r="BL12"/>
  <c r="BI11"/>
  <c r="AX10"/>
  <c r="AU9"/>
  <c r="AR8"/>
  <c r="AO7"/>
  <c r="AL6"/>
  <c r="AA5"/>
  <c r="X4"/>
  <c r="K97"/>
  <c r="BH94"/>
  <c r="J92"/>
  <c r="BM89"/>
  <c r="P87"/>
  <c r="AP84"/>
  <c r="BE80"/>
  <c r="V77"/>
  <c r="M75"/>
  <c r="BE72"/>
  <c r="BK70"/>
  <c r="BD68"/>
  <c r="BI66"/>
  <c r="BA64"/>
  <c r="K63"/>
  <c r="AE61"/>
  <c r="AR58"/>
  <c r="L56"/>
  <c r="AI54"/>
  <c r="BC52"/>
  <c r="BK50"/>
  <c r="V49"/>
  <c r="AS47"/>
  <c r="AX45"/>
  <c r="L44"/>
  <c r="AE42"/>
  <c r="AN40"/>
  <c r="AD39"/>
  <c r="V37"/>
  <c r="K36"/>
  <c r="BL33"/>
  <c r="BI32"/>
  <c r="AX31"/>
  <c r="AU30"/>
  <c r="AR29"/>
  <c r="AO28"/>
  <c r="AL27"/>
  <c r="AA26"/>
  <c r="X25"/>
  <c r="U24"/>
  <c r="J23"/>
  <c r="G22"/>
  <c r="BM20"/>
  <c r="BJ19"/>
  <c r="AY18"/>
  <c r="AV17"/>
  <c r="AS16"/>
  <c r="AH15"/>
  <c r="AE14"/>
  <c r="AB13"/>
  <c r="BA94"/>
  <c r="M90"/>
  <c r="AF85"/>
  <c r="AE80"/>
  <c r="AU75"/>
  <c r="AE72"/>
  <c r="M69"/>
  <c r="L66"/>
  <c r="AO62"/>
  <c r="BL58"/>
  <c r="U55"/>
  <c r="X52"/>
  <c r="AZ49"/>
  <c r="M47"/>
  <c r="AL44"/>
  <c r="BI41"/>
  <c r="AQ39"/>
  <c r="BE94"/>
  <c r="AW90"/>
  <c r="BA86"/>
  <c r="BM81"/>
  <c r="O76"/>
  <c r="AG72"/>
  <c r="AO69"/>
  <c r="M66"/>
  <c r="BM62"/>
  <c r="BM58"/>
  <c r="AQ54"/>
  <c r="H52"/>
  <c r="AD49"/>
  <c r="BG46"/>
  <c r="P44"/>
  <c r="AS41"/>
  <c r="S39"/>
  <c r="AZ36"/>
  <c r="BM33"/>
  <c r="W32"/>
  <c r="AQ30"/>
  <c r="T96"/>
  <c r="AL91"/>
  <c r="AN87"/>
  <c r="AR81"/>
  <c r="K77"/>
  <c r="AT73"/>
  <c r="AZ70"/>
  <c r="AC67"/>
  <c r="H64"/>
  <c r="AI61"/>
  <c r="AV56"/>
  <c r="K54"/>
  <c r="AI51"/>
  <c r="BG48"/>
  <c r="U46"/>
  <c r="AP43"/>
  <c r="G41"/>
  <c r="J98"/>
  <c r="AR92"/>
  <c r="BB86"/>
  <c r="AH80"/>
  <c r="AG75"/>
  <c r="H72"/>
  <c r="AJ68"/>
  <c r="BD64"/>
  <c r="N97"/>
  <c r="BF93"/>
  <c r="AI90"/>
  <c r="T87"/>
  <c r="AV83"/>
  <c r="BC97"/>
  <c r="AF94"/>
  <c r="BM91"/>
  <c r="BC89"/>
  <c r="AS87"/>
  <c r="AI85"/>
  <c r="AG83"/>
  <c r="AB80"/>
  <c r="Q77"/>
  <c r="BL74"/>
  <c r="BC95"/>
  <c r="Y92"/>
  <c r="BA88"/>
  <c r="W85"/>
  <c r="BL80"/>
  <c r="AP76"/>
  <c r="BD73"/>
  <c r="AF71"/>
  <c r="BI68"/>
  <c r="AA66"/>
  <c r="BJ63"/>
  <c r="AV61"/>
  <c r="AS58"/>
  <c r="Z55"/>
  <c r="T53"/>
  <c r="N51"/>
  <c r="BI48"/>
  <c r="AU46"/>
  <c r="AO44"/>
  <c r="AA42"/>
  <c r="V98"/>
  <c r="AJ96"/>
  <c r="BM94"/>
  <c r="T93"/>
  <c r="AS91"/>
  <c r="O90"/>
  <c r="AC88"/>
  <c r="AR86"/>
  <c r="BF84"/>
  <c r="M83"/>
  <c r="AC80"/>
  <c r="AT77"/>
  <c r="W76"/>
  <c r="BG74"/>
  <c r="AD73"/>
  <c r="R72"/>
  <c r="BG70"/>
  <c r="AT69"/>
  <c r="AH68"/>
  <c r="V67"/>
  <c r="J66"/>
  <c r="BG64"/>
  <c r="BC63"/>
  <c r="AZ62"/>
  <c r="AW61"/>
  <c r="AW59"/>
  <c r="AT58"/>
  <c r="AL56"/>
  <c r="AA55"/>
  <c r="X54"/>
  <c r="U53"/>
  <c r="J52"/>
  <c r="G51"/>
  <c r="BM49"/>
  <c r="BJ48"/>
  <c r="AY47"/>
  <c r="AV46"/>
  <c r="AS45"/>
  <c r="AH44"/>
  <c r="AE43"/>
  <c r="AB42"/>
  <c r="Y41"/>
  <c r="BE97"/>
  <c r="L96"/>
  <c r="AA94"/>
  <c r="AO92"/>
  <c r="BC90"/>
  <c r="K89"/>
  <c r="Y87"/>
  <c r="BA85"/>
  <c r="I84"/>
  <c r="R81"/>
  <c r="V78"/>
  <c r="AS76"/>
  <c r="U75"/>
  <c r="BF73"/>
  <c r="AT72"/>
  <c r="AH71"/>
  <c r="W70"/>
  <c r="BK68"/>
  <c r="AY67"/>
  <c r="AC66"/>
  <c r="Q65"/>
  <c r="K64"/>
  <c r="H63"/>
  <c r="BF61"/>
  <c r="AX59"/>
  <c r="AU58"/>
  <c r="AU56"/>
  <c r="AR55"/>
  <c r="AO54"/>
  <c r="AL53"/>
  <c r="AA52"/>
  <c r="X51"/>
  <c r="U50"/>
  <c r="J49"/>
  <c r="G48"/>
  <c r="BM46"/>
  <c r="BJ45"/>
  <c r="AY44"/>
  <c r="AV43"/>
  <c r="AS42"/>
  <c r="AH41"/>
  <c r="AE40"/>
  <c r="M98"/>
  <c r="W95"/>
  <c r="AE92"/>
  <c r="AN89"/>
  <c r="AX86"/>
  <c r="Q84"/>
  <c r="AF80"/>
  <c r="AW76"/>
  <c r="S74"/>
  <c r="BC71"/>
  <c r="BJ69"/>
  <c r="BB67"/>
  <c r="BH65"/>
  <c r="L64"/>
  <c r="AE62"/>
  <c r="AE59"/>
  <c r="AI56"/>
  <c r="BF54"/>
  <c r="BL52"/>
  <c r="Y51"/>
  <c r="AS49"/>
  <c r="BB47"/>
  <c r="L46"/>
  <c r="AF44"/>
  <c r="BB42"/>
  <c r="M41"/>
  <c r="AZ39"/>
  <c r="AR37"/>
  <c r="AO36"/>
  <c r="AO34"/>
  <c r="AL33"/>
  <c r="AA32"/>
  <c r="X31"/>
  <c r="U30"/>
  <c r="J29"/>
  <c r="G28"/>
  <c r="BM26"/>
  <c r="BJ25"/>
  <c r="AY24"/>
  <c r="AV23"/>
  <c r="AS22"/>
  <c r="AH21"/>
  <c r="AE20"/>
  <c r="AB19"/>
  <c r="Y18"/>
  <c r="V17"/>
  <c r="K16"/>
  <c r="H15"/>
  <c r="BF13"/>
  <c r="BC12"/>
  <c r="AZ11"/>
  <c r="AW10"/>
  <c r="AT9"/>
  <c r="AI8"/>
  <c r="AF7"/>
  <c r="AC6"/>
  <c r="R5"/>
  <c r="O4"/>
  <c r="AS96"/>
  <c r="BB93"/>
  <c r="BJ90"/>
  <c r="M88"/>
  <c r="V85"/>
  <c r="AG81"/>
  <c r="BB77"/>
  <c r="Z75"/>
  <c r="W73"/>
  <c r="AA71"/>
  <c r="V69"/>
  <c r="K67"/>
  <c r="T65"/>
  <c r="AI63"/>
  <c r="BC61"/>
  <c r="G59"/>
  <c r="Y56"/>
  <c r="AS54"/>
  <c r="AN52"/>
  <c r="BJ50"/>
  <c r="U49"/>
  <c r="AD47"/>
  <c r="AI45"/>
  <c r="BF43"/>
  <c r="BA41"/>
  <c r="P40"/>
  <c r="M39"/>
  <c r="BF36"/>
  <c r="AX34"/>
  <c r="AU33"/>
  <c r="AR32"/>
  <c r="AO31"/>
  <c r="AL30"/>
  <c r="AA29"/>
  <c r="X28"/>
  <c r="U27"/>
  <c r="J26"/>
  <c r="G25"/>
  <c r="BM23"/>
  <c r="BJ22"/>
  <c r="AY21"/>
  <c r="AV20"/>
  <c r="AS19"/>
  <c r="AH18"/>
  <c r="AE17"/>
  <c r="AB16"/>
  <c r="Y15"/>
  <c r="V14"/>
  <c r="K13"/>
  <c r="H12"/>
  <c r="BF10"/>
  <c r="BC9"/>
  <c r="AZ8"/>
  <c r="AW7"/>
  <c r="AT6"/>
  <c r="AI5"/>
  <c r="AF4"/>
  <c r="AH97"/>
  <c r="H95"/>
  <c r="AG92"/>
  <c r="F90"/>
  <c r="AG87"/>
  <c r="BM84"/>
  <c r="K81"/>
  <c r="AP77"/>
  <c r="AB75"/>
  <c r="H73"/>
  <c r="L71"/>
  <c r="H69"/>
  <c r="O67"/>
  <c r="U65"/>
  <c r="Y63"/>
  <c r="AS61"/>
  <c r="BF58"/>
  <c r="Z56"/>
  <c r="AT54"/>
  <c r="G53"/>
  <c r="M51"/>
  <c r="AJ49"/>
  <c r="BD47"/>
  <c r="BL45"/>
  <c r="W44"/>
  <c r="AP42"/>
  <c r="AY40"/>
  <c r="AL39"/>
  <c r="AD37"/>
  <c r="S36"/>
  <c r="K34"/>
  <c r="H33"/>
  <c r="BF31"/>
  <c r="BC30"/>
  <c r="AZ29"/>
  <c r="AW28"/>
  <c r="AT27"/>
  <c r="AI26"/>
  <c r="AF25"/>
  <c r="AC24"/>
  <c r="R23"/>
  <c r="O22"/>
  <c r="L21"/>
  <c r="I20"/>
  <c r="BG18"/>
  <c r="BD17"/>
  <c r="BA16"/>
  <c r="AP15"/>
  <c r="AM14"/>
  <c r="AJ13"/>
  <c r="AG12"/>
  <c r="AH95"/>
  <c r="AV90"/>
  <c r="Q86"/>
  <c r="BK80"/>
  <c r="I76"/>
  <c r="BF72"/>
  <c r="AG69"/>
  <c r="AI66"/>
  <c r="BL62"/>
  <c r="W59"/>
  <c r="AO55"/>
  <c r="AU52"/>
  <c r="G50"/>
  <c r="AG47"/>
  <c r="BC44"/>
  <c r="R42"/>
  <c r="BE39"/>
  <c r="I95"/>
  <c r="AJ91"/>
  <c r="Z87"/>
  <c r="T83"/>
  <c r="AO76"/>
  <c r="BG72"/>
  <c r="BH69"/>
  <c r="AN66"/>
  <c r="AA63"/>
  <c r="AA59"/>
  <c r="Y55"/>
  <c r="AE52"/>
  <c r="BA49"/>
  <c r="N47"/>
  <c r="AM44"/>
  <c r="BJ41"/>
  <c r="AG39"/>
  <c r="BK36"/>
  <c r="O34"/>
  <c r="AH32"/>
  <c r="BE30"/>
  <c r="BC96"/>
  <c r="R92"/>
  <c r="G88"/>
  <c r="V83"/>
  <c r="AH77"/>
  <c r="J74"/>
  <c r="H71"/>
  <c r="AZ67"/>
  <c r="AE64"/>
  <c r="AZ61"/>
  <c r="J58"/>
  <c r="AB54"/>
  <c r="BF51"/>
  <c r="O49"/>
  <c r="AR46"/>
  <c r="BM43"/>
  <c r="AD41"/>
  <c r="S95"/>
  <c r="BI89"/>
  <c r="AR84"/>
  <c r="O77"/>
  <c r="AI73"/>
  <c r="J70"/>
  <c r="BB66"/>
  <c r="AZ95"/>
  <c r="U92"/>
  <c r="AW88"/>
  <c r="Z85"/>
  <c r="BG80"/>
  <c r="Z96"/>
  <c r="BJ92"/>
  <c r="BH90"/>
  <c r="AX88"/>
  <c r="AN86"/>
  <c r="AD84"/>
  <c r="AE81"/>
  <c r="T78"/>
  <c r="N76"/>
  <c r="AO97"/>
  <c r="K94"/>
  <c r="AM90"/>
  <c r="I87"/>
  <c r="AY83"/>
  <c r="Q78"/>
  <c r="R75"/>
  <c r="AR72"/>
  <c r="L70"/>
  <c r="AM67"/>
  <c r="O65"/>
  <c r="AY62"/>
  <c r="AV59"/>
  <c r="AK56"/>
  <c r="W54"/>
  <c r="Q52"/>
  <c r="BL49"/>
  <c r="AX47"/>
  <c r="AR45"/>
  <c r="AL43"/>
  <c r="X41"/>
  <c r="AB97"/>
  <c r="AP95"/>
  <c r="L94"/>
  <c r="AN92"/>
  <c r="BM90"/>
  <c r="X89"/>
  <c r="AL87"/>
  <c r="AZ85"/>
  <c r="H84"/>
  <c r="Q81"/>
  <c r="AF78"/>
  <c r="BM76"/>
  <c r="AN75"/>
  <c r="Q74"/>
  <c r="BB72"/>
  <c r="AP71"/>
  <c r="V70"/>
  <c r="J69"/>
  <c r="BG67"/>
  <c r="AU66"/>
  <c r="AH65"/>
  <c r="Z64"/>
  <c r="W63"/>
  <c r="T62"/>
  <c r="Q61"/>
  <c r="Q59"/>
  <c r="N58"/>
  <c r="BG55"/>
  <c r="BD54"/>
  <c r="BA53"/>
  <c r="AP52"/>
  <c r="AM51"/>
  <c r="AJ50"/>
  <c r="AG49"/>
  <c r="AD48"/>
  <c r="S47"/>
  <c r="P46"/>
  <c r="M45"/>
  <c r="BK43"/>
  <c r="BH42"/>
  <c r="BE41"/>
  <c r="BB40"/>
  <c r="AV98"/>
  <c r="BJ96"/>
  <c r="R95"/>
  <c r="AF93"/>
  <c r="AT91"/>
  <c r="BL89"/>
  <c r="S88"/>
  <c r="AH86"/>
  <c r="BG84"/>
  <c r="N83"/>
  <c r="P80"/>
  <c r="AK77"/>
  <c r="BK75"/>
  <c r="AM74"/>
  <c r="V73"/>
  <c r="J72"/>
  <c r="BH70"/>
  <c r="AL69"/>
  <c r="Z68"/>
  <c r="N67"/>
  <c r="BB65"/>
  <c r="AQ64"/>
  <c r="AN63"/>
  <c r="AK62"/>
  <c r="Z61"/>
  <c r="R59"/>
  <c r="O58"/>
  <c r="O56"/>
  <c r="L55"/>
  <c r="I54"/>
  <c r="BG52"/>
  <c r="BD51"/>
  <c r="BA50"/>
  <c r="AP49"/>
  <c r="AM48"/>
  <c r="AJ47"/>
  <c r="AG46"/>
  <c r="AD45"/>
  <c r="S44"/>
  <c r="P43"/>
  <c r="M42"/>
  <c r="BK40"/>
  <c r="AR96"/>
  <c r="BA93"/>
  <c r="BI90"/>
  <c r="L88"/>
  <c r="AR85"/>
  <c r="AW81"/>
  <c r="M78"/>
  <c r="AR75"/>
  <c r="R73"/>
  <c r="BI70"/>
  <c r="AX68"/>
  <c r="BG66"/>
  <c r="BK64"/>
  <c r="T63"/>
  <c r="AC61"/>
  <c r="AB58"/>
  <c r="AU55"/>
  <c r="BC53"/>
  <c r="N52"/>
  <c r="AG50"/>
  <c r="AP48"/>
  <c r="BJ46"/>
  <c r="W45"/>
  <c r="AQ43"/>
  <c r="BK41"/>
  <c r="X40"/>
  <c r="T39"/>
  <c r="L37"/>
  <c r="I36"/>
  <c r="I34"/>
  <c r="BG32"/>
  <c r="BD31"/>
  <c r="BA30"/>
  <c r="AP29"/>
  <c r="AM28"/>
  <c r="AJ27"/>
  <c r="AG26"/>
  <c r="AD25"/>
  <c r="S24"/>
  <c r="P23"/>
  <c r="M22"/>
  <c r="BK20"/>
  <c r="BH19"/>
  <c r="BE18"/>
  <c r="BB17"/>
  <c r="AQ16"/>
  <c r="AN15"/>
  <c r="AK14"/>
  <c r="Z13"/>
  <c r="W12"/>
  <c r="T11"/>
  <c r="Q10"/>
  <c r="N9"/>
  <c r="BL7"/>
  <c r="BI6"/>
  <c r="AX5"/>
  <c r="AU4"/>
  <c r="N98"/>
  <c r="X95"/>
  <c r="AF92"/>
  <c r="AO89"/>
  <c r="AY86"/>
  <c r="BF83"/>
  <c r="M80"/>
  <c r="AI76"/>
  <c r="T74"/>
  <c r="W72"/>
  <c r="AG70"/>
  <c r="J68"/>
  <c r="P66"/>
  <c r="X64"/>
  <c r="AT62"/>
  <c r="BH59"/>
  <c r="R58"/>
  <c r="AK55"/>
  <c r="AP53"/>
  <c r="AY51"/>
  <c r="I50"/>
  <c r="AF48"/>
  <c r="AA46"/>
  <c r="AU44"/>
  <c r="BC42"/>
  <c r="BL40"/>
  <c r="AS39"/>
  <c r="AK37"/>
  <c r="Z36"/>
  <c r="R34"/>
  <c r="O33"/>
  <c r="L32"/>
  <c r="I31"/>
  <c r="BG29"/>
  <c r="BD28"/>
  <c r="BA27"/>
  <c r="AP26"/>
  <c r="AM25"/>
  <c r="AJ24"/>
  <c r="AG23"/>
  <c r="AD22"/>
  <c r="S21"/>
  <c r="P20"/>
  <c r="M19"/>
  <c r="BK17"/>
  <c r="BH16"/>
  <c r="BE15"/>
  <c r="BB14"/>
  <c r="AQ13"/>
  <c r="AN12"/>
  <c r="AK11"/>
  <c r="Z10"/>
  <c r="W9"/>
  <c r="T8"/>
  <c r="Q7"/>
  <c r="N6"/>
  <c r="BL4"/>
  <c r="BC98"/>
  <c r="F96"/>
  <c r="BI93"/>
  <c r="K91"/>
  <c r="BH88"/>
  <c r="L86"/>
  <c r="AJ83"/>
  <c r="BC78"/>
  <c r="AK76"/>
  <c r="U74"/>
  <c r="L72"/>
  <c r="S70"/>
  <c r="K68"/>
  <c r="Q66"/>
  <c r="N64"/>
  <c r="AG62"/>
  <c r="AU59"/>
  <c r="H58"/>
  <c r="AL55"/>
  <c r="BE53"/>
  <c r="P52"/>
  <c r="X50"/>
  <c r="AR48"/>
  <c r="BA46"/>
  <c r="K45"/>
  <c r="AH43"/>
  <c r="AQ41"/>
  <c r="I40"/>
  <c r="BJ37"/>
  <c r="AY36"/>
  <c r="AQ34"/>
  <c r="AN33"/>
  <c r="AK32"/>
  <c r="Z31"/>
  <c r="W30"/>
  <c r="T29"/>
  <c r="Q28"/>
  <c r="N27"/>
  <c r="BL25"/>
  <c r="BI24"/>
  <c r="AX23"/>
  <c r="AU22"/>
  <c r="AR21"/>
  <c r="AO20"/>
  <c r="AL19"/>
  <c r="AA18"/>
  <c r="X17"/>
  <c r="U16"/>
  <c r="J15"/>
  <c r="G14"/>
  <c r="BM12"/>
  <c r="BF97"/>
  <c r="L93"/>
  <c r="AA88"/>
  <c r="AS83"/>
  <c r="AZ77"/>
  <c r="Y74"/>
  <c r="BL70"/>
  <c r="BL67"/>
  <c r="AS64"/>
  <c r="AT61"/>
  <c r="BG56"/>
  <c r="V54"/>
  <c r="AC51"/>
  <c r="AX48"/>
  <c r="R46"/>
  <c r="AJ43"/>
  <c r="BG40"/>
  <c r="G39"/>
  <c r="X97"/>
  <c r="V93"/>
  <c r="H89"/>
  <c r="G85"/>
  <c r="BK78"/>
  <c r="BE74"/>
  <c r="V71"/>
  <c r="AE68"/>
  <c r="I65"/>
  <c r="AU61"/>
  <c r="AQ56"/>
  <c r="AV53"/>
  <c r="J51"/>
  <c r="AH48"/>
  <c r="BE45"/>
  <c r="Q43"/>
  <c r="V40"/>
  <c r="AY37"/>
  <c r="M36"/>
  <c r="Z33"/>
  <c r="AT31"/>
  <c r="BC29"/>
  <c r="AG94"/>
  <c r="AE90"/>
  <c r="AU85"/>
  <c r="H80"/>
  <c r="BC75"/>
  <c r="AP72"/>
  <c r="Q69"/>
  <c r="BE65"/>
  <c r="L63"/>
  <c r="AC59"/>
  <c r="BA55"/>
  <c r="J53"/>
  <c r="AM50"/>
  <c r="BJ47"/>
  <c r="S45"/>
  <c r="AU42"/>
  <c r="Q93"/>
  <c r="L84"/>
  <c r="AD74"/>
  <c r="G69"/>
  <c r="AL97"/>
  <c r="BD91"/>
  <c r="O86"/>
  <c r="AY78"/>
  <c r="AN94"/>
  <c r="AZ90"/>
  <c r="BL86"/>
  <c r="BE83"/>
  <c r="AB78"/>
  <c r="K75"/>
  <c r="AX94"/>
  <c r="AH89"/>
  <c r="BJ83"/>
  <c r="BA76"/>
  <c r="AI72"/>
  <c r="O68"/>
  <c r="Y64"/>
  <c r="BD59"/>
  <c r="AH55"/>
  <c r="I52"/>
  <c r="U48"/>
  <c r="BM44"/>
  <c r="AF41"/>
  <c r="Q97"/>
  <c r="AK94"/>
  <c r="O92"/>
  <c r="AI89"/>
  <c r="BF86"/>
  <c r="AZ83"/>
  <c r="BE78"/>
  <c r="AQ76"/>
  <c r="AA74"/>
  <c r="AA72"/>
  <c r="M70"/>
  <c r="P68"/>
  <c r="AB66"/>
  <c r="AH64"/>
  <c r="BH62"/>
  <c r="I61"/>
  <c r="AD58"/>
  <c r="AQ55"/>
  <c r="BI53"/>
  <c r="R52"/>
  <c r="AB50"/>
  <c r="AT48"/>
  <c r="BL46"/>
  <c r="U45"/>
  <c r="AM43"/>
  <c r="AW41"/>
  <c r="W96"/>
  <c r="U93"/>
  <c r="AD90"/>
  <c r="AX87"/>
  <c r="N85"/>
  <c r="AF81"/>
  <c r="AA77"/>
  <c r="BH74"/>
  <c r="BM72"/>
  <c r="G71"/>
  <c r="K69"/>
  <c r="BE66"/>
  <c r="BH64"/>
  <c r="X63"/>
  <c r="AH61"/>
  <c r="BC58"/>
  <c r="G56"/>
  <c r="Y54"/>
  <c r="AQ52"/>
  <c r="BI50"/>
  <c r="R49"/>
  <c r="AB47"/>
  <c r="AT45"/>
  <c r="BL43"/>
  <c r="U42"/>
  <c r="AM40"/>
  <c r="BA98"/>
  <c r="R94"/>
  <c r="BE89"/>
  <c r="U85"/>
  <c r="BA78"/>
  <c r="AZ74"/>
  <c r="J71"/>
  <c r="I68"/>
  <c r="AV64"/>
  <c r="BB61"/>
  <c r="BH56"/>
  <c r="S54"/>
  <c r="AJ51"/>
  <c r="AB48"/>
  <c r="AV45"/>
  <c r="R43"/>
  <c r="AI40"/>
  <c r="AZ37"/>
  <c r="BM34"/>
  <c r="V33"/>
  <c r="AN31"/>
  <c r="AX29"/>
  <c r="O28"/>
  <c r="Y26"/>
  <c r="AI24"/>
  <c r="BI22"/>
  <c r="J21"/>
  <c r="AJ19"/>
  <c r="AT17"/>
  <c r="BD15"/>
  <c r="U14"/>
  <c r="AE12"/>
  <c r="BE10"/>
  <c r="BG8"/>
  <c r="P7"/>
  <c r="AH5"/>
  <c r="BL95"/>
  <c r="AX91"/>
  <c r="O87"/>
  <c r="AX81"/>
  <c r="Q76"/>
  <c r="AZ72"/>
  <c r="AY69"/>
  <c r="AF66"/>
  <c r="AW63"/>
  <c r="AT59"/>
  <c r="BJ55"/>
  <c r="Q53"/>
  <c r="W50"/>
  <c r="AO47"/>
  <c r="AJ44"/>
  <c r="AB41"/>
  <c r="AC39"/>
  <c r="AH36"/>
  <c r="BC33"/>
  <c r="BM31"/>
  <c r="V30"/>
  <c r="AN28"/>
  <c r="AX26"/>
  <c r="O25"/>
  <c r="Y23"/>
  <c r="AI21"/>
  <c r="BI19"/>
  <c r="AG93"/>
  <c r="AZ84"/>
  <c r="AO75"/>
  <c r="BK69"/>
  <c r="BJ97"/>
  <c r="AK92"/>
  <c r="AB87"/>
  <c r="AY80"/>
  <c r="U95"/>
  <c r="I91"/>
  <c r="BA87"/>
  <c r="V84"/>
  <c r="AR78"/>
  <c r="AA75"/>
  <c r="G96"/>
  <c r="Y90"/>
  <c r="R84"/>
  <c r="M77"/>
  <c r="BA72"/>
  <c r="I69"/>
  <c r="BF64"/>
  <c r="H61"/>
  <c r="AX55"/>
  <c r="Y52"/>
  <c r="H49"/>
  <c r="AJ45"/>
  <c r="AV41"/>
  <c r="AP97"/>
  <c r="F95"/>
  <c r="Z92"/>
  <c r="AW89"/>
  <c r="J87"/>
  <c r="S84"/>
  <c r="AN80"/>
  <c r="BC76"/>
  <c r="AK74"/>
  <c r="AJ72"/>
  <c r="AE70"/>
  <c r="AQ68"/>
  <c r="AK66"/>
  <c r="AP64"/>
  <c r="G63"/>
  <c r="Y61"/>
  <c r="BB58"/>
  <c r="AY55"/>
  <c r="H54"/>
  <c r="Z52"/>
  <c r="AR50"/>
  <c r="I49"/>
  <c r="K47"/>
  <c r="AC45"/>
  <c r="AU43"/>
  <c r="BM41"/>
  <c r="AD40"/>
  <c r="AK96"/>
  <c r="AT93"/>
  <c r="J91"/>
  <c r="BL87"/>
  <c r="AB85"/>
  <c r="AQ81"/>
  <c r="AV77"/>
  <c r="AE75"/>
  <c r="M73"/>
  <c r="P71"/>
  <c r="T69"/>
  <c r="W67"/>
  <c r="Z65"/>
  <c r="AF63"/>
  <c r="AP61"/>
  <c r="BK58"/>
  <c r="W56"/>
  <c r="AW54"/>
  <c r="AY52"/>
  <c r="H51"/>
  <c r="Z49"/>
  <c r="AR47"/>
  <c r="I46"/>
  <c r="K44"/>
  <c r="AC42"/>
  <c r="AU40"/>
  <c r="AI94"/>
  <c r="U90"/>
  <c r="BI85"/>
  <c r="AW80"/>
  <c r="X75"/>
  <c r="Z71"/>
  <c r="V68"/>
  <c r="R65"/>
  <c r="AP62"/>
  <c r="Q58"/>
  <c r="AD54"/>
  <c r="AX51"/>
  <c r="BD48"/>
  <c r="Z46"/>
  <c r="AC43"/>
  <c r="AW40"/>
  <c r="BH37"/>
  <c r="Q36"/>
  <c r="AT33"/>
  <c r="AV31"/>
  <c r="BF29"/>
  <c r="W28"/>
  <c r="AO26"/>
  <c r="BG24"/>
  <c r="H23"/>
  <c r="R21"/>
  <c r="AR19"/>
  <c r="BJ17"/>
  <c r="S16"/>
  <c r="AC14"/>
  <c r="AM12"/>
  <c r="BM10"/>
  <c r="V9"/>
  <c r="AN7"/>
  <c r="AP5"/>
  <c r="J97"/>
  <c r="I92"/>
  <c r="AF87"/>
  <c r="R83"/>
  <c r="AX76"/>
  <c r="AJ73"/>
  <c r="Q70"/>
  <c r="AR66"/>
  <c r="BH63"/>
  <c r="S61"/>
  <c r="AJ56"/>
  <c r="AE53"/>
  <c r="AH50"/>
  <c r="BC47"/>
  <c r="BI44"/>
  <c r="P42"/>
  <c r="AK39"/>
  <c r="AP36"/>
  <c r="BK33"/>
  <c r="T32"/>
  <c r="AT30"/>
  <c r="AV28"/>
  <c r="BF26"/>
  <c r="W25"/>
  <c r="AO23"/>
  <c r="BG21"/>
  <c r="BB94"/>
  <c r="Q85"/>
  <c r="L76"/>
  <c r="R70"/>
  <c r="S65"/>
  <c r="BG98"/>
  <c r="BA92"/>
  <c r="AR87"/>
  <c r="N81"/>
  <c r="J96"/>
  <c r="Y91"/>
  <c r="J88"/>
  <c r="AL84"/>
  <c r="AJ80"/>
  <c r="BG75"/>
  <c r="AI96"/>
  <c r="BA90"/>
  <c r="AK85"/>
  <c r="BD77"/>
  <c r="J73"/>
  <c r="AA69"/>
  <c r="X65"/>
  <c r="BD61"/>
  <c r="AC56"/>
  <c r="AO52"/>
  <c r="X49"/>
  <c r="AZ45"/>
  <c r="AI42"/>
  <c r="BD97"/>
  <c r="Q95"/>
  <c r="AY92"/>
  <c r="AC90"/>
  <c r="X87"/>
  <c r="AG84"/>
  <c r="BB80"/>
  <c r="N77"/>
  <c r="H75"/>
  <c r="AS72"/>
  <c r="AN70"/>
  <c r="BA68"/>
  <c r="BD66"/>
  <c r="G65"/>
  <c r="O63"/>
  <c r="AG61"/>
  <c r="BJ58"/>
  <c r="N56"/>
  <c r="AF54"/>
  <c r="AH52"/>
  <c r="AZ50"/>
  <c r="Q49"/>
  <c r="AA47"/>
  <c r="BA45"/>
  <c r="BC43"/>
  <c r="L42"/>
  <c r="AL40"/>
  <c r="AY96"/>
  <c r="BH93"/>
  <c r="U91"/>
  <c r="AD88"/>
  <c r="BL85"/>
  <c r="BE81"/>
  <c r="BG77"/>
  <c r="AP75"/>
  <c r="AE73"/>
  <c r="AQ71"/>
  <c r="AC69"/>
  <c r="AF67"/>
  <c r="AJ65"/>
  <c r="AV63"/>
  <c r="M62"/>
  <c r="J59"/>
  <c r="AE56"/>
  <c r="BE54"/>
  <c r="N53"/>
  <c r="AF51"/>
  <c r="AH49"/>
  <c r="AZ47"/>
  <c r="Q46"/>
  <c r="AA44"/>
  <c r="BA42"/>
  <c r="BC40"/>
  <c r="AN95"/>
  <c r="AL90"/>
  <c r="J86"/>
  <c r="I81"/>
  <c r="BF75"/>
  <c r="V72"/>
  <c r="AL68"/>
  <c r="AE65"/>
  <c r="BD62"/>
  <c r="AP58"/>
  <c r="H55"/>
  <c r="BI51"/>
  <c r="T49"/>
  <c r="AK46"/>
  <c r="BE43"/>
  <c r="AA41"/>
  <c r="L39"/>
  <c r="Y36"/>
  <c r="BB33"/>
  <c r="BL31"/>
  <c r="AC30"/>
  <c r="AE28"/>
  <c r="AW26"/>
  <c r="N25"/>
  <c r="X23"/>
  <c r="AP21"/>
  <c r="AZ19"/>
  <c r="I18"/>
  <c r="AA16"/>
  <c r="AS14"/>
  <c r="BK12"/>
  <c r="L11"/>
  <c r="AD9"/>
  <c r="AV7"/>
  <c r="BF5"/>
  <c r="W4"/>
  <c r="AG97"/>
  <c r="AW92"/>
  <c r="AJ88"/>
  <c r="AI83"/>
  <c r="U77"/>
  <c r="AZ73"/>
  <c r="AT70"/>
  <c r="AA67"/>
  <c r="M64"/>
  <c r="AD61"/>
  <c r="AX56"/>
  <c r="BD53"/>
  <c r="L51"/>
  <c r="R48"/>
  <c r="J45"/>
  <c r="AD42"/>
  <c r="BA39"/>
  <c r="M37"/>
  <c r="J34"/>
  <c r="AB32"/>
  <c r="BB30"/>
  <c r="BL28"/>
  <c r="AC27"/>
  <c r="AE25"/>
  <c r="AW23"/>
  <c r="N22"/>
  <c r="X20"/>
  <c r="AP18"/>
  <c r="AZ16"/>
  <c r="I15"/>
  <c r="AA13"/>
  <c r="AS11"/>
  <c r="BK9"/>
  <c r="L8"/>
  <c r="AD6"/>
  <c r="AV4"/>
  <c r="AL98"/>
  <c r="AQ94"/>
  <c r="AT90"/>
  <c r="AI86"/>
  <c r="AH81"/>
  <c r="R76"/>
  <c r="AO72"/>
  <c r="AN69"/>
  <c r="AG66"/>
  <c r="AJ63"/>
  <c r="AJ59"/>
  <c r="BK55"/>
  <c r="AF53"/>
  <c r="AL50"/>
  <c r="H48"/>
  <c r="BJ44"/>
  <c r="Q42"/>
  <c r="J90"/>
  <c r="AZ76"/>
  <c r="BJ66"/>
  <c r="AD89"/>
  <c r="AA78"/>
  <c r="T98"/>
  <c r="T90"/>
  <c r="AQ85"/>
  <c r="AO77"/>
  <c r="BC93"/>
  <c r="BJ85"/>
  <c r="G75"/>
  <c r="AV67"/>
  <c r="AQ62"/>
  <c r="AE54"/>
  <c r="BD49"/>
  <c r="AT43"/>
  <c r="K96"/>
  <c r="BG91"/>
  <c r="BK87"/>
  <c r="AA83"/>
  <c r="Z77"/>
  <c r="AM73"/>
  <c r="BM69"/>
  <c r="AE67"/>
  <c r="J64"/>
  <c r="BE61"/>
  <c r="BB56"/>
  <c r="AS53"/>
  <c r="W51"/>
  <c r="V48"/>
  <c r="BI45"/>
  <c r="AZ42"/>
  <c r="R97"/>
  <c r="P92"/>
  <c r="AM87"/>
  <c r="AP83"/>
  <c r="BD76"/>
  <c r="AN73"/>
  <c r="AF70"/>
  <c r="AV66"/>
  <c r="S64"/>
  <c r="J61"/>
  <c r="BC56"/>
  <c r="BB53"/>
  <c r="AS50"/>
  <c r="W48"/>
  <c r="V45"/>
  <c r="BI42"/>
  <c r="I97"/>
  <c r="AZ88"/>
  <c r="K83"/>
  <c r="AX73"/>
  <c r="U69"/>
  <c r="AS63"/>
  <c r="AW56"/>
  <c r="AM52"/>
  <c r="BM47"/>
  <c r="G44"/>
  <c r="BH39"/>
  <c r="BE34"/>
  <c r="AI32"/>
  <c r="Z29"/>
  <c r="L27"/>
  <c r="BL23"/>
  <c r="BC20"/>
  <c r="AO18"/>
  <c r="AF15"/>
  <c r="J13"/>
  <c r="I10"/>
  <c r="H7"/>
  <c r="AM4"/>
  <c r="AE98"/>
  <c r="V90"/>
  <c r="X84"/>
  <c r="BA74"/>
  <c r="AI69"/>
  <c r="AZ64"/>
  <c r="U59"/>
  <c r="T54"/>
  <c r="AI49"/>
  <c r="V44"/>
  <c r="Y40"/>
  <c r="J36"/>
  <c r="AZ32"/>
  <c r="AQ29"/>
  <c r="AH26"/>
  <c r="T24"/>
  <c r="K21"/>
  <c r="BF18"/>
  <c r="G17"/>
  <c r="BJ14"/>
  <c r="BD12"/>
  <c r="M11"/>
  <c r="G9"/>
  <c r="I7"/>
  <c r="K5"/>
  <c r="Y95"/>
  <c r="W90"/>
  <c r="AC85"/>
  <c r="AL78"/>
  <c r="AO74"/>
  <c r="AU70"/>
  <c r="AB67"/>
  <c r="AX63"/>
  <c r="V59"/>
  <c r="X55"/>
  <c r="AD52"/>
  <c r="K49"/>
  <c r="N46"/>
  <c r="I43"/>
  <c r="BJ39"/>
  <c r="N37"/>
  <c r="AA34"/>
  <c r="AS32"/>
  <c r="BK30"/>
  <c r="L29"/>
  <c r="AD27"/>
  <c r="AV25"/>
  <c r="BF23"/>
  <c r="W22"/>
  <c r="AG20"/>
  <c r="AQ18"/>
  <c r="H17"/>
  <c r="R15"/>
  <c r="AR13"/>
  <c r="AI92"/>
  <c r="BC84"/>
  <c r="BK76"/>
  <c r="T71"/>
  <c r="BF66"/>
  <c r="W61"/>
  <c r="BJ54"/>
  <c r="AX50"/>
  <c r="AI46"/>
  <c r="AL42"/>
  <c r="BA96"/>
  <c r="Q90"/>
  <c r="AA84"/>
  <c r="V75"/>
  <c r="T70"/>
  <c r="AT64"/>
  <c r="AV58"/>
  <c r="H53"/>
  <c r="AY48"/>
  <c r="BD44"/>
  <c r="K40"/>
  <c r="AL36"/>
  <c r="BJ32"/>
  <c r="R30"/>
  <c r="AU92"/>
  <c r="O85"/>
  <c r="AV76"/>
  <c r="BB71"/>
  <c r="W66"/>
  <c r="J62"/>
  <c r="AD55"/>
  <c r="R51"/>
  <c r="V47"/>
  <c r="BL42"/>
  <c r="AW39"/>
  <c r="BB36"/>
  <c r="BA33"/>
  <c r="N32"/>
  <c r="AH30"/>
  <c r="BB28"/>
  <c r="O27"/>
  <c r="AM93"/>
  <c r="BB85"/>
  <c r="AC76"/>
  <c r="BC70"/>
  <c r="AO65"/>
  <c r="AB59"/>
  <c r="L54"/>
  <c r="BL48"/>
  <c r="BA44"/>
  <c r="AR40"/>
  <c r="K37"/>
  <c r="H34"/>
  <c r="BC31"/>
  <c r="AC29"/>
  <c r="AF27"/>
  <c r="AR25"/>
  <c r="AM23"/>
  <c r="BJ21"/>
  <c r="T20"/>
  <c r="O18"/>
  <c r="AH16"/>
  <c r="BE14"/>
  <c r="AZ12"/>
  <c r="N11"/>
  <c r="AY9"/>
  <c r="Z8"/>
  <c r="AZ6"/>
  <c r="AD5"/>
  <c r="AZ91"/>
  <c r="AX83"/>
  <c r="BD75"/>
  <c r="AA70"/>
  <c r="M65"/>
  <c r="K61"/>
  <c r="O55"/>
  <c r="Q51"/>
  <c r="BF45"/>
  <c r="AY41"/>
  <c r="AG37"/>
  <c r="AB34"/>
  <c r="O32"/>
  <c r="AV29"/>
  <c r="AV27"/>
  <c r="AS25"/>
  <c r="BB23"/>
  <c r="L22"/>
  <c r="AI20"/>
  <c r="BC18"/>
  <c r="BK16"/>
  <c r="V15"/>
  <c r="AS13"/>
  <c r="AU11"/>
  <c r="M10"/>
  <c r="AW8"/>
  <c r="Z7"/>
  <c r="BK5"/>
  <c r="AL4"/>
  <c r="V95"/>
  <c r="R87"/>
  <c r="AF77"/>
  <c r="BF71"/>
  <c r="R67"/>
  <c r="BC62"/>
  <c r="AG56"/>
  <c r="AF52"/>
  <c r="T48"/>
  <c r="AI43"/>
  <c r="AO37"/>
  <c r="U34"/>
  <c r="AZ31"/>
  <c r="AM29"/>
  <c r="Y27"/>
  <c r="AA25"/>
  <c r="AU23"/>
  <c r="H22"/>
  <c r="N20"/>
  <c r="AK18"/>
  <c r="BD16"/>
  <c r="BM14"/>
  <c r="X13"/>
  <c r="AY11"/>
  <c r="AC10"/>
  <c r="BM8"/>
  <c r="AS94"/>
  <c r="BM86"/>
  <c r="L74"/>
  <c r="Z66"/>
  <c r="BH58"/>
  <c r="AT50"/>
  <c r="AA43"/>
  <c r="Y37"/>
  <c r="BF32"/>
  <c r="AK29"/>
  <c r="AE26"/>
  <c r="BH23"/>
  <c r="U21"/>
  <c r="AS18"/>
  <c r="AA15"/>
  <c r="M12"/>
  <c r="AW9"/>
  <c r="AQ7"/>
  <c r="AL5"/>
  <c r="P98"/>
  <c r="W88"/>
  <c r="W75"/>
  <c r="AH66"/>
  <c r="AF56"/>
  <c r="S49"/>
  <c r="T41"/>
  <c r="AZ34"/>
  <c r="BD30"/>
  <c r="AM27"/>
  <c r="BF24"/>
  <c r="T22"/>
  <c r="AO19"/>
  <c r="Z16"/>
  <c r="AF13"/>
  <c r="J11"/>
  <c r="AP8"/>
  <c r="AW6"/>
  <c r="BF4"/>
  <c r="AH92"/>
  <c r="AN81"/>
  <c r="AF69"/>
  <c r="AK59"/>
  <c r="Z50"/>
  <c r="J43"/>
  <c r="R37"/>
  <c r="BB32"/>
  <c r="BI28"/>
  <c r="AW25"/>
  <c r="AZ22"/>
  <c r="L20"/>
  <c r="AJ17"/>
  <c r="BG14"/>
  <c r="Y12"/>
  <c r="BG9"/>
  <c r="AL7"/>
  <c r="AU5"/>
  <c r="AG95"/>
  <c r="AQ74"/>
  <c r="N62"/>
  <c r="AN48"/>
  <c r="W39"/>
  <c r="P32"/>
  <c r="AC26"/>
  <c r="AC21"/>
  <c r="S17"/>
  <c r="W13"/>
  <c r="AA9"/>
  <c r="BL5"/>
  <c r="AS98"/>
  <c r="S81"/>
  <c r="G67"/>
  <c r="BF56"/>
  <c r="T46"/>
  <c r="AF36"/>
  <c r="S30"/>
  <c r="AN24"/>
  <c r="BC19"/>
  <c r="BC15"/>
  <c r="BL11"/>
  <c r="AK8"/>
  <c r="AS5"/>
  <c r="N91"/>
  <c r="AK75"/>
  <c r="BJ62"/>
  <c r="AU45"/>
  <c r="BH33"/>
  <c r="AL28"/>
  <c r="G91"/>
  <c r="AE77"/>
  <c r="AG67"/>
  <c r="AQ90"/>
  <c r="AT81"/>
  <c r="AR98"/>
  <c r="F92"/>
  <c r="BG85"/>
  <c r="L78"/>
  <c r="Y94"/>
  <c r="BE86"/>
  <c r="AC75"/>
  <c r="BL69"/>
  <c r="BG62"/>
  <c r="AU54"/>
  <c r="K50"/>
  <c r="BJ43"/>
  <c r="AU96"/>
  <c r="BM92"/>
  <c r="AQ88"/>
  <c r="AL83"/>
  <c r="BF77"/>
  <c r="AV73"/>
  <c r="O71"/>
  <c r="AN67"/>
  <c r="R64"/>
  <c r="BM61"/>
  <c r="BJ56"/>
  <c r="AN54"/>
  <c r="AE51"/>
  <c r="AL48"/>
  <c r="H46"/>
  <c r="G43"/>
  <c r="AT40"/>
  <c r="AF97"/>
  <c r="BC92"/>
  <c r="AR88"/>
  <c r="W84"/>
  <c r="P77"/>
  <c r="G74"/>
  <c r="AO70"/>
  <c r="BH67"/>
  <c r="AA64"/>
  <c r="R61"/>
  <c r="BK56"/>
  <c r="BJ53"/>
  <c r="AN51"/>
  <c r="AE48"/>
  <c r="AL45"/>
  <c r="H43"/>
  <c r="Z97"/>
  <c r="Z91"/>
  <c r="AH83"/>
  <c r="AH74"/>
  <c r="AH69"/>
  <c r="W64"/>
  <c r="BD58"/>
  <c r="P53"/>
  <c r="Q48"/>
  <c r="AT44"/>
  <c r="G40"/>
  <c r="AW36"/>
  <c r="AQ32"/>
  <c r="AH29"/>
  <c r="T27"/>
  <c r="K24"/>
  <c r="AX21"/>
  <c r="AW18"/>
  <c r="AV15"/>
  <c r="R13"/>
  <c r="Y10"/>
  <c r="BD7"/>
  <c r="BC4"/>
  <c r="BB98"/>
  <c r="AA91"/>
  <c r="AO84"/>
  <c r="AS75"/>
  <c r="BJ70"/>
  <c r="AF65"/>
  <c r="AI59"/>
  <c r="BG54"/>
  <c r="AT49"/>
  <c r="AW45"/>
  <c r="AJ40"/>
  <c r="R36"/>
  <c r="BH32"/>
  <c r="AY29"/>
  <c r="AK27"/>
  <c r="AB24"/>
  <c r="AA21"/>
  <c r="U19"/>
  <c r="O17"/>
  <c r="AG15"/>
  <c r="S13"/>
  <c r="U11"/>
  <c r="O9"/>
  <c r="Y7"/>
  <c r="S5"/>
  <c r="AV95"/>
  <c r="BK90"/>
  <c r="AT85"/>
  <c r="Q80"/>
  <c r="BC74"/>
  <c r="AB71"/>
  <c r="AR67"/>
  <c r="BI63"/>
  <c r="BI59"/>
  <c r="AW55"/>
  <c r="AR52"/>
  <c r="AU49"/>
  <c r="AB46"/>
  <c r="T43"/>
  <c r="Q40"/>
  <c r="AL37"/>
  <c r="AI34"/>
  <c r="BA32"/>
  <c r="J31"/>
  <c r="AB29"/>
  <c r="BB27"/>
  <c r="BD25"/>
  <c r="M24"/>
  <c r="AE22"/>
  <c r="AW20"/>
  <c r="N19"/>
  <c r="P17"/>
  <c r="Z15"/>
  <c r="AZ13"/>
  <c r="AU93"/>
  <c r="AW86"/>
  <c r="AC77"/>
  <c r="AU71"/>
  <c r="S67"/>
  <c r="BK61"/>
  <c r="BL55"/>
  <c r="I51"/>
  <c r="BF46"/>
  <c r="BF42"/>
  <c r="R39"/>
  <c r="BG97"/>
  <c r="BJ91"/>
  <c r="BD84"/>
  <c r="AV75"/>
  <c r="AQ70"/>
  <c r="AC65"/>
  <c r="AR59"/>
  <c r="Y53"/>
  <c r="M49"/>
  <c r="Q45"/>
  <c r="AQ40"/>
  <c r="O37"/>
  <c r="L33"/>
  <c r="AF30"/>
  <c r="X93"/>
  <c r="Z86"/>
  <c r="BL77"/>
  <c r="O72"/>
  <c r="AP66"/>
  <c r="AD62"/>
  <c r="H56"/>
  <c r="M52"/>
  <c r="AM47"/>
  <c r="Y43"/>
  <c r="BK39"/>
  <c r="Q37"/>
  <c r="T34"/>
  <c r="Y32"/>
  <c r="AV30"/>
  <c r="G29"/>
  <c r="Z27"/>
  <c r="AH94"/>
  <c r="AP86"/>
  <c r="J77"/>
  <c r="AI71"/>
  <c r="X66"/>
  <c r="BC59"/>
  <c r="AL54"/>
  <c r="AK49"/>
  <c r="Z45"/>
  <c r="L41"/>
  <c r="AF37"/>
  <c r="X34"/>
  <c r="J32"/>
  <c r="AU29"/>
  <c r="AU27"/>
  <c r="BF25"/>
  <c r="BA23"/>
  <c r="K22"/>
  <c r="AH20"/>
  <c r="AC18"/>
  <c r="AV16"/>
  <c r="G15"/>
  <c r="P13"/>
  <c r="X11"/>
  <c r="BI9"/>
  <c r="AL8"/>
  <c r="BL6"/>
  <c r="AN5"/>
  <c r="Q4"/>
  <c r="BE92"/>
  <c r="AX84"/>
  <c r="AM76"/>
  <c r="BD70"/>
  <c r="AT65"/>
  <c r="AL61"/>
  <c r="AT55"/>
  <c r="AR51"/>
  <c r="AD46"/>
  <c r="N42"/>
  <c r="AW37"/>
  <c r="AT34"/>
  <c r="AE32"/>
  <c r="BL29"/>
  <c r="BK27"/>
  <c r="BG25"/>
  <c r="Q24"/>
  <c r="Z22"/>
  <c r="AT20"/>
  <c r="G19"/>
  <c r="M17"/>
  <c r="AJ15"/>
  <c r="BD13"/>
  <c r="BE11"/>
  <c r="W10"/>
  <c r="BI8"/>
  <c r="AJ7"/>
  <c r="K6"/>
  <c r="AX4"/>
  <c r="S96"/>
  <c r="U88"/>
  <c r="P78"/>
  <c r="AC72"/>
  <c r="BI67"/>
  <c r="AB63"/>
  <c r="K58"/>
  <c r="BJ52"/>
  <c r="AW48"/>
  <c r="AN44"/>
  <c r="BF37"/>
  <c r="AK34"/>
  <c r="V32"/>
  <c r="BD29"/>
  <c r="AO27"/>
  <c r="AO25"/>
  <c r="BI23"/>
  <c r="S22"/>
  <c r="AB20"/>
  <c r="AV18"/>
  <c r="I17"/>
  <c r="O15"/>
  <c r="AL13"/>
  <c r="BK11"/>
  <c r="AM10"/>
  <c r="P9"/>
  <c r="AD96"/>
  <c r="F87"/>
  <c r="O75"/>
  <c r="P67"/>
  <c r="BA59"/>
  <c r="AH51"/>
  <c r="N44"/>
  <c r="BC37"/>
  <c r="AA33"/>
  <c r="BJ29"/>
  <c r="BC26"/>
  <c r="O24"/>
  <c r="AN21"/>
  <c r="BK18"/>
  <c r="AS15"/>
  <c r="AD12"/>
  <c r="U10"/>
  <c r="BG7"/>
  <c r="BB5"/>
  <c r="AA95"/>
  <c r="AU77"/>
  <c r="AZ68"/>
  <c r="P91"/>
  <c r="BL83"/>
  <c r="V92"/>
  <c r="AF86"/>
  <c r="AZ80"/>
  <c r="AA97"/>
  <c r="W87"/>
  <c r="AX75"/>
  <c r="U70"/>
  <c r="V63"/>
  <c r="AS56"/>
  <c r="AA50"/>
  <c r="AW44"/>
  <c r="BI96"/>
  <c r="AE93"/>
  <c r="BB88"/>
  <c r="M85"/>
  <c r="G78"/>
  <c r="BE73"/>
  <c r="X71"/>
  <c r="AX67"/>
  <c r="P65"/>
  <c r="L62"/>
  <c r="V58"/>
  <c r="AV54"/>
  <c r="AU51"/>
  <c r="Y49"/>
  <c r="X46"/>
  <c r="O43"/>
  <c r="BJ40"/>
  <c r="I98"/>
  <c r="G93"/>
  <c r="Y89"/>
  <c r="AH84"/>
  <c r="AG78"/>
  <c r="R74"/>
  <c r="AY70"/>
  <c r="H68"/>
  <c r="AI64"/>
  <c r="U62"/>
  <c r="G58"/>
  <c r="Q54"/>
  <c r="AV51"/>
  <c r="AU48"/>
  <c r="Y46"/>
  <c r="X43"/>
  <c r="AD98"/>
  <c r="AQ91"/>
  <c r="AN84"/>
  <c r="P76"/>
  <c r="P70"/>
  <c r="AK64"/>
  <c r="AS59"/>
  <c r="AA53"/>
  <c r="BG49"/>
  <c r="BH44"/>
  <c r="O40"/>
  <c r="BE36"/>
  <c r="AY32"/>
  <c r="AK30"/>
  <c r="AB27"/>
  <c r="AA24"/>
  <c r="BF21"/>
  <c r="BM18"/>
  <c r="AI16"/>
  <c r="AH13"/>
  <c r="AG10"/>
  <c r="K8"/>
  <c r="BK4"/>
  <c r="N93"/>
  <c r="AS85"/>
  <c r="BH75"/>
  <c r="AN71"/>
  <c r="AV65"/>
  <c r="G62"/>
  <c r="I55"/>
  <c r="BH49"/>
  <c r="BK45"/>
  <c r="AX40"/>
  <c r="U37"/>
  <c r="G33"/>
  <c r="N30"/>
  <c r="AS27"/>
  <c r="AR24"/>
  <c r="V22"/>
  <c r="AC19"/>
  <c r="AM17"/>
  <c r="AO15"/>
  <c r="AI13"/>
  <c r="AC11"/>
  <c r="AE9"/>
  <c r="AG7"/>
  <c r="AQ5"/>
  <c r="BM95"/>
  <c r="AB91"/>
  <c r="AZ86"/>
  <c r="AK80"/>
  <c r="AT75"/>
  <c r="AR71"/>
  <c r="BD67"/>
  <c r="AB64"/>
  <c r="T61"/>
  <c r="AN56"/>
  <c r="R53"/>
  <c r="BI49"/>
  <c r="AP46"/>
  <c r="AS43"/>
  <c r="Z40"/>
  <c r="AT37"/>
  <c r="AY34"/>
  <c r="P33"/>
  <c r="R31"/>
  <c r="AJ29"/>
  <c r="BJ27"/>
  <c r="K26"/>
  <c r="AK24"/>
  <c r="AM22"/>
  <c r="BE20"/>
  <c r="V19"/>
  <c r="AF17"/>
  <c r="AX15"/>
  <c r="BH13"/>
  <c r="U94"/>
  <c r="V87"/>
  <c r="X78"/>
  <c r="P73"/>
  <c r="AS67"/>
  <c r="X62"/>
  <c r="S56"/>
  <c r="AW51"/>
  <c r="BA47"/>
  <c r="M43"/>
  <c r="AF39"/>
  <c r="AC98"/>
  <c r="G92"/>
  <c r="AJ85"/>
  <c r="AD77"/>
  <c r="BM70"/>
  <c r="BC65"/>
  <c r="G61"/>
  <c r="BM53"/>
  <c r="N50"/>
  <c r="AN45"/>
  <c r="V41"/>
  <c r="Z37"/>
  <c r="AK33"/>
  <c r="G31"/>
  <c r="BJ93"/>
  <c r="BI86"/>
  <c r="AM78"/>
  <c r="BI72"/>
  <c r="N68"/>
  <c r="AX62"/>
  <c r="AB56"/>
  <c r="AJ52"/>
  <c r="P48"/>
  <c r="X44"/>
  <c r="M40"/>
  <c r="AE37"/>
  <c r="AE34"/>
  <c r="AM32"/>
  <c r="BG30"/>
  <c r="U29"/>
  <c r="AN27"/>
  <c r="AM95"/>
  <c r="AP87"/>
  <c r="AX77"/>
  <c r="BM71"/>
  <c r="BA66"/>
  <c r="AK61"/>
  <c r="N55"/>
  <c r="AN50"/>
  <c r="BC45"/>
  <c r="AT41"/>
  <c r="AV37"/>
  <c r="AR34"/>
  <c r="AD32"/>
  <c r="BK29"/>
  <c r="BG27"/>
  <c r="H26"/>
  <c r="P24"/>
  <c r="Y22"/>
  <c r="AS20"/>
  <c r="AN18"/>
  <c r="BJ16"/>
  <c r="U15"/>
  <c r="AD13"/>
  <c r="AH11"/>
  <c r="L10"/>
  <c r="AV8"/>
  <c r="M7"/>
  <c r="AZ5"/>
  <c r="AA4"/>
  <c r="AN93"/>
  <c r="BC85"/>
  <c r="L77"/>
  <c r="AJ71"/>
  <c r="Y66"/>
  <c r="I62"/>
  <c r="Q56"/>
  <c r="T52"/>
  <c r="AF47"/>
  <c r="AW42"/>
  <c r="Q39"/>
  <c r="BJ34"/>
  <c r="AU32"/>
  <c r="Q30"/>
  <c r="N28"/>
  <c r="L26"/>
  <c r="AE24"/>
  <c r="AN22"/>
  <c r="BH20"/>
  <c r="R19"/>
  <c r="AA17"/>
  <c r="AU15"/>
  <c r="H14"/>
  <c r="R12"/>
  <c r="AI10"/>
  <c r="J9"/>
  <c r="AT7"/>
  <c r="W6"/>
  <c r="BH4"/>
  <c r="L97"/>
  <c r="Z89"/>
  <c r="AV80"/>
  <c r="AO73"/>
  <c r="AC68"/>
  <c r="BF63"/>
  <c r="AN58"/>
  <c r="Z53"/>
  <c r="W49"/>
  <c r="H45"/>
  <c r="I39"/>
  <c r="BA34"/>
  <c r="AN32"/>
  <c r="J30"/>
  <c r="BD27"/>
  <c r="AZ25"/>
  <c r="J24"/>
  <c r="AG22"/>
  <c r="AP20"/>
  <c r="BJ18"/>
  <c r="T17"/>
  <c r="AC15"/>
  <c r="AW13"/>
  <c r="L12"/>
  <c r="AY10"/>
  <c r="Z9"/>
  <c r="AV97"/>
  <c r="V88"/>
  <c r="Z76"/>
  <c r="BL68"/>
  <c r="AJ61"/>
  <c r="V52"/>
  <c r="G45"/>
  <c r="Y39"/>
  <c r="BF33"/>
  <c r="Y30"/>
  <c r="K27"/>
  <c r="AH24"/>
  <c r="BI21"/>
  <c r="S19"/>
  <c r="Y16"/>
  <c r="AY12"/>
  <c r="AL10"/>
  <c r="J8"/>
  <c r="R6"/>
  <c r="M4"/>
  <c r="BA91"/>
  <c r="AB77"/>
  <c r="R68"/>
  <c r="BB59"/>
  <c r="AP51"/>
  <c r="AB43"/>
  <c r="AM36"/>
  <c r="AS31"/>
  <c r="Z28"/>
  <c r="AJ25"/>
  <c r="BH22"/>
  <c r="V20"/>
  <c r="AB17"/>
  <c r="I14"/>
  <c r="AQ11"/>
  <c r="Q9"/>
  <c r="R7"/>
  <c r="Y5"/>
  <c r="I94"/>
  <c r="AM84"/>
  <c r="S71"/>
  <c r="BJ61"/>
  <c r="BH52"/>
  <c r="AZ44"/>
  <c r="K39"/>
  <c r="AR33"/>
  <c r="BA29"/>
  <c r="AT26"/>
  <c r="AE23"/>
  <c r="AZ20"/>
  <c r="N18"/>
  <c r="AL15"/>
  <c r="BJ12"/>
  <c r="AE10"/>
  <c r="U8"/>
  <c r="O6"/>
  <c r="J4"/>
  <c r="AR77"/>
  <c r="AF64"/>
  <c r="BL50"/>
  <c r="W41"/>
  <c r="AH33"/>
  <c r="S28"/>
  <c r="AB22"/>
  <c r="T18"/>
  <c r="T14"/>
  <c r="P10"/>
  <c r="AR6"/>
  <c r="K84"/>
  <c r="AD69"/>
  <c r="AL59"/>
  <c r="AO48"/>
  <c r="AX37"/>
  <c r="AJ31"/>
  <c r="AM26"/>
  <c r="BF20"/>
  <c r="BC16"/>
  <c r="BG12"/>
  <c r="AB9"/>
  <c r="Y6"/>
  <c r="Q94"/>
  <c r="X80"/>
  <c r="AO66"/>
  <c r="R50"/>
  <c r="P36"/>
  <c r="BI29"/>
  <c r="BB24"/>
  <c r="AR20"/>
  <c r="AN16"/>
  <c r="AQ12"/>
  <c r="R9"/>
  <c r="L6"/>
  <c r="BB96"/>
  <c r="AH67"/>
  <c r="AF45"/>
  <c r="BJ28"/>
  <c r="BC21"/>
  <c r="AD15"/>
  <c r="BB8"/>
  <c r="AF90"/>
  <c r="AW58"/>
  <c r="O39"/>
  <c r="S27"/>
  <c r="AA19"/>
  <c r="T12"/>
  <c r="K7"/>
  <c r="AS73"/>
  <c r="BB54"/>
  <c r="AQ33"/>
  <c r="AF24"/>
  <c r="AR15"/>
  <c r="S7"/>
  <c r="AY84"/>
  <c r="H66"/>
  <c r="AB49"/>
  <c r="T31"/>
  <c r="Y24"/>
  <c r="BI17"/>
  <c r="AV11"/>
  <c r="BB4"/>
  <c r="AO39"/>
  <c r="H6"/>
  <c r="AO87"/>
  <c r="K43"/>
  <c r="AB25"/>
  <c r="Q11"/>
  <c r="BJ95"/>
  <c r="AJ41"/>
  <c r="BA21"/>
  <c r="L9"/>
  <c r="AY66"/>
  <c r="BC27"/>
  <c r="AG13"/>
  <c r="AB89"/>
  <c r="AP32"/>
  <c r="AK13"/>
  <c r="X81"/>
  <c r="AW30"/>
  <c r="Z6"/>
  <c r="AS44"/>
  <c r="AY6"/>
  <c r="BE76"/>
  <c r="AJ30"/>
  <c r="BI7"/>
  <c r="BC41"/>
  <c r="AO16"/>
  <c r="BG92"/>
  <c r="AI37"/>
  <c r="BA10"/>
  <c r="K70"/>
  <c r="U9"/>
  <c r="BB73"/>
  <c r="AQ22"/>
  <c r="AK89"/>
  <c r="P72"/>
  <c r="AJ95"/>
  <c r="BB92"/>
  <c r="BC81"/>
  <c r="AV87"/>
  <c r="BG71"/>
  <c r="K62"/>
  <c r="AL51"/>
  <c r="AY42"/>
  <c r="BD95"/>
  <c r="AN90"/>
  <c r="AB81"/>
  <c r="T75"/>
  <c r="S69"/>
  <c r="BK63"/>
  <c r="Y59"/>
  <c r="AC53"/>
  <c r="AO49"/>
  <c r="AP44"/>
  <c r="AT95"/>
  <c r="AX89"/>
  <c r="AO80"/>
  <c r="AB74"/>
  <c r="AS68"/>
  <c r="BD63"/>
  <c r="AE58"/>
  <c r="V53"/>
  <c r="BC48"/>
  <c r="AI44"/>
  <c r="AE87"/>
  <c r="AH73"/>
  <c r="AE66"/>
  <c r="BI55"/>
  <c r="H50"/>
  <c r="O42"/>
  <c r="AW34"/>
  <c r="BI30"/>
  <c r="I26"/>
  <c r="U22"/>
  <c r="AD17"/>
  <c r="O12"/>
  <c r="AQ8"/>
  <c r="AX97"/>
  <c r="AB86"/>
  <c r="BL73"/>
  <c r="BL65"/>
  <c r="BL56"/>
  <c r="BE48"/>
  <c r="AO42"/>
  <c r="AH34"/>
  <c r="BJ30"/>
  <c r="BC25"/>
  <c r="BL20"/>
  <c r="BC17"/>
  <c r="AL14"/>
  <c r="BA11"/>
  <c r="AB8"/>
  <c r="BD4"/>
  <c r="T94"/>
  <c r="T88"/>
  <c r="BH77"/>
  <c r="BE71"/>
  <c r="AW65"/>
  <c r="K59"/>
  <c r="J54"/>
  <c r="AG48"/>
  <c r="BG43"/>
  <c r="V39"/>
  <c r="S34"/>
  <c r="AP31"/>
  <c r="BE28"/>
  <c r="S26"/>
  <c r="Z23"/>
  <c r="Y20"/>
  <c r="BL17"/>
  <c r="BC14"/>
  <c r="AO12"/>
  <c r="AQ96"/>
  <c r="J83"/>
  <c r="AP73"/>
  <c r="V64"/>
  <c r="AP54"/>
  <c r="AA48"/>
  <c r="U41"/>
  <c r="AV93"/>
  <c r="AJ81"/>
  <c r="AV71"/>
  <c r="AV62"/>
  <c r="AV52"/>
  <c r="AJ46"/>
  <c r="AU39"/>
  <c r="AY33"/>
  <c r="P29"/>
  <c r="BL97"/>
  <c r="AS88"/>
  <c r="BK74"/>
  <c r="AL65"/>
  <c r="AX58"/>
  <c r="P50"/>
  <c r="AR44"/>
  <c r="J39"/>
  <c r="AP33"/>
  <c r="W31"/>
  <c r="AC28"/>
  <c r="AJ97"/>
  <c r="AR83"/>
  <c r="AQ72"/>
  <c r="G64"/>
  <c r="AM53"/>
  <c r="BH46"/>
  <c r="BD39"/>
  <c r="BI34"/>
  <c r="AX30"/>
  <c r="Q27"/>
  <c r="AO24"/>
  <c r="AK21"/>
  <c r="BB18"/>
  <c r="BH15"/>
  <c r="AL12"/>
  <c r="AF10"/>
  <c r="BC7"/>
  <c r="BJ5"/>
  <c r="AN97"/>
  <c r="BH86"/>
  <c r="BH73"/>
  <c r="AR64"/>
  <c r="Z58"/>
  <c r="AM49"/>
  <c r="U43"/>
  <c r="AT36"/>
  <c r="BG31"/>
  <c r="AS28"/>
  <c r="T25"/>
  <c r="AY22"/>
  <c r="BE19"/>
  <c r="AW16"/>
  <c r="AG14"/>
  <c r="Y11"/>
  <c r="T9"/>
  <c r="BC6"/>
  <c r="AB4"/>
  <c r="W92"/>
  <c r="BG76"/>
  <c r="AP69"/>
  <c r="BH61"/>
  <c r="BG53"/>
  <c r="AT46"/>
  <c r="X37"/>
  <c r="K33"/>
  <c r="AZ28"/>
  <c r="P26"/>
  <c r="K23"/>
  <c r="BL19"/>
  <c r="AS17"/>
  <c r="AN14"/>
  <c r="V12"/>
  <c r="BF9"/>
  <c r="AQ83"/>
  <c r="BI69"/>
  <c r="AF55"/>
  <c r="AT42"/>
  <c r="AV34"/>
  <c r="AT28"/>
  <c r="BE24"/>
  <c r="S20"/>
  <c r="AV14"/>
  <c r="H11"/>
  <c r="O7"/>
  <c r="AC4"/>
  <c r="G87"/>
  <c r="AH72"/>
  <c r="AM61"/>
  <c r="Y48"/>
  <c r="Z39"/>
  <c r="H32"/>
  <c r="P27"/>
  <c r="BJ23"/>
  <c r="AQ20"/>
  <c r="G16"/>
  <c r="AH12"/>
  <c r="AH9"/>
  <c r="AI6"/>
  <c r="N4"/>
  <c r="AA89"/>
  <c r="N72"/>
  <c r="AJ58"/>
  <c r="I47"/>
  <c r="AP39"/>
  <c r="X32"/>
  <c r="AX27"/>
  <c r="AZ23"/>
  <c r="AY19"/>
  <c r="AM16"/>
  <c r="V13"/>
  <c r="AQ9"/>
  <c r="BE6"/>
  <c r="V4"/>
  <c r="M86"/>
  <c r="BD65"/>
  <c r="W47"/>
  <c r="AE36"/>
  <c r="BA28"/>
  <c r="BB20"/>
  <c r="BA15"/>
  <c r="AT10"/>
  <c r="AR5"/>
  <c r="AK86"/>
  <c r="BF65"/>
  <c r="S53"/>
  <c r="AE39"/>
  <c r="AN29"/>
  <c r="AH22"/>
  <c r="U17"/>
  <c r="AG11"/>
  <c r="AE7"/>
  <c r="BM87"/>
  <c r="AU67"/>
  <c r="AD44"/>
  <c r="BB31"/>
  <c r="U25"/>
  <c r="K20"/>
  <c r="AM15"/>
  <c r="V11"/>
  <c r="AP7"/>
  <c r="Z4"/>
  <c r="I71"/>
  <c r="AZ43"/>
  <c r="U26"/>
  <c r="Z19"/>
  <c r="AM11"/>
  <c r="W5"/>
  <c r="BG96"/>
  <c r="AH62"/>
  <c r="BK37"/>
  <c r="AX25"/>
  <c r="O16"/>
  <c r="AN9"/>
  <c r="T4"/>
  <c r="AU80"/>
  <c r="AO56"/>
  <c r="AF32"/>
  <c r="P22"/>
  <c r="AJ12"/>
  <c r="Y4"/>
  <c r="Q92"/>
  <c r="AR69"/>
  <c r="T51"/>
  <c r="X30"/>
  <c r="BE22"/>
  <c r="AK15"/>
  <c r="AX7"/>
  <c r="K9"/>
  <c r="K88"/>
  <c r="AA40"/>
  <c r="AM21"/>
  <c r="AX6"/>
  <c r="AM59"/>
  <c r="AU24"/>
  <c r="AK10"/>
  <c r="AH53"/>
  <c r="AA23"/>
  <c r="H8"/>
  <c r="Q63"/>
  <c r="AG17"/>
  <c r="AH28"/>
  <c r="O26"/>
  <c r="Z43"/>
  <c r="W11"/>
  <c r="W37"/>
  <c r="AK12"/>
  <c r="I70"/>
  <c r="G23"/>
  <c r="Q87"/>
  <c r="AG21"/>
  <c r="AX24"/>
  <c r="BG6"/>
  <c r="AN8"/>
  <c r="F50"/>
  <c r="F47"/>
  <c r="F62"/>
  <c r="F77"/>
  <c r="F6"/>
  <c r="F27"/>
  <c r="F68"/>
  <c r="F19"/>
  <c r="F81"/>
  <c r="F58"/>
  <c r="AA73"/>
  <c r="R85"/>
  <c r="BB84"/>
  <c r="S91"/>
  <c r="AP65"/>
  <c r="G46"/>
  <c r="F91"/>
  <c r="AZ75"/>
  <c r="AR65"/>
  <c r="BL54"/>
  <c r="BF44"/>
  <c r="AK98"/>
  <c r="AV84"/>
  <c r="BE69"/>
  <c r="AH59"/>
  <c r="BF49"/>
  <c r="R41"/>
  <c r="AL77"/>
  <c r="BG59"/>
  <c r="BM42"/>
  <c r="AF31"/>
  <c r="AG18"/>
  <c r="BB9"/>
  <c r="N78"/>
  <c r="AQ58"/>
  <c r="AG43"/>
  <c r="Y31"/>
  <c r="AT22"/>
  <c r="AW15"/>
  <c r="BH8"/>
  <c r="AZ96"/>
  <c r="AY81"/>
  <c r="X73"/>
  <c r="H62"/>
  <c r="J50"/>
  <c r="BB39"/>
  <c r="AY26"/>
  <c r="AP23"/>
  <c r="AB21"/>
  <c r="S18"/>
  <c r="BF15"/>
  <c r="BE12"/>
  <c r="Y98"/>
  <c r="AY74"/>
  <c r="X58"/>
  <c r="BA43"/>
  <c r="AL95"/>
  <c r="Q73"/>
  <c r="AS55"/>
  <c r="V42"/>
  <c r="AO29"/>
  <c r="AY89"/>
  <c r="BG68"/>
  <c r="BD52"/>
  <c r="AI39"/>
  <c r="AY31"/>
  <c r="AL26"/>
  <c r="AL88"/>
  <c r="BC73"/>
  <c r="P56"/>
  <c r="J42"/>
  <c r="AM31"/>
  <c r="S25"/>
  <c r="AE19"/>
  <c r="BC13"/>
  <c r="BF8"/>
  <c r="AT88"/>
  <c r="M68"/>
  <c r="AT52"/>
  <c r="P37"/>
  <c r="N29"/>
  <c r="O23"/>
  <c r="AZ17"/>
  <c r="BF14"/>
  <c r="AP9"/>
  <c r="U5"/>
  <c r="J94"/>
  <c r="AR70"/>
  <c r="BI54"/>
  <c r="AV47"/>
  <c r="AS33"/>
  <c r="AS26"/>
  <c r="Q21"/>
  <c r="AT12"/>
  <c r="BD89"/>
  <c r="I58"/>
  <c r="AJ36"/>
  <c r="AI25"/>
  <c r="BM16"/>
  <c r="X8"/>
  <c r="AB93"/>
  <c r="BE63"/>
  <c r="AH40"/>
  <c r="AX28"/>
  <c r="V21"/>
  <c r="I13"/>
  <c r="AD7"/>
  <c r="BI74"/>
  <c r="AW62"/>
  <c r="BF40"/>
  <c r="AK70"/>
  <c r="U18"/>
  <c r="N8"/>
  <c r="G70"/>
  <c r="M33"/>
  <c r="J17"/>
  <c r="W8"/>
  <c r="BH48"/>
  <c r="G21"/>
  <c r="AB6"/>
  <c r="L69"/>
  <c r="H30"/>
  <c r="BK10"/>
  <c r="BF92"/>
  <c r="K25"/>
  <c r="AJ5"/>
  <c r="AG73"/>
  <c r="Y33"/>
  <c r="K17"/>
  <c r="AC94"/>
  <c r="BJ26"/>
  <c r="AY28"/>
  <c r="G26"/>
  <c r="BI80"/>
  <c r="AG4"/>
  <c r="BM9"/>
  <c r="AF96"/>
  <c r="AF72"/>
  <c r="BH95"/>
  <c r="U84"/>
  <c r="K93"/>
  <c r="AO83"/>
  <c r="H74"/>
  <c r="I89"/>
  <c r="BM73"/>
  <c r="I64"/>
  <c r="AB53"/>
  <c r="AD43"/>
  <c r="AG98"/>
  <c r="BB90"/>
  <c r="AP81"/>
  <c r="AD75"/>
  <c r="AB69"/>
  <c r="Y65"/>
  <c r="AG59"/>
  <c r="AK53"/>
  <c r="AW49"/>
  <c r="AX44"/>
  <c r="I41"/>
  <c r="W98"/>
  <c r="P90"/>
  <c r="AB83"/>
  <c r="AX74"/>
  <c r="AV69"/>
  <c r="AY64"/>
  <c r="Z59"/>
  <c r="AT53"/>
  <c r="AX49"/>
  <c r="BG44"/>
  <c r="J41"/>
  <c r="BB87"/>
  <c r="T77"/>
  <c r="AQ66"/>
  <c r="J56"/>
  <c r="V50"/>
  <c r="Z42"/>
  <c r="BM36"/>
  <c r="H31"/>
  <c r="Q26"/>
  <c r="AC22"/>
  <c r="AL17"/>
  <c r="AP13"/>
  <c r="AY8"/>
  <c r="AE4"/>
  <c r="BG88"/>
  <c r="AI74"/>
  <c r="AQ67"/>
  <c r="AF58"/>
  <c r="Z51"/>
  <c r="S43"/>
  <c r="BF34"/>
  <c r="Q31"/>
  <c r="R26"/>
  <c r="AL22"/>
  <c r="J18"/>
  <c r="AT14"/>
  <c r="P12"/>
  <c r="AJ8"/>
  <c r="AY5"/>
  <c r="AC96"/>
  <c r="AK88"/>
  <c r="O78"/>
  <c r="Y72"/>
  <c r="BM65"/>
  <c r="BG61"/>
  <c r="U54"/>
  <c r="BF48"/>
  <c r="AK44"/>
  <c r="AT39"/>
  <c r="BG34"/>
  <c r="M32"/>
  <c r="BM28"/>
  <c r="AQ26"/>
  <c r="AH23"/>
  <c r="T21"/>
  <c r="K18"/>
  <c r="BK14"/>
  <c r="AW12"/>
  <c r="T97"/>
  <c r="Z84"/>
  <c r="BJ73"/>
  <c r="AB65"/>
  <c r="AP56"/>
  <c r="L49"/>
  <c r="AR41"/>
  <c r="AB94"/>
  <c r="AT83"/>
  <c r="M72"/>
  <c r="AR63"/>
  <c r="Z54"/>
  <c r="AK47"/>
  <c r="BF39"/>
  <c r="AC34"/>
  <c r="AD29"/>
  <c r="AN98"/>
  <c r="P89"/>
  <c r="AF75"/>
  <c r="AK68"/>
  <c r="L59"/>
  <c r="BD50"/>
  <c r="BL44"/>
  <c r="X39"/>
  <c r="AS34"/>
  <c r="AK31"/>
  <c r="AQ28"/>
  <c r="X98"/>
  <c r="AW84"/>
  <c r="O73"/>
  <c r="AN64"/>
  <c r="AN55"/>
  <c r="Y47"/>
  <c r="R40"/>
  <c r="H36"/>
  <c r="V31"/>
  <c r="M28"/>
  <c r="BC24"/>
  <c r="AV21"/>
  <c r="Q19"/>
  <c r="I16"/>
  <c r="AO13"/>
  <c r="AR10"/>
  <c r="P8"/>
  <c r="J6"/>
  <c r="AM98"/>
  <c r="AT87"/>
  <c r="AE74"/>
  <c r="AJ67"/>
  <c r="BG58"/>
  <c r="AO50"/>
  <c r="AY43"/>
  <c r="BJ36"/>
  <c r="BM32"/>
  <c r="BH28"/>
  <c r="AH25"/>
  <c r="BM22"/>
  <c r="J20"/>
  <c r="AO17"/>
  <c r="AR14"/>
  <c r="AI11"/>
  <c r="AF9"/>
  <c r="BM6"/>
  <c r="I5"/>
  <c r="W93"/>
  <c r="Y81"/>
  <c r="H70"/>
  <c r="W62"/>
  <c r="AC54"/>
  <c r="U47"/>
  <c r="AA39"/>
  <c r="AC33"/>
  <c r="W29"/>
  <c r="AD26"/>
  <c r="V23"/>
  <c r="BA20"/>
  <c r="BG17"/>
  <c r="AY14"/>
  <c r="AI12"/>
  <c r="G10"/>
  <c r="T85"/>
  <c r="BA70"/>
  <c r="AA56"/>
  <c r="AX46"/>
  <c r="G36"/>
  <c r="H29"/>
  <c r="L25"/>
  <c r="AL20"/>
  <c r="AT16"/>
  <c r="Z11"/>
  <c r="AC7"/>
  <c r="AQ4"/>
  <c r="H90"/>
  <c r="AF73"/>
  <c r="P62"/>
  <c r="BC50"/>
  <c r="BL39"/>
  <c r="AL32"/>
  <c r="BL27"/>
  <c r="R24"/>
  <c r="BJ20"/>
  <c r="AU16"/>
  <c r="BB12"/>
  <c r="AX9"/>
  <c r="BK6"/>
  <c r="AD4"/>
  <c r="BD90"/>
  <c r="BI73"/>
  <c r="N61"/>
  <c r="AZ48"/>
  <c r="N40"/>
  <c r="R33"/>
  <c r="L28"/>
  <c r="H24"/>
  <c r="AD20"/>
  <c r="BE16"/>
  <c r="AN13"/>
  <c r="O10"/>
  <c r="J7"/>
  <c r="AJ4"/>
  <c r="AY88"/>
  <c r="Z69"/>
  <c r="AY49"/>
  <c r="G37"/>
  <c r="AG29"/>
  <c r="BE21"/>
  <c r="R16"/>
  <c r="AF11"/>
  <c r="X6"/>
  <c r="BI88"/>
  <c r="S68"/>
  <c r="AJ54"/>
  <c r="T40"/>
  <c r="BL30"/>
  <c r="AK23"/>
  <c r="BE17"/>
  <c r="Z12"/>
  <c r="BA7"/>
  <c r="S4"/>
  <c r="F88"/>
  <c r="BF68"/>
  <c r="AA49"/>
  <c r="AO32"/>
  <c r="AY25"/>
  <c r="O21"/>
  <c r="H16"/>
  <c r="AW11"/>
  <c r="BK7"/>
  <c r="AY4"/>
  <c r="BH72"/>
  <c r="H47"/>
  <c r="I27"/>
  <c r="M20"/>
  <c r="S12"/>
  <c r="BE5"/>
  <c r="Y97"/>
  <c r="AK67"/>
  <c r="BD40"/>
  <c r="AB26"/>
  <c r="BH17"/>
  <c r="AA10"/>
  <c r="BA4"/>
  <c r="AN85"/>
  <c r="BB62"/>
  <c r="AU34"/>
  <c r="AY23"/>
  <c r="U13"/>
  <c r="BM4"/>
  <c r="AR97"/>
  <c r="AL71"/>
  <c r="BI52"/>
  <c r="Z32"/>
  <c r="AT23"/>
  <c r="AD16"/>
  <c r="V8"/>
  <c r="K11"/>
  <c r="AZ93"/>
  <c r="AQ46"/>
  <c r="I24"/>
  <c r="AK7"/>
  <c r="V65"/>
  <c r="AH27"/>
  <c r="AD11"/>
  <c r="AK63"/>
  <c r="BJ24"/>
  <c r="X9"/>
  <c r="H67"/>
  <c r="O19"/>
  <c r="I33"/>
  <c r="AP28"/>
  <c r="Q50"/>
  <c r="AM13"/>
  <c r="R45"/>
  <c r="AB14"/>
  <c r="AP74"/>
  <c r="R25"/>
  <c r="S23"/>
  <c r="AG16"/>
  <c r="I48"/>
  <c r="AB18"/>
  <c r="F21"/>
  <c r="F33"/>
  <c r="F26"/>
  <c r="F16"/>
  <c r="F13"/>
  <c r="F70"/>
  <c r="F61"/>
  <c r="AH98"/>
  <c r="Q96"/>
  <c r="AA93"/>
  <c r="X74"/>
  <c r="Z74"/>
  <c r="AR53"/>
  <c r="AU98"/>
  <c r="X85"/>
  <c r="BD69"/>
  <c r="BE59"/>
  <c r="L50"/>
  <c r="AG41"/>
  <c r="AI91"/>
  <c r="BA75"/>
  <c r="AS65"/>
  <c r="BM54"/>
  <c r="N45"/>
  <c r="AI88"/>
  <c r="J67"/>
  <c r="AU50"/>
  <c r="T37"/>
  <c r="AR27"/>
  <c r="BA22"/>
  <c r="M14"/>
  <c r="Z5"/>
  <c r="R89"/>
  <c r="BC67"/>
  <c r="AK51"/>
  <c r="AC37"/>
  <c r="Z26"/>
  <c r="R18"/>
  <c r="X12"/>
  <c r="BG5"/>
  <c r="S89"/>
  <c r="AW66"/>
  <c r="BH54"/>
  <c r="AV44"/>
  <c r="AA36"/>
  <c r="U32"/>
  <c r="BH29"/>
  <c r="BE87"/>
  <c r="AX65"/>
  <c r="AC49"/>
  <c r="U86"/>
  <c r="AC64"/>
  <c r="BE47"/>
  <c r="AN34"/>
  <c r="Y76"/>
  <c r="AZ59"/>
  <c r="AP45"/>
  <c r="BD34"/>
  <c r="AF29"/>
  <c r="J65"/>
  <c r="BK47"/>
  <c r="AB36"/>
  <c r="AB28"/>
  <c r="AJ22"/>
  <c r="W16"/>
  <c r="BB10"/>
  <c r="T6"/>
  <c r="N75"/>
  <c r="AD59"/>
  <c r="AB44"/>
  <c r="T33"/>
  <c r="W26"/>
  <c r="U20"/>
  <c r="AB12"/>
  <c r="N7"/>
  <c r="AC83"/>
  <c r="AD64"/>
  <c r="AX39"/>
  <c r="Z30"/>
  <c r="AJ23"/>
  <c r="L18"/>
  <c r="AQ15"/>
  <c r="S10"/>
  <c r="AT71"/>
  <c r="AL47"/>
  <c r="AZ30"/>
  <c r="BI20"/>
  <c r="AP11"/>
  <c r="BE4"/>
  <c r="M74"/>
  <c r="W52"/>
  <c r="AG33"/>
  <c r="AM24"/>
  <c r="AW17"/>
  <c r="X10"/>
  <c r="AR4"/>
  <c r="M91"/>
  <c r="AR49"/>
  <c r="M34"/>
  <c r="AJ28"/>
  <c r="Z24"/>
  <c r="N21"/>
  <c r="R17"/>
  <c r="BJ13"/>
  <c r="AV10"/>
  <c r="V7"/>
  <c r="AZ4"/>
  <c r="S92"/>
  <c r="AJ70"/>
  <c r="R54"/>
  <c r="AU37"/>
  <c r="K30"/>
  <c r="AI23"/>
  <c r="BB16"/>
  <c r="BF11"/>
  <c r="AB7"/>
  <c r="L89"/>
  <c r="BC55"/>
  <c r="AE41"/>
  <c r="Q32"/>
  <c r="G24"/>
  <c r="Y13"/>
  <c r="AO4"/>
  <c r="AU90"/>
  <c r="AS51"/>
  <c r="T26"/>
  <c r="AU21"/>
  <c r="K12"/>
  <c r="G5"/>
  <c r="BM74"/>
  <c r="J33"/>
  <c r="BB13"/>
  <c r="I42"/>
  <c r="AM18"/>
  <c r="AB5"/>
  <c r="U64"/>
  <c r="AE44"/>
  <c r="BH14"/>
  <c r="Q98"/>
  <c r="AK54"/>
  <c r="J25"/>
  <c r="AS9"/>
  <c r="Q17"/>
  <c r="Q55"/>
  <c r="AU8"/>
  <c r="AF68"/>
  <c r="BI12"/>
  <c r="AW72"/>
  <c r="AZ10"/>
  <c r="AT21"/>
  <c r="AU36"/>
  <c r="AW33"/>
  <c r="AW53"/>
  <c r="AZ15"/>
  <c r="AX98"/>
  <c r="BG73"/>
  <c r="AH85"/>
  <c r="AH96"/>
  <c r="AV86"/>
  <c r="V76"/>
  <c r="AM92"/>
  <c r="AE78"/>
  <c r="AJ66"/>
  <c r="O54"/>
  <c r="BC46"/>
  <c r="T91"/>
  <c r="AL85"/>
  <c r="BJ75"/>
  <c r="AG71"/>
  <c r="BA65"/>
  <c r="BM59"/>
  <c r="K55"/>
  <c r="T50"/>
  <c r="AF46"/>
  <c r="AO41"/>
  <c r="BH91"/>
  <c r="I86"/>
  <c r="M76"/>
  <c r="AZ71"/>
  <c r="BK65"/>
  <c r="BF59"/>
  <c r="T55"/>
  <c r="AC50"/>
  <c r="AO46"/>
  <c r="AP41"/>
  <c r="AV92"/>
  <c r="BA77"/>
  <c r="Z67"/>
  <c r="O61"/>
  <c r="BF50"/>
  <c r="I45"/>
  <c r="AB37"/>
  <c r="K32"/>
  <c r="AZ27"/>
  <c r="AF23"/>
  <c r="L19"/>
  <c r="BA14"/>
  <c r="BJ9"/>
  <c r="M6"/>
  <c r="BF89"/>
  <c r="AK78"/>
  <c r="W68"/>
  <c r="R62"/>
  <c r="BM51"/>
  <c r="H44"/>
  <c r="AS37"/>
  <c r="AW31"/>
  <c r="BI27"/>
  <c r="I23"/>
  <c r="AX18"/>
  <c r="BM15"/>
  <c r="AF12"/>
  <c r="AM9"/>
  <c r="V6"/>
  <c r="AY97"/>
  <c r="AP89"/>
  <c r="S83"/>
  <c r="AK73"/>
  <c r="AA68"/>
  <c r="V62"/>
  <c r="M55"/>
  <c r="AW50"/>
  <c r="Y45"/>
  <c r="BM40"/>
  <c r="AI36"/>
  <c r="AC32"/>
  <c r="G30"/>
  <c r="BG26"/>
  <c r="AS24"/>
  <c r="AJ21"/>
  <c r="AI18"/>
  <c r="M16"/>
  <c r="L13"/>
  <c r="BJ88"/>
  <c r="P75"/>
  <c r="AD68"/>
  <c r="AO58"/>
  <c r="AD50"/>
  <c r="O44"/>
  <c r="O96"/>
  <c r="BF87"/>
  <c r="AR73"/>
  <c r="BK66"/>
  <c r="BM55"/>
  <c r="K48"/>
  <c r="AM42"/>
  <c r="BB34"/>
  <c r="U31"/>
  <c r="BE90"/>
  <c r="BM78"/>
  <c r="AQ69"/>
  <c r="L61"/>
  <c r="AG53"/>
  <c r="BM45"/>
  <c r="AB40"/>
  <c r="O36"/>
  <c r="BJ31"/>
  <c r="AT29"/>
  <c r="AZ26"/>
  <c r="AF89"/>
  <c r="W74"/>
  <c r="AI67"/>
  <c r="AR56"/>
  <c r="Z48"/>
  <c r="AV42"/>
  <c r="AS36"/>
  <c r="AT32"/>
  <c r="AR28"/>
  <c r="AG25"/>
  <c r="AX22"/>
  <c r="AP19"/>
  <c r="L17"/>
  <c r="R14"/>
  <c r="BL10"/>
  <c r="I9"/>
  <c r="AF6"/>
  <c r="AK4"/>
  <c r="AR89"/>
  <c r="AY77"/>
  <c r="AU68"/>
  <c r="BJ59"/>
  <c r="K53"/>
  <c r="BB44"/>
  <c r="AN39"/>
  <c r="AJ33"/>
  <c r="AE29"/>
  <c r="AK26"/>
  <c r="AC23"/>
  <c r="M21"/>
  <c r="P18"/>
  <c r="K15"/>
  <c r="AP12"/>
  <c r="AZ9"/>
  <c r="BF7"/>
  <c r="AE5"/>
  <c r="BM97"/>
  <c r="P84"/>
  <c r="R71"/>
  <c r="BI64"/>
  <c r="AE55"/>
  <c r="BB49"/>
  <c r="AG40"/>
  <c r="BI33"/>
  <c r="AP30"/>
  <c r="BH26"/>
  <c r="X24"/>
  <c r="AE21"/>
  <c r="W18"/>
  <c r="BB15"/>
  <c r="BH12"/>
  <c r="BI10"/>
  <c r="AG8"/>
  <c r="G90"/>
  <c r="AD72"/>
  <c r="O62"/>
  <c r="X48"/>
  <c r="BL36"/>
  <c r="N31"/>
  <c r="BA25"/>
  <c r="R22"/>
  <c r="Y17"/>
  <c r="BG11"/>
  <c r="AO8"/>
  <c r="L5"/>
  <c r="AW94"/>
  <c r="AA76"/>
  <c r="AU64"/>
  <c r="O53"/>
  <c r="AX42"/>
  <c r="BG33"/>
  <c r="I29"/>
  <c r="Q25"/>
  <c r="AO21"/>
  <c r="X18"/>
  <c r="BA13"/>
  <c r="AN10"/>
  <c r="AR7"/>
  <c r="M5"/>
  <c r="BL93"/>
  <c r="BI76"/>
  <c r="AG63"/>
  <c r="S51"/>
  <c r="AK41"/>
  <c r="AL34"/>
  <c r="X29"/>
  <c r="AV24"/>
  <c r="AF21"/>
  <c r="BF17"/>
  <c r="Q14"/>
  <c r="R11"/>
  <c r="AZ7"/>
  <c r="Q5"/>
  <c r="AO98"/>
  <c r="BL71"/>
  <c r="BB55"/>
  <c r="L40"/>
  <c r="BF30"/>
  <c r="AG24"/>
  <c r="BA17"/>
  <c r="U12"/>
  <c r="AY7"/>
  <c r="X92"/>
  <c r="N73"/>
  <c r="AH58"/>
  <c r="AF42"/>
  <c r="BE32"/>
  <c r="AK25"/>
  <c r="BA18"/>
  <c r="BI13"/>
  <c r="BL8"/>
  <c r="BJ4"/>
  <c r="BK93"/>
  <c r="AD71"/>
  <c r="AZ52"/>
  <c r="AM34"/>
  <c r="BB26"/>
  <c r="Q22"/>
  <c r="AP17"/>
  <c r="N13"/>
  <c r="AX8"/>
  <c r="AF5"/>
  <c r="AV81"/>
  <c r="AP50"/>
  <c r="AD34"/>
  <c r="AV22"/>
  <c r="AI14"/>
  <c r="AM7"/>
  <c r="Q71"/>
  <c r="AY45"/>
  <c r="K31"/>
  <c r="R20"/>
  <c r="AN11"/>
  <c r="BH5"/>
  <c r="U66"/>
  <c r="V46"/>
  <c r="AR26"/>
  <c r="AF16"/>
  <c r="AN6"/>
  <c r="AH75"/>
  <c r="AH56"/>
  <c r="AJ34"/>
  <c r="BH25"/>
  <c r="AU18"/>
  <c r="AB10"/>
  <c r="BI25"/>
  <c r="O95"/>
  <c r="M59"/>
  <c r="AI28"/>
  <c r="AS12"/>
  <c r="T72"/>
  <c r="AR30"/>
  <c r="P14"/>
  <c r="AU76"/>
  <c r="Y29"/>
  <c r="BM11"/>
  <c r="AD87"/>
  <c r="BG23"/>
  <c r="P6"/>
  <c r="BM39"/>
  <c r="BC11"/>
  <c r="BE51"/>
  <c r="N5"/>
  <c r="O59"/>
  <c r="AQ17"/>
  <c r="AY61"/>
  <c r="AY20"/>
  <c r="AC93"/>
  <c r="BK31"/>
  <c r="AV5"/>
  <c r="AW27"/>
  <c r="AB61"/>
  <c r="K10"/>
  <c r="F54"/>
  <c r="F23"/>
  <c r="F10"/>
  <c r="F80"/>
  <c r="F53"/>
  <c r="F22"/>
  <c r="F39"/>
  <c r="F18"/>
  <c r="F37"/>
  <c r="AP80"/>
  <c r="AO88"/>
  <c r="AX96"/>
  <c r="AP88"/>
  <c r="AL76"/>
  <c r="BL92"/>
  <c r="BD78"/>
  <c r="BC66"/>
  <c r="BI56"/>
  <c r="J47"/>
  <c r="AS93"/>
  <c r="BK85"/>
  <c r="AG76"/>
  <c r="AY71"/>
  <c r="S66"/>
  <c r="AB62"/>
  <c r="AI55"/>
  <c r="O51"/>
  <c r="BD46"/>
  <c r="AJ42"/>
  <c r="AO94"/>
  <c r="T86"/>
  <c r="X76"/>
  <c r="BJ71"/>
  <c r="K66"/>
  <c r="AC62"/>
  <c r="AB55"/>
  <c r="AK50"/>
  <c r="AW46"/>
  <c r="AX41"/>
  <c r="M93"/>
  <c r="AD78"/>
  <c r="AC70"/>
  <c r="AQ61"/>
  <c r="AB52"/>
  <c r="AH45"/>
  <c r="AB39"/>
  <c r="N33"/>
  <c r="AU28"/>
  <c r="BD23"/>
  <c r="G20"/>
  <c r="P15"/>
  <c r="AB11"/>
  <c r="AK6"/>
  <c r="S94"/>
  <c r="BB78"/>
  <c r="AM68"/>
  <c r="AF62"/>
  <c r="O52"/>
  <c r="M46"/>
  <c r="BA37"/>
  <c r="BE31"/>
  <c r="H28"/>
  <c r="Q23"/>
  <c r="BA19"/>
  <c r="L16"/>
  <c r="AV12"/>
  <c r="J10"/>
  <c r="BB6"/>
  <c r="O98"/>
  <c r="AY91"/>
  <c r="BG83"/>
  <c r="BA73"/>
  <c r="AN68"/>
  <c r="AU62"/>
  <c r="AY56"/>
  <c r="AA51"/>
  <c r="AM45"/>
  <c r="O41"/>
  <c r="AQ36"/>
  <c r="X33"/>
  <c r="O30"/>
  <c r="V27"/>
  <c r="BA24"/>
  <c r="AZ21"/>
  <c r="AD19"/>
  <c r="AC16"/>
  <c r="T13"/>
  <c r="AG89"/>
  <c r="AN76"/>
  <c r="AW68"/>
  <c r="AQ59"/>
  <c r="G52"/>
  <c r="P45"/>
  <c r="AE88"/>
  <c r="AC74"/>
  <c r="T67"/>
  <c r="T56"/>
  <c r="AE50"/>
  <c r="BJ42"/>
  <c r="X36"/>
  <c r="AI31"/>
  <c r="L91"/>
  <c r="AT80"/>
  <c r="Y70"/>
  <c r="AC63"/>
  <c r="AX53"/>
  <c r="BI46"/>
  <c r="AV40"/>
  <c r="AC36"/>
  <c r="AX32"/>
  <c r="BE29"/>
  <c r="BK26"/>
  <c r="BA81"/>
  <c r="AQ65"/>
  <c r="F89"/>
  <c r="BF88"/>
  <c r="Y77"/>
  <c r="AZ97"/>
  <c r="P81"/>
  <c r="AD67"/>
  <c r="BA58"/>
  <c r="AP47"/>
  <c r="AC40"/>
  <c r="BD93"/>
  <c r="S86"/>
  <c r="U78"/>
  <c r="BH71"/>
  <c r="BM66"/>
  <c r="AJ62"/>
  <c r="V56"/>
  <c r="BC51"/>
  <c r="AI47"/>
  <c r="AR42"/>
  <c r="AZ94"/>
  <c r="AS86"/>
  <c r="AU78"/>
  <c r="S72"/>
  <c r="AM66"/>
  <c r="AS62"/>
  <c r="AZ55"/>
  <c r="BL51"/>
  <c r="L47"/>
  <c r="BF41"/>
  <c r="AJ93"/>
  <c r="Z81"/>
  <c r="AS70"/>
  <c r="I63"/>
  <c r="AO53"/>
  <c r="AY46"/>
  <c r="AJ39"/>
  <c r="BJ33"/>
  <c r="BC28"/>
  <c r="V25"/>
  <c r="O20"/>
  <c r="X15"/>
  <c r="AJ11"/>
  <c r="AS6"/>
  <c r="AP94"/>
  <c r="AG80"/>
  <c r="BD71"/>
  <c r="BE62"/>
  <c r="BB52"/>
  <c r="AL46"/>
  <c r="U39"/>
  <c r="W33"/>
  <c r="AF28"/>
  <c r="L24"/>
  <c r="H20"/>
  <c r="AJ16"/>
  <c r="AY13"/>
  <c r="R10"/>
  <c r="BJ6"/>
  <c r="H4"/>
  <c r="BD92"/>
  <c r="Y84"/>
  <c r="BL75"/>
  <c r="X69"/>
  <c r="BF62"/>
  <c r="BM56"/>
  <c r="AO51"/>
  <c r="Q47"/>
  <c r="AC41"/>
  <c r="BG36"/>
  <c r="AF33"/>
  <c r="AE30"/>
  <c r="I28"/>
  <c r="H25"/>
  <c r="BH21"/>
  <c r="AT19"/>
  <c r="AK16"/>
  <c r="O14"/>
  <c r="AC91"/>
  <c r="BJ78"/>
  <c r="BG69"/>
  <c r="BK59"/>
  <c r="X53"/>
  <c r="AG45"/>
  <c r="J40"/>
  <c r="BK88"/>
  <c r="BI77"/>
  <c r="AT67"/>
  <c r="Y58"/>
  <c r="BB50"/>
  <c r="AK43"/>
  <c r="AN37"/>
  <c r="BH31"/>
  <c r="N95"/>
  <c r="L81"/>
  <c r="AE71"/>
  <c r="AZ63"/>
  <c r="AY54"/>
  <c r="AJ48"/>
  <c r="AU41"/>
  <c r="AN36"/>
  <c r="BL32"/>
  <c r="I30"/>
  <c r="AY27"/>
  <c r="AP91"/>
  <c r="AN78"/>
  <c r="P69"/>
  <c r="AZ58"/>
  <c r="L52"/>
  <c r="AX43"/>
  <c r="BL37"/>
  <c r="S33"/>
  <c r="M29"/>
  <c r="AJ26"/>
  <c r="N23"/>
  <c r="BG20"/>
  <c r="AK17"/>
  <c r="AQ14"/>
  <c r="BD11"/>
  <c r="AC9"/>
  <c r="W7"/>
  <c r="BG4"/>
  <c r="AR94"/>
  <c r="W80"/>
  <c r="BF69"/>
  <c r="M63"/>
  <c r="M54"/>
  <c r="BL47"/>
  <c r="S40"/>
  <c r="L34"/>
  <c r="AY30"/>
  <c r="R27"/>
  <c r="AP24"/>
  <c r="AL21"/>
  <c r="AR18"/>
  <c r="J16"/>
  <c r="Q13"/>
  <c r="AS10"/>
  <c r="Q8"/>
  <c r="BA5"/>
  <c r="BD98"/>
  <c r="AJ86"/>
  <c r="AS74"/>
  <c r="G66"/>
  <c r="N59"/>
  <c r="BE50"/>
  <c r="AG42"/>
  <c r="AK36"/>
  <c r="O31"/>
  <c r="J28"/>
  <c r="AW24"/>
  <c r="BD21"/>
  <c r="Y19"/>
  <c r="AE16"/>
  <c r="BK13"/>
  <c r="S11"/>
  <c r="BC8"/>
  <c r="BK92"/>
  <c r="S77"/>
  <c r="BA63"/>
  <c r="BK49"/>
  <c r="AF40"/>
  <c r="G32"/>
  <c r="AI27"/>
  <c r="BG22"/>
  <c r="V18"/>
  <c r="AC13"/>
  <c r="M9"/>
  <c r="AH6"/>
  <c r="AE96"/>
  <c r="BI83"/>
  <c r="X67"/>
  <c r="BA54"/>
  <c r="O45"/>
  <c r="N36"/>
  <c r="BM29"/>
  <c r="N26"/>
  <c r="AP22"/>
  <c r="BL18"/>
  <c r="AW14"/>
  <c r="AA11"/>
  <c r="M8"/>
  <c r="BC5"/>
  <c r="S97"/>
  <c r="F83"/>
  <c r="BA67"/>
  <c r="AA54"/>
  <c r="BI43"/>
  <c r="W36"/>
  <c r="AO30"/>
  <c r="X26"/>
  <c r="J22"/>
  <c r="BD18"/>
  <c r="S15"/>
  <c r="BB11"/>
  <c r="BA8"/>
  <c r="BI5"/>
  <c r="G76"/>
  <c r="P58"/>
  <c r="AO43"/>
  <c r="BC32"/>
  <c r="AC25"/>
  <c r="P19"/>
  <c r="BE13"/>
  <c r="AF8"/>
  <c r="AI4"/>
  <c r="H76"/>
  <c r="Z62"/>
  <c r="X47"/>
  <c r="P34"/>
  <c r="AQ27"/>
  <c r="AA20"/>
  <c r="BD14"/>
  <c r="T10"/>
  <c r="BM5"/>
  <c r="H97"/>
  <c r="AW78"/>
  <c r="R56"/>
  <c r="AH37"/>
  <c r="Q29"/>
  <c r="W23"/>
  <c r="AL18"/>
  <c r="J14"/>
  <c r="H10"/>
  <c r="AJ6"/>
  <c r="AZ89"/>
  <c r="AI58"/>
  <c r="BG37"/>
  <c r="N24"/>
  <c r="BL16"/>
  <c r="AK9"/>
  <c r="G80"/>
  <c r="AL52"/>
  <c r="U33"/>
  <c r="BD22"/>
  <c r="BL13"/>
  <c r="AU7"/>
  <c r="AW69"/>
  <c r="AQ49"/>
  <c r="AA28"/>
  <c r="AU19"/>
  <c r="BA9"/>
  <c r="U80"/>
  <c r="AN62"/>
  <c r="AH42"/>
  <c r="W27"/>
  <c r="AC20"/>
  <c r="O13"/>
  <c r="AC5"/>
  <c r="J37"/>
  <c r="BJ64"/>
  <c r="AX33"/>
  <c r="BF16"/>
  <c r="M96"/>
  <c r="AR36"/>
  <c r="AC17"/>
  <c r="AW5"/>
  <c r="AW32"/>
  <c r="AI17"/>
  <c r="BE27"/>
  <c r="AI9"/>
  <c r="U68"/>
  <c r="BK15"/>
  <c r="BE64"/>
  <c r="H18"/>
  <c r="BK23"/>
  <c r="AP4"/>
  <c r="Z95"/>
  <c r="AS29"/>
  <c r="AK5"/>
  <c r="AV48"/>
  <c r="AX12"/>
  <c r="BK42"/>
  <c r="I4"/>
  <c r="K14"/>
  <c r="F12"/>
  <c r="F44"/>
  <c r="F15"/>
  <c r="F14"/>
  <c r="F41"/>
  <c r="F25"/>
  <c r="F5"/>
  <c r="F20"/>
  <c r="F43"/>
  <c r="AA87"/>
  <c r="AT66"/>
  <c r="G94"/>
  <c r="O89"/>
  <c r="W81"/>
  <c r="U98"/>
  <c r="AO81"/>
  <c r="AM70"/>
  <c r="H59"/>
  <c r="BF47"/>
  <c r="AS40"/>
  <c r="Z94"/>
  <c r="AW87"/>
  <c r="AT78"/>
  <c r="BK72"/>
  <c r="G68"/>
  <c r="AE63"/>
  <c r="AT56"/>
  <c r="AX52"/>
  <c r="BG47"/>
  <c r="J44"/>
  <c r="G95"/>
  <c r="BG86"/>
  <c r="BI78"/>
  <c r="AB72"/>
  <c r="Q68"/>
  <c r="BA62"/>
  <c r="BH55"/>
  <c r="K52"/>
  <c r="T47"/>
  <c r="AF43"/>
  <c r="BK95"/>
  <c r="BK84"/>
  <c r="AL72"/>
  <c r="AH63"/>
  <c r="V55"/>
  <c r="O47"/>
  <c r="AL41"/>
  <c r="Q34"/>
  <c r="R29"/>
  <c r="AL25"/>
  <c r="AM20"/>
  <c r="AY16"/>
  <c r="BH11"/>
  <c r="BA6"/>
  <c r="BG94"/>
  <c r="BD80"/>
  <c r="K72"/>
  <c r="J63"/>
  <c r="W55"/>
  <c r="AZ46"/>
  <c r="BI39"/>
  <c r="AE33"/>
  <c r="K29"/>
  <c r="AZ24"/>
  <c r="AF20"/>
  <c r="AR16"/>
  <c r="BG13"/>
  <c r="AH10"/>
  <c r="BE7"/>
  <c r="P4"/>
  <c r="O93"/>
  <c r="F85"/>
  <c r="AY76"/>
  <c r="AZ69"/>
  <c r="AM64"/>
  <c r="S58"/>
  <c r="AZ51"/>
  <c r="AE47"/>
  <c r="BB41"/>
  <c r="BB37"/>
  <c r="AV33"/>
  <c r="AM30"/>
  <c r="Y28"/>
  <c r="P25"/>
  <c r="BC22"/>
  <c r="BB19"/>
  <c r="BI16"/>
  <c r="W14"/>
  <c r="BI91"/>
  <c r="AI81"/>
  <c r="O70"/>
  <c r="Z63"/>
  <c r="AU53"/>
  <c r="BD45"/>
  <c r="U40"/>
  <c r="AQ89"/>
  <c r="Y78"/>
  <c r="BE68"/>
  <c r="AA61"/>
  <c r="AG51"/>
  <c r="BH43"/>
  <c r="BM37"/>
  <c r="I32"/>
  <c r="AW95"/>
  <c r="BH83"/>
  <c r="Z73"/>
  <c r="BB64"/>
  <c r="G55"/>
  <c r="AL49"/>
  <c r="G42"/>
  <c r="AP37"/>
  <c r="Q33"/>
  <c r="T30"/>
  <c r="BM27"/>
  <c r="AQ92"/>
  <c r="V80"/>
  <c r="BA69"/>
  <c r="AL62"/>
  <c r="AS52"/>
  <c r="T44"/>
  <c r="P39"/>
  <c r="AI33"/>
  <c r="P30"/>
  <c r="AV26"/>
  <c r="AB23"/>
  <c r="I21"/>
  <c r="AY17"/>
  <c r="AI15"/>
  <c r="Q12"/>
  <c r="AO9"/>
  <c r="AI7"/>
  <c r="H5"/>
  <c r="AX95"/>
  <c r="H81"/>
  <c r="AU72"/>
  <c r="AP63"/>
  <c r="AX54"/>
  <c r="AI48"/>
  <c r="AZ40"/>
  <c r="L36"/>
  <c r="AA31"/>
  <c r="AG27"/>
  <c r="BD24"/>
  <c r="AW21"/>
  <c r="AF19"/>
  <c r="X16"/>
  <c r="AE13"/>
  <c r="BC10"/>
  <c r="AC8"/>
  <c r="AG6"/>
  <c r="I90"/>
  <c r="AJ75"/>
  <c r="BF52"/>
  <c r="AF95"/>
  <c r="O48"/>
  <c r="O66"/>
  <c r="BG16"/>
  <c r="AM72"/>
  <c r="BD20"/>
  <c r="AQ53"/>
  <c r="BK22"/>
  <c r="BL81"/>
  <c r="AV32"/>
  <c r="AA58"/>
  <c r="BB75"/>
  <c r="L43"/>
  <c r="V26"/>
  <c r="AF14"/>
  <c r="AW4"/>
  <c r="AK90"/>
  <c r="AN53"/>
  <c r="AI30"/>
  <c r="AD18"/>
  <c r="G8"/>
  <c r="AX66"/>
  <c r="K46"/>
  <c r="BH30"/>
  <c r="AR22"/>
  <c r="Z14"/>
  <c r="AS8"/>
  <c r="AC78"/>
  <c r="BH41"/>
  <c r="M26"/>
  <c r="AV13"/>
  <c r="J95"/>
  <c r="AM55"/>
  <c r="S31"/>
  <c r="BL21"/>
  <c r="BJ11"/>
  <c r="BB95"/>
  <c r="P55"/>
  <c r="BI31"/>
  <c r="BB21"/>
  <c r="I12"/>
  <c r="I73"/>
  <c r="N34"/>
  <c r="T15"/>
  <c r="L4"/>
  <c r="S63"/>
  <c r="BF28"/>
  <c r="X14"/>
  <c r="N65"/>
  <c r="X27"/>
  <c r="AO14"/>
  <c r="AK52"/>
  <c r="AX17"/>
  <c r="V91"/>
  <c r="R32"/>
  <c r="R8"/>
  <c r="BK52"/>
  <c r="BH18"/>
  <c r="H85"/>
  <c r="O29"/>
  <c r="AC12"/>
  <c r="BF19"/>
  <c r="W78"/>
  <c r="BD6"/>
  <c r="X22"/>
  <c r="AP25"/>
  <c r="BM19"/>
  <c r="BI26"/>
  <c r="AE45"/>
  <c r="BB29"/>
  <c r="AU26"/>
  <c r="F24"/>
  <c r="F75"/>
  <c r="F46"/>
  <c r="F31"/>
  <c r="F65"/>
  <c r="F69"/>
  <c r="BF70"/>
  <c r="W58"/>
  <c r="AT25"/>
  <c r="AI29"/>
  <c r="AK65"/>
  <c r="S46"/>
  <c r="R28"/>
  <c r="AQ51"/>
  <c r="Z17"/>
  <c r="BE33"/>
  <c r="BL9"/>
  <c r="K74"/>
  <c r="BD32"/>
  <c r="AP16"/>
  <c r="AK91"/>
  <c r="U28"/>
  <c r="AA37"/>
  <c r="G6"/>
  <c r="T64"/>
  <c r="L23"/>
  <c r="AA6"/>
  <c r="W42"/>
  <c r="P5"/>
  <c r="BK34"/>
  <c r="V5"/>
  <c r="M31"/>
  <c r="BF6"/>
  <c r="AD23"/>
  <c r="BH36"/>
  <c r="BK71"/>
  <c r="AX14"/>
  <c r="T36"/>
  <c r="BJ15"/>
  <c r="W53"/>
  <c r="AI22"/>
  <c r="BC34"/>
  <c r="AO86"/>
  <c r="F8"/>
  <c r="F52"/>
  <c r="F78"/>
  <c r="H88"/>
  <c r="V51"/>
  <c r="AA96"/>
  <c r="AN4"/>
  <c r="AH31"/>
  <c r="AP40"/>
  <c r="AI84"/>
  <c r="AL96"/>
  <c r="AG30"/>
  <c r="AS7"/>
  <c r="O64"/>
  <c r="BK21"/>
  <c r="BH51"/>
  <c r="BK24"/>
  <c r="I11"/>
  <c r="AZ54"/>
  <c r="AN19"/>
  <c r="BE37"/>
  <c r="AB15"/>
  <c r="AQ37"/>
  <c r="BG15"/>
  <c r="BK44"/>
  <c r="I8"/>
  <c r="I37"/>
  <c r="AU6"/>
  <c r="P85"/>
  <c r="H19"/>
  <c r="O84"/>
  <c r="AU47"/>
  <c r="AL75"/>
  <c r="AH19"/>
  <c r="AM37"/>
  <c r="AE18"/>
  <c r="AF50"/>
  <c r="U72"/>
  <c r="AV19"/>
  <c r="BL78"/>
  <c r="BG51"/>
  <c r="F76"/>
  <c r="F30"/>
  <c r="AN59"/>
  <c r="N41"/>
  <c r="H77"/>
  <c r="Y62"/>
  <c r="AB33"/>
  <c r="T58"/>
  <c r="BD19"/>
  <c r="BG39"/>
  <c r="BA12"/>
  <c r="AD85"/>
  <c r="BC36"/>
  <c r="K19"/>
  <c r="AG32"/>
  <c r="BE8"/>
  <c r="AW71"/>
  <c r="AF26"/>
  <c r="BH7"/>
  <c r="AB70"/>
  <c r="G27"/>
  <c r="AH8"/>
  <c r="J46"/>
  <c r="BK8"/>
  <c r="AW43"/>
  <c r="G7"/>
  <c r="AY39"/>
  <c r="AR9"/>
  <c r="AQ25"/>
  <c r="N54"/>
  <c r="AY58"/>
  <c r="AH4"/>
  <c r="BF76"/>
  <c r="V36"/>
  <c r="AK20"/>
  <c r="F32"/>
  <c r="F72"/>
  <c r="F74"/>
  <c r="I59"/>
  <c r="AI52"/>
  <c r="AY72"/>
  <c r="AU20"/>
  <c r="K86"/>
  <c r="AU25"/>
  <c r="AG58"/>
  <c r="AN25"/>
  <c r="N96"/>
  <c r="H39"/>
  <c r="L65"/>
  <c r="BF81"/>
  <c r="AC46"/>
  <c r="BL26"/>
  <c r="AT15"/>
  <c r="T5"/>
  <c r="AM96"/>
  <c r="AZ56"/>
  <c r="AQ31"/>
  <c r="AQ19"/>
  <c r="AM8"/>
  <c r="BM68"/>
  <c r="Y50"/>
  <c r="AE31"/>
  <c r="BF22"/>
  <c r="Q16"/>
  <c r="AJ9"/>
  <c r="BJ80"/>
  <c r="N49"/>
  <c r="BF27"/>
  <c r="Y14"/>
  <c r="X5"/>
  <c r="BH97"/>
  <c r="L58"/>
  <c r="W34"/>
  <c r="U23"/>
  <c r="N12"/>
  <c r="AM5"/>
  <c r="AW98"/>
  <c r="BE56"/>
  <c r="BL34"/>
  <c r="AF22"/>
  <c r="AR12"/>
  <c r="AG5"/>
  <c r="U83"/>
  <c r="BH34"/>
  <c r="AZ18"/>
  <c r="BI4"/>
  <c r="BC64"/>
  <c r="AO33"/>
  <c r="W15"/>
  <c r="AX72"/>
  <c r="AN30"/>
  <c r="L15"/>
  <c r="BD5"/>
  <c r="BM63"/>
  <c r="AF18"/>
  <c r="AF34"/>
  <c r="BD8"/>
  <c r="BK67"/>
  <c r="AJ20"/>
  <c r="BB91"/>
  <c r="AH39"/>
  <c r="BM13"/>
  <c r="BB7"/>
  <c r="BA31"/>
  <c r="BJ7"/>
  <c r="BM30"/>
  <c r="AS46"/>
  <c r="AA22"/>
  <c r="AE8"/>
  <c r="Q6"/>
  <c r="AU31"/>
  <c r="U52"/>
  <c r="BD85"/>
  <c r="AL31"/>
  <c r="F55"/>
  <c r="F36"/>
  <c r="F73"/>
  <c r="F49"/>
  <c r="AM81"/>
  <c r="P41"/>
  <c r="AM63"/>
  <c r="H87"/>
  <c r="AU95"/>
  <c r="AG28"/>
  <c r="AG74"/>
  <c r="AG90"/>
  <c r="BG28"/>
  <c r="AP6"/>
  <c r="AM62"/>
  <c r="X21"/>
  <c r="AB51"/>
  <c r="AL24"/>
  <c r="AV9"/>
  <c r="BF53"/>
  <c r="AR17"/>
  <c r="AV6"/>
  <c r="AM65"/>
  <c r="AR23"/>
  <c r="AA14"/>
  <c r="BA36"/>
  <c r="AJ14"/>
  <c r="BH85"/>
  <c r="AW19"/>
  <c r="AR74"/>
  <c r="V16"/>
  <c r="BH81"/>
  <c r="G18"/>
  <c r="AN65"/>
  <c r="K4"/>
  <c r="G13"/>
  <c r="Y21"/>
  <c r="M44"/>
  <c r="AB31"/>
  <c r="BG41"/>
  <c r="G47"/>
  <c r="BH9"/>
  <c r="AZ66"/>
  <c r="AC55"/>
  <c r="F11"/>
  <c r="F28"/>
  <c r="F34"/>
  <c r="BK89"/>
  <c r="BJ68"/>
  <c r="P63"/>
  <c r="AS30"/>
  <c r="Z34"/>
  <c r="AI70"/>
  <c r="BA51"/>
  <c r="L31"/>
  <c r="I53"/>
  <c r="BM17"/>
  <c r="AD36"/>
  <c r="O11"/>
  <c r="S76"/>
  <c r="U36"/>
  <c r="AH17"/>
  <c r="H93"/>
  <c r="AR31"/>
  <c r="BH6"/>
  <c r="BB70"/>
  <c r="BE25"/>
  <c r="S6"/>
  <c r="AO68"/>
  <c r="Z25"/>
  <c r="AO6"/>
  <c r="Z20"/>
  <c r="BJ77"/>
  <c r="X19"/>
  <c r="BD36"/>
  <c r="T7"/>
  <c r="BL24"/>
  <c r="AT4"/>
  <c r="AP14"/>
  <c r="AE27"/>
  <c r="AW47"/>
  <c r="BE42"/>
  <c r="AU88"/>
  <c r="AT24"/>
  <c r="L48"/>
  <c r="F59"/>
  <c r="L73"/>
  <c r="AI68"/>
  <c r="Y34"/>
  <c r="BM7"/>
  <c r="BD33"/>
  <c r="J48"/>
  <c r="AI97"/>
  <c r="BK32"/>
  <c r="S9"/>
  <c r="Y69"/>
  <c r="AQ23"/>
  <c r="BE55"/>
  <c r="M25"/>
  <c r="AE11"/>
  <c r="BK62"/>
  <c r="BG19"/>
  <c r="AC44"/>
  <c r="AY15"/>
  <c r="Y42"/>
  <c r="P16"/>
  <c r="BM24"/>
  <c r="AD83"/>
  <c r="AD21"/>
  <c r="BK96"/>
  <c r="AI19"/>
  <c r="X90"/>
  <c r="O8"/>
  <c r="AE15"/>
  <c r="V29"/>
  <c r="P21"/>
  <c r="BI61"/>
  <c r="M23"/>
  <c r="U61"/>
  <c r="I78"/>
  <c r="U7"/>
  <c r="F48"/>
  <c r="F71"/>
  <c r="AO71"/>
  <c r="BM80"/>
  <c r="BC72"/>
  <c r="AZ41"/>
  <c r="AQ48"/>
  <c r="AP10"/>
  <c r="BD87"/>
  <c r="N39"/>
  <c r="AU14"/>
  <c r="BL53"/>
  <c r="N69"/>
  <c r="BD37"/>
  <c r="AO63"/>
  <c r="AZ33"/>
  <c r="W21"/>
  <c r="V10"/>
  <c r="Y73"/>
  <c r="S41"/>
  <c r="I25"/>
  <c r="S14"/>
  <c r="R4"/>
  <c r="R91"/>
  <c r="AY59"/>
  <c r="H37"/>
  <c r="J27"/>
  <c r="AM19"/>
  <c r="AO11"/>
  <c r="AJ64"/>
  <c r="V34"/>
  <c r="AO22"/>
  <c r="AG9"/>
  <c r="AV78"/>
  <c r="BB46"/>
  <c r="BD26"/>
  <c r="AT18"/>
  <c r="Y8"/>
  <c r="AS80"/>
  <c r="AO45"/>
  <c r="AA27"/>
  <c r="AJ18"/>
  <c r="H9"/>
  <c r="BD56"/>
  <c r="BM25"/>
  <c r="BD9"/>
  <c r="BF95"/>
  <c r="BJ49"/>
  <c r="BM21"/>
  <c r="BE9"/>
  <c r="BE40"/>
  <c r="AW22"/>
  <c r="AJ10"/>
  <c r="AV36"/>
  <c r="N10"/>
  <c r="I56"/>
  <c r="H21"/>
  <c r="AB30"/>
  <c r="AD8"/>
  <c r="P64"/>
  <c r="I22"/>
  <c r="U4"/>
  <c r="I74"/>
  <c r="AT5"/>
  <c r="G34"/>
  <c r="I6"/>
  <c r="AH7"/>
  <c r="AV68"/>
  <c r="AV39"/>
  <c r="AT8"/>
  <c r="BL14"/>
  <c r="AA7"/>
  <c r="J12"/>
  <c r="F51"/>
  <c r="F9"/>
  <c r="F67"/>
  <c r="F56"/>
  <c r="AK83"/>
  <c r="J89"/>
  <c r="R44"/>
  <c r="AD80"/>
  <c r="AC47"/>
  <c r="S8"/>
  <c r="AV55"/>
  <c r="AD14"/>
  <c r="AL93"/>
  <c r="BD42"/>
  <c r="AN17"/>
  <c r="AQ63"/>
  <c r="AL80"/>
  <c r="X42"/>
  <c r="AT68"/>
  <c r="BI36"/>
  <c r="BL22"/>
  <c r="AT11"/>
  <c r="AO78"/>
  <c r="AA45"/>
  <c r="BA26"/>
  <c r="BI15"/>
  <c r="AO5"/>
  <c r="F98"/>
  <c r="V61"/>
  <c r="AI41"/>
  <c r="V28"/>
  <c r="AX19"/>
  <c r="M13"/>
  <c r="W65"/>
  <c r="BC39"/>
  <c r="T23"/>
  <c r="BD10"/>
  <c r="J84"/>
  <c r="AT47"/>
  <c r="AL29"/>
  <c r="W19"/>
  <c r="BJ8"/>
  <c r="Y86"/>
  <c r="AH46"/>
  <c r="L30"/>
  <c r="J19"/>
  <c r="Y9"/>
  <c r="S59"/>
  <c r="AP27"/>
  <c r="BF12"/>
  <c r="BM50"/>
  <c r="H27"/>
  <c r="AU10"/>
  <c r="AY53"/>
  <c r="BC23"/>
  <c r="BJ10"/>
  <c r="AO40"/>
  <c r="BH10"/>
  <c r="R77"/>
  <c r="AS23"/>
  <c r="BI47"/>
  <c r="AD10"/>
  <c r="BJ67"/>
  <c r="AN26"/>
  <c r="AM6"/>
  <c r="T81"/>
  <c r="N15"/>
  <c r="O50"/>
  <c r="AH14"/>
  <c r="P11"/>
  <c r="AY63"/>
  <c r="AQ10"/>
  <c r="AX16"/>
  <c r="I19"/>
  <c r="S37"/>
  <c r="F29"/>
  <c r="F63"/>
  <c r="F40"/>
  <c r="F4"/>
  <c r="F45"/>
  <c r="F64"/>
  <c r="AU94"/>
  <c r="AE95"/>
  <c r="N48"/>
  <c r="AJ89"/>
  <c r="BD43"/>
  <c r="AG55"/>
  <c r="G12"/>
  <c r="AL64"/>
  <c r="AU17"/>
  <c r="S48"/>
  <c r="Q20"/>
  <c r="AL70"/>
  <c r="AP92"/>
  <c r="BC49"/>
  <c r="X70"/>
  <c r="AM39"/>
  <c r="AD24"/>
  <c r="AA12"/>
  <c r="BG81"/>
  <c r="BM48"/>
  <c r="AD28"/>
  <c r="AL16"/>
  <c r="AQ6"/>
  <c r="AD65"/>
  <c r="AQ45"/>
  <c r="AK28"/>
  <c r="AS21"/>
  <c r="L14"/>
  <c r="AB73"/>
  <c r="K41"/>
  <c r="AL23"/>
  <c r="H13"/>
  <c r="AE85"/>
  <c r="BK53"/>
  <c r="AA30"/>
  <c r="BK19"/>
  <c r="BG10"/>
  <c r="AU87"/>
  <c r="AI53"/>
  <c r="AD31"/>
  <c r="AG19"/>
  <c r="AL11"/>
  <c r="R63"/>
  <c r="AC31"/>
  <c r="AZ14"/>
  <c r="M61"/>
  <c r="T28"/>
  <c r="G11"/>
  <c r="BA61"/>
  <c r="W24"/>
  <c r="AT13"/>
  <c r="H42"/>
  <c r="N16"/>
  <c r="AE84"/>
  <c r="V24"/>
  <c r="AE6"/>
  <c r="U51"/>
  <c r="AX11"/>
  <c r="AQ77"/>
  <c r="K28"/>
  <c r="L7"/>
  <c r="M18"/>
  <c r="BD55"/>
  <c r="AS4"/>
  <c r="AX20"/>
  <c r="M15"/>
  <c r="AU13"/>
  <c r="BI18"/>
  <c r="AW29"/>
  <c r="Y25"/>
  <c r="O5"/>
  <c r="F7"/>
  <c r="F42"/>
  <c r="F66"/>
  <c r="F17"/>
  <c r="V57"/>
  <c r="V38"/>
  <c r="V35"/>
  <c r="V60"/>
  <c r="V82"/>
  <c r="V79"/>
  <c r="G38"/>
  <c r="G57"/>
  <c r="G35"/>
  <c r="G60"/>
  <c r="G82"/>
  <c r="G79"/>
  <c r="F79"/>
  <c r="F38"/>
  <c r="F82"/>
  <c r="F57"/>
  <c r="F35"/>
  <c r="F60"/>
  <c r="H38"/>
  <c r="H57"/>
  <c r="H60"/>
  <c r="H35"/>
  <c r="H82"/>
  <c r="H79"/>
  <c r="F101"/>
  <c r="F119"/>
  <c r="F156"/>
  <c r="F137"/>
  <c r="F149"/>
  <c r="F157"/>
  <c r="F167"/>
  <c r="F150"/>
  <c r="H101"/>
  <c r="H150"/>
  <c r="H149"/>
  <c r="H137"/>
  <c r="H119"/>
  <c r="H157"/>
  <c r="H167"/>
  <c r="H156"/>
  <c r="K167"/>
  <c r="K119"/>
  <c r="K149"/>
  <c r="K157"/>
  <c r="K101"/>
  <c r="K137"/>
  <c r="K150"/>
  <c r="K156"/>
  <c r="R137"/>
  <c r="R101"/>
  <c r="R119"/>
  <c r="R167"/>
  <c r="R150"/>
  <c r="R157"/>
  <c r="R149"/>
  <c r="R156"/>
  <c r="AE101"/>
  <c r="AE156"/>
  <c r="AE137"/>
  <c r="AE119"/>
  <c r="AE150"/>
  <c r="AE157"/>
  <c r="AE167"/>
  <c r="AE149"/>
  <c r="AT149"/>
  <c r="AT119"/>
  <c r="AT101"/>
  <c r="AT156"/>
  <c r="AT137"/>
  <c r="AT157"/>
  <c r="AT167"/>
  <c r="AT150"/>
  <c r="BM167"/>
  <c r="BM101"/>
  <c r="BM137"/>
  <c r="BM157"/>
  <c r="BM119"/>
  <c r="BM150"/>
  <c r="BM156"/>
  <c r="BM149"/>
  <c r="T119"/>
  <c r="T101"/>
  <c r="T156"/>
  <c r="T149"/>
  <c r="T157"/>
  <c r="T167"/>
  <c r="T137"/>
  <c r="T150"/>
  <c r="BK101"/>
  <c r="BK119"/>
  <c r="BK137"/>
  <c r="BK156"/>
  <c r="BK150"/>
  <c r="BK157"/>
  <c r="BK167"/>
  <c r="BK149"/>
  <c r="BC137"/>
  <c r="BC101"/>
  <c r="BC119"/>
  <c r="BC156"/>
  <c r="BC150"/>
  <c r="BC157"/>
  <c r="BC167"/>
  <c r="BC149"/>
  <c r="BB101"/>
  <c r="BB119"/>
  <c r="BB157"/>
  <c r="BB167"/>
  <c r="BB137"/>
  <c r="BB156"/>
  <c r="BB149"/>
  <c r="BB150"/>
  <c r="BH101"/>
  <c r="BH119"/>
  <c r="BH156"/>
  <c r="BH149"/>
  <c r="BH157"/>
  <c r="BH167"/>
  <c r="BH137"/>
  <c r="BH150"/>
  <c r="AL101"/>
  <c r="AL119"/>
  <c r="AL149"/>
  <c r="AL167"/>
  <c r="AL157"/>
  <c r="AL137"/>
  <c r="AL156"/>
  <c r="AL150"/>
  <c r="AY167"/>
  <c r="AY119"/>
  <c r="AY101"/>
  <c r="AY149"/>
  <c r="AY157"/>
  <c r="AY137"/>
  <c r="AY150"/>
  <c r="AY156"/>
  <c r="AI157"/>
  <c r="AI149"/>
  <c r="AI119"/>
  <c r="AI101"/>
  <c r="AI137"/>
  <c r="AI167"/>
  <c r="AI150"/>
  <c r="AI156"/>
  <c r="AD101"/>
  <c r="AD167"/>
  <c r="AD156"/>
  <c r="AD119"/>
  <c r="AD137"/>
  <c r="AD149"/>
  <c r="AD157"/>
  <c r="AD150"/>
  <c r="BJ156"/>
  <c r="BJ119"/>
  <c r="BJ101"/>
  <c r="BJ149"/>
  <c r="BJ167"/>
  <c r="BJ157"/>
  <c r="BJ137"/>
  <c r="BJ150"/>
  <c r="L167"/>
  <c r="L119"/>
  <c r="L149"/>
  <c r="L157"/>
  <c r="L101"/>
  <c r="L156"/>
  <c r="L137"/>
  <c r="L150"/>
  <c r="M101"/>
  <c r="M119"/>
  <c r="M149"/>
  <c r="M150"/>
  <c r="M137"/>
  <c r="M156"/>
  <c r="M157"/>
  <c r="M167"/>
  <c r="O101"/>
  <c r="O119"/>
  <c r="O137"/>
  <c r="O156"/>
  <c r="O150"/>
  <c r="O157"/>
  <c r="O167"/>
  <c r="O149"/>
  <c r="AV149"/>
  <c r="AV137"/>
  <c r="AV150"/>
  <c r="AV101"/>
  <c r="AV119"/>
  <c r="AV157"/>
  <c r="AV167"/>
  <c r="AV156"/>
  <c r="P101"/>
  <c r="P150"/>
  <c r="P137"/>
  <c r="P119"/>
  <c r="P149"/>
  <c r="P157"/>
  <c r="P167"/>
  <c r="P156"/>
  <c r="BD101"/>
  <c r="BD150"/>
  <c r="BD137"/>
  <c r="BD119"/>
  <c r="BD149"/>
  <c r="BD157"/>
  <c r="BD167"/>
  <c r="BD156"/>
  <c r="AC101"/>
  <c r="AC119"/>
  <c r="AC150"/>
  <c r="AC156"/>
  <c r="AC137"/>
  <c r="AC149"/>
  <c r="AC157"/>
  <c r="AC167"/>
  <c r="U119"/>
  <c r="U101"/>
  <c r="U156"/>
  <c r="U149"/>
  <c r="U150"/>
  <c r="U137"/>
  <c r="U157"/>
  <c r="U167"/>
  <c r="AK119"/>
  <c r="AK101"/>
  <c r="AK156"/>
  <c r="AK149"/>
  <c r="AK137"/>
  <c r="AK150"/>
  <c r="AK157"/>
  <c r="AK167"/>
  <c r="Y167"/>
  <c r="Y101"/>
  <c r="Y157"/>
  <c r="Y119"/>
  <c r="Y137"/>
  <c r="Y150"/>
  <c r="Y156"/>
  <c r="Y149"/>
  <c r="AJ119"/>
  <c r="AJ101"/>
  <c r="AJ157"/>
  <c r="AJ156"/>
  <c r="AJ149"/>
  <c r="AJ167"/>
  <c r="AJ137"/>
  <c r="AJ150"/>
  <c r="AP167"/>
  <c r="AP137"/>
  <c r="AP101"/>
  <c r="AP119"/>
  <c r="AP157"/>
  <c r="AP150"/>
  <c r="AP149"/>
  <c r="AP156"/>
  <c r="BF137"/>
  <c r="BF101"/>
  <c r="BF119"/>
  <c r="BF150"/>
  <c r="BF157"/>
  <c r="BF167"/>
  <c r="BF149"/>
  <c r="BF156"/>
  <c r="AG150"/>
  <c r="AG101"/>
  <c r="AG137"/>
  <c r="AG119"/>
  <c r="AG156"/>
  <c r="AG157"/>
  <c r="AG167"/>
  <c r="AG149"/>
  <c r="AR156"/>
  <c r="AR119"/>
  <c r="AR101"/>
  <c r="AR149"/>
  <c r="AR157"/>
  <c r="AR137"/>
  <c r="AR167"/>
  <c r="AR150"/>
  <c r="AB101"/>
  <c r="AB149"/>
  <c r="AB157"/>
  <c r="AB167"/>
  <c r="AB119"/>
  <c r="AB156"/>
  <c r="AB137"/>
  <c r="AB150"/>
  <c r="BL149"/>
  <c r="BL101"/>
  <c r="BL137"/>
  <c r="BL119"/>
  <c r="BL150"/>
  <c r="BL157"/>
  <c r="BL167"/>
  <c r="BL156"/>
  <c r="S137"/>
  <c r="S119"/>
  <c r="S101"/>
  <c r="S150"/>
  <c r="S149"/>
  <c r="S157"/>
  <c r="S167"/>
  <c r="S156"/>
  <c r="AM101"/>
  <c r="AM119"/>
  <c r="AM137"/>
  <c r="AM156"/>
  <c r="AM150"/>
  <c r="AM157"/>
  <c r="AM167"/>
  <c r="AM149"/>
  <c r="W119"/>
  <c r="W137"/>
  <c r="W156"/>
  <c r="W101"/>
  <c r="W150"/>
  <c r="W157"/>
  <c r="W167"/>
  <c r="W149"/>
  <c r="BA150"/>
  <c r="BA101"/>
  <c r="BA119"/>
  <c r="BA149"/>
  <c r="BA137"/>
  <c r="BA156"/>
  <c r="BA157"/>
  <c r="BA167"/>
  <c r="BI156"/>
  <c r="BI119"/>
  <c r="BI101"/>
  <c r="BI149"/>
  <c r="BI137"/>
  <c r="BI150"/>
  <c r="BI157"/>
  <c r="BI167"/>
  <c r="AN101"/>
  <c r="AN149"/>
  <c r="AN137"/>
  <c r="AN119"/>
  <c r="AN150"/>
  <c r="AN157"/>
  <c r="AN167"/>
  <c r="AN156"/>
  <c r="AZ101"/>
  <c r="AZ149"/>
  <c r="AZ157"/>
  <c r="AZ119"/>
  <c r="AZ167"/>
  <c r="AZ137"/>
  <c r="AZ156"/>
  <c r="AZ150"/>
  <c r="AA150"/>
  <c r="AA137"/>
  <c r="AA101"/>
  <c r="AA149"/>
  <c r="AA157"/>
  <c r="AA167"/>
  <c r="AA119"/>
  <c r="AA156"/>
  <c r="Q150"/>
  <c r="Q137"/>
  <c r="Q101"/>
  <c r="Q119"/>
  <c r="Q156"/>
  <c r="Q167"/>
  <c r="Q157"/>
  <c r="Q149"/>
  <c r="X101"/>
  <c r="X149"/>
  <c r="X119"/>
  <c r="X137"/>
  <c r="X150"/>
  <c r="X157"/>
  <c r="X167"/>
  <c r="X156"/>
  <c r="AU101"/>
  <c r="AU137"/>
  <c r="AU119"/>
  <c r="AU156"/>
  <c r="AU150"/>
  <c r="AU157"/>
  <c r="AU167"/>
  <c r="AU149"/>
  <c r="J157"/>
  <c r="J101"/>
  <c r="J119"/>
  <c r="J137"/>
  <c r="J167"/>
  <c r="J150"/>
  <c r="J149"/>
  <c r="J156"/>
  <c r="I137"/>
  <c r="I150"/>
  <c r="I156"/>
  <c r="I101"/>
  <c r="I119"/>
  <c r="I157"/>
  <c r="I167"/>
  <c r="I149"/>
  <c r="AS119"/>
  <c r="AS101"/>
  <c r="AS150"/>
  <c r="AS156"/>
  <c r="AS149"/>
  <c r="AS137"/>
  <c r="AS157"/>
  <c r="AS167"/>
  <c r="Z101"/>
  <c r="Z157"/>
  <c r="Z167"/>
  <c r="Z119"/>
  <c r="Z137"/>
  <c r="Z150"/>
  <c r="Z149"/>
  <c r="Z156"/>
  <c r="AW156"/>
  <c r="AW157"/>
  <c r="AW101"/>
  <c r="AW119"/>
  <c r="AW137"/>
  <c r="AW167"/>
  <c r="AW150"/>
  <c r="AW149"/>
  <c r="N101"/>
  <c r="N119"/>
  <c r="N157"/>
  <c r="N149"/>
  <c r="N167"/>
  <c r="N137"/>
  <c r="N156"/>
  <c r="N150"/>
  <c r="AH150"/>
  <c r="AH101"/>
  <c r="AH137"/>
  <c r="AH119"/>
  <c r="AH157"/>
  <c r="AH167"/>
  <c r="AH149"/>
  <c r="AH156"/>
  <c r="BG137"/>
  <c r="BG119"/>
  <c r="BG101"/>
  <c r="BG150"/>
  <c r="BG149"/>
  <c r="BG157"/>
  <c r="BG167"/>
  <c r="BG156"/>
  <c r="AF101"/>
  <c r="AF137"/>
  <c r="AF150"/>
  <c r="AF119"/>
  <c r="AF149"/>
  <c r="AF157"/>
  <c r="AF167"/>
  <c r="AF156"/>
  <c r="BE137"/>
  <c r="BE101"/>
  <c r="BE150"/>
  <c r="BE119"/>
  <c r="BE156"/>
  <c r="BE167"/>
  <c r="BE157"/>
  <c r="BE149"/>
  <c r="AQ137"/>
  <c r="AQ167"/>
  <c r="AQ101"/>
  <c r="AQ119"/>
  <c r="AQ150"/>
  <c r="AQ149"/>
  <c r="AQ157"/>
  <c r="AQ156"/>
  <c r="AO137"/>
  <c r="AO101"/>
  <c r="AO167"/>
  <c r="AO119"/>
  <c r="AO157"/>
  <c r="AO150"/>
  <c r="AO156"/>
  <c r="AO149"/>
  <c r="AX157"/>
  <c r="AX167"/>
  <c r="AX101"/>
  <c r="AX119"/>
  <c r="AX137"/>
  <c r="AX150"/>
  <c r="AX149"/>
  <c r="AX156"/>
  <c r="X166"/>
  <c r="U165"/>
  <c r="J164"/>
  <c r="G163"/>
  <c r="BM161"/>
  <c r="BJ160"/>
  <c r="AY159"/>
  <c r="AV158"/>
  <c r="AQ155"/>
  <c r="AN154"/>
  <c r="AK153"/>
  <c r="Z152"/>
  <c r="W151"/>
  <c r="R148"/>
  <c r="O147"/>
  <c r="L146"/>
  <c r="I145"/>
  <c r="AP166"/>
  <c r="AM165"/>
  <c r="AJ164"/>
  <c r="AG163"/>
  <c r="AD162"/>
  <c r="S161"/>
  <c r="P160"/>
  <c r="M159"/>
  <c r="BI155"/>
  <c r="AX154"/>
  <c r="AU153"/>
  <c r="AR152"/>
  <c r="AO151"/>
  <c r="AJ148"/>
  <c r="AG147"/>
  <c r="AD146"/>
  <c r="S145"/>
  <c r="BG166"/>
  <c r="BD165"/>
  <c r="BA164"/>
  <c r="AP163"/>
  <c r="AM162"/>
  <c r="AJ161"/>
  <c r="AG160"/>
  <c r="AD159"/>
  <c r="S158"/>
  <c r="N155"/>
  <c r="BL153"/>
  <c r="BI152"/>
  <c r="AX151"/>
  <c r="AS148"/>
  <c r="AH147"/>
  <c r="AE146"/>
  <c r="AB145"/>
  <c r="Y144"/>
  <c r="AJ165"/>
  <c r="BH163"/>
  <c r="R162"/>
  <c r="Z160"/>
  <c r="AT158"/>
  <c r="H155"/>
  <c r="Q153"/>
  <c r="AL151"/>
  <c r="BI147"/>
  <c r="S146"/>
  <c r="AA144"/>
  <c r="V143"/>
  <c r="K142"/>
  <c r="H141"/>
  <c r="BF139"/>
  <c r="BC138"/>
  <c r="BC136"/>
  <c r="AX135"/>
  <c r="AS134"/>
  <c r="AN133"/>
  <c r="AI132"/>
  <c r="AD131"/>
  <c r="AG130"/>
  <c r="BB166"/>
  <c r="L165"/>
  <c r="AJ163"/>
  <c r="BC161"/>
  <c r="BK159"/>
  <c r="V158"/>
  <c r="AT154"/>
  <c r="BC152"/>
  <c r="BL148"/>
  <c r="X147"/>
  <c r="AS145"/>
  <c r="BK143"/>
  <c r="BH142"/>
  <c r="BE141"/>
  <c r="BB140"/>
  <c r="AQ139"/>
  <c r="AN138"/>
  <c r="AN136"/>
  <c r="AI135"/>
  <c r="AD134"/>
  <c r="AG133"/>
  <c r="AB132"/>
  <c r="W131"/>
  <c r="R130"/>
  <c r="AD166"/>
  <c r="AM164"/>
  <c r="BG162"/>
  <c r="R161"/>
  <c r="Y159"/>
  <c r="AW155"/>
  <c r="I154"/>
  <c r="Q152"/>
  <c r="AA148"/>
  <c r="AW146"/>
  <c r="G145"/>
  <c r="AV143"/>
  <c r="AS142"/>
  <c r="AH141"/>
  <c r="AE140"/>
  <c r="AB139"/>
  <c r="Y138"/>
  <c r="Y136"/>
  <c r="T135"/>
  <c r="O134"/>
  <c r="J133"/>
  <c r="BL131"/>
  <c r="BG130"/>
  <c r="AW166"/>
  <c r="O164"/>
  <c r="AK161"/>
  <c r="BE158"/>
  <c r="M154"/>
  <c r="AK151"/>
  <c r="AY146"/>
  <c r="O144"/>
  <c r="AH142"/>
  <c r="BE140"/>
  <c r="AZ138"/>
  <c r="BK135"/>
  <c r="S134"/>
  <c r="AU132"/>
  <c r="BI130"/>
  <c r="Z129"/>
  <c r="U128"/>
  <c r="P127"/>
  <c r="K126"/>
  <c r="F125"/>
  <c r="I124"/>
  <c r="BK122"/>
  <c r="BF121"/>
  <c r="BA120"/>
  <c r="AQ118"/>
  <c r="AL117"/>
  <c r="AO116"/>
  <c r="AJ115"/>
  <c r="AE114"/>
  <c r="Z113"/>
  <c r="U112"/>
  <c r="P111"/>
  <c r="K110"/>
  <c r="AG164"/>
  <c r="BI161"/>
  <c r="R159"/>
  <c r="AK154"/>
  <c r="BI151"/>
  <c r="N147"/>
  <c r="AI144"/>
  <c r="AL142"/>
  <c r="BF140"/>
  <c r="Q139"/>
  <c r="S136"/>
  <c r="AH134"/>
  <c r="AV132"/>
  <c r="BJ130"/>
  <c r="AA129"/>
  <c r="V128"/>
  <c r="Y127"/>
  <c r="T126"/>
  <c r="O125"/>
  <c r="J124"/>
  <c r="BL122"/>
  <c r="BG121"/>
  <c r="BB120"/>
  <c r="AZ118"/>
  <c r="AU117"/>
  <c r="AP116"/>
  <c r="AI165"/>
  <c r="BI162"/>
  <c r="U160"/>
  <c r="AM155"/>
  <c r="BJ152"/>
  <c r="P148"/>
  <c r="AK145"/>
  <c r="Q143"/>
  <c r="AK141"/>
  <c r="BE139"/>
  <c r="R138"/>
  <c r="AN135"/>
  <c r="BB133"/>
  <c r="J132"/>
  <c r="X130"/>
  <c r="BK128"/>
  <c r="BF127"/>
  <c r="BA126"/>
  <c r="AV125"/>
  <c r="AQ124"/>
  <c r="AL123"/>
  <c r="AO122"/>
  <c r="AJ121"/>
  <c r="AE120"/>
  <c r="AC118"/>
  <c r="X117"/>
  <c r="G164"/>
  <c r="BB158"/>
  <c r="Y152"/>
  <c r="Z145"/>
  <c r="AD142"/>
  <c r="AG139"/>
  <c r="AT135"/>
  <c r="S133"/>
  <c r="AC130"/>
  <c r="AY128"/>
  <c r="F127"/>
  <c r="AI125"/>
  <c r="AW123"/>
  <c r="BK121"/>
  <c r="S120"/>
  <c r="AP117"/>
  <c r="H116"/>
  <c r="BA114"/>
  <c r="AM113"/>
  <c r="Y112"/>
  <c r="K111"/>
  <c r="BM109"/>
  <c r="BH108"/>
  <c r="BC107"/>
  <c r="AX106"/>
  <c r="AS105"/>
  <c r="AN104"/>
  <c r="AI103"/>
  <c r="AD102"/>
  <c r="AB100"/>
  <c r="W99"/>
  <c r="AF166"/>
  <c r="AC165"/>
  <c r="R164"/>
  <c r="O163"/>
  <c r="L162"/>
  <c r="I161"/>
  <c r="BG159"/>
  <c r="BD158"/>
  <c r="AY155"/>
  <c r="AV154"/>
  <c r="AS153"/>
  <c r="AH152"/>
  <c r="AE151"/>
  <c r="Z148"/>
  <c r="W147"/>
  <c r="T146"/>
  <c r="Q145"/>
  <c r="AX166"/>
  <c r="AU165"/>
  <c r="AR164"/>
  <c r="AO163"/>
  <c r="AL162"/>
  <c r="AA161"/>
  <c r="X160"/>
  <c r="U159"/>
  <c r="J158"/>
  <c r="BF154"/>
  <c r="BC153"/>
  <c r="AZ152"/>
  <c r="AW151"/>
  <c r="AR148"/>
  <c r="AO147"/>
  <c r="AL146"/>
  <c r="AA145"/>
  <c r="X144"/>
  <c r="BL165"/>
  <c r="BI164"/>
  <c r="AX163"/>
  <c r="AU162"/>
  <c r="AR161"/>
  <c r="AO160"/>
  <c r="AL159"/>
  <c r="AA158"/>
  <c r="V155"/>
  <c r="K154"/>
  <c r="H153"/>
  <c r="BF151"/>
  <c r="BA148"/>
  <c r="AP147"/>
  <c r="AM146"/>
  <c r="AJ145"/>
  <c r="AG144"/>
  <c r="AX165"/>
  <c r="I164"/>
  <c r="AF162"/>
  <c r="AK160"/>
  <c r="BH158"/>
  <c r="T155"/>
  <c r="AB153"/>
  <c r="AZ151"/>
  <c r="K148"/>
  <c r="AG146"/>
  <c r="AM144"/>
  <c r="AD143"/>
  <c r="S142"/>
  <c r="P141"/>
  <c r="M140"/>
  <c r="BK138"/>
  <c r="BK136"/>
  <c r="BF135"/>
  <c r="BA134"/>
  <c r="AV133"/>
  <c r="AQ132"/>
  <c r="AL131"/>
  <c r="AO130"/>
  <c r="AJ129"/>
  <c r="Z165"/>
  <c r="AV163"/>
  <c r="H162"/>
  <c r="M160"/>
  <c r="AJ158"/>
  <c r="BH154"/>
  <c r="R153"/>
  <c r="N151"/>
  <c r="AK147"/>
  <c r="BD145"/>
  <c r="J144"/>
  <c r="G143"/>
  <c r="BM141"/>
  <c r="BJ140"/>
  <c r="AY139"/>
  <c r="AV138"/>
  <c r="AV136"/>
  <c r="AQ135"/>
  <c r="AL134"/>
  <c r="AO133"/>
  <c r="AJ132"/>
  <c r="AE131"/>
  <c r="Z130"/>
  <c r="AR166"/>
  <c r="AY164"/>
  <c r="L163"/>
  <c r="AE161"/>
  <c r="AM159"/>
  <c r="BK155"/>
  <c r="V154"/>
  <c r="AE152"/>
  <c r="AN148"/>
  <c r="BI146"/>
  <c r="U145"/>
  <c r="BD143"/>
  <c r="BA142"/>
  <c r="AP141"/>
  <c r="AM140"/>
  <c r="AJ139"/>
  <c r="AG138"/>
  <c r="AG136"/>
  <c r="AB135"/>
  <c r="W134"/>
  <c r="R133"/>
  <c r="M132"/>
  <c r="H131"/>
  <c r="BJ129"/>
  <c r="AF164"/>
  <c r="BF161"/>
  <c r="Q159"/>
  <c r="AD154"/>
  <c r="BH151"/>
  <c r="H147"/>
  <c r="AH144"/>
  <c r="AV142"/>
  <c r="G141"/>
  <c r="P139"/>
  <c r="R136"/>
  <c r="AG134"/>
  <c r="BF132"/>
  <c r="Q131"/>
  <c r="AH129"/>
  <c r="AC128"/>
  <c r="X127"/>
  <c r="S126"/>
  <c r="N125"/>
  <c r="Q124"/>
  <c r="L123"/>
  <c r="G122"/>
  <c r="BI120"/>
  <c r="AY118"/>
  <c r="AT117"/>
  <c r="AW116"/>
  <c r="AR115"/>
  <c r="AM114"/>
  <c r="AH113"/>
  <c r="AC112"/>
  <c r="X111"/>
  <c r="S110"/>
  <c r="BD164"/>
  <c r="P162"/>
  <c r="AO159"/>
  <c r="BB154"/>
  <c r="S152"/>
  <c r="AF147"/>
  <c r="BF144"/>
  <c r="AW142"/>
  <c r="K141"/>
  <c r="AE139"/>
  <c r="AD136"/>
  <c r="AV134"/>
  <c r="BJ132"/>
  <c r="R131"/>
  <c r="AI129"/>
  <c r="AD128"/>
  <c r="AG127"/>
  <c r="AB126"/>
  <c r="W125"/>
  <c r="R124"/>
  <c r="M123"/>
  <c r="H122"/>
  <c r="BJ120"/>
  <c r="BH118"/>
  <c r="BC117"/>
  <c r="AX116"/>
  <c r="BF165"/>
  <c r="S163"/>
  <c r="AR160"/>
  <c r="BD155"/>
  <c r="N153"/>
  <c r="AG148"/>
  <c r="BB145"/>
  <c r="AB143"/>
  <c r="AY141"/>
  <c r="I140"/>
  <c r="AC138"/>
  <c r="BB135"/>
  <c r="J134"/>
  <c r="X132"/>
  <c r="AL130"/>
  <c r="L129"/>
  <c r="G128"/>
  <c r="BI126"/>
  <c r="BD125"/>
  <c r="AY124"/>
  <c r="AT123"/>
  <c r="AW122"/>
  <c r="AR121"/>
  <c r="AM120"/>
  <c r="AK118"/>
  <c r="AF117"/>
  <c r="AQ164"/>
  <c r="AB159"/>
  <c r="BK152"/>
  <c r="BK145"/>
  <c r="AU142"/>
  <c r="BA139"/>
  <c r="K136"/>
  <c r="AJ133"/>
  <c r="AT130"/>
  <c r="BM128"/>
  <c r="T127"/>
  <c r="AW125"/>
  <c r="BK123"/>
  <c r="R122"/>
  <c r="AG120"/>
  <c r="BA117"/>
  <c r="S116"/>
  <c r="BJ114"/>
  <c r="AV113"/>
  <c r="AH112"/>
  <c r="T111"/>
  <c r="F110"/>
  <c r="I109"/>
  <c r="BK107"/>
  <c r="BF106"/>
  <c r="BA105"/>
  <c r="AV104"/>
  <c r="AQ103"/>
  <c r="AL102"/>
  <c r="AJ100"/>
  <c r="AE99"/>
  <c r="BL166"/>
  <c r="BI165"/>
  <c r="AX164"/>
  <c r="AU163"/>
  <c r="AR162"/>
  <c r="AO161"/>
  <c r="AL160"/>
  <c r="AA159"/>
  <c r="X158"/>
  <c r="S155"/>
  <c r="P154"/>
  <c r="M153"/>
  <c r="BK151"/>
  <c r="BF148"/>
  <c r="BC147"/>
  <c r="AZ146"/>
  <c r="AW145"/>
  <c r="AT144"/>
  <c r="R166"/>
  <c r="O165"/>
  <c r="L164"/>
  <c r="I163"/>
  <c r="BG161"/>
  <c r="BD160"/>
  <c r="BA159"/>
  <c r="AP158"/>
  <c r="AK155"/>
  <c r="Z154"/>
  <c r="W153"/>
  <c r="T152"/>
  <c r="Q151"/>
  <c r="L148"/>
  <c r="I147"/>
  <c r="BG145"/>
  <c r="BD144"/>
  <c r="AI166"/>
  <c r="AF165"/>
  <c r="AC164"/>
  <c r="R163"/>
  <c r="O162"/>
  <c r="L161"/>
  <c r="I160"/>
  <c r="BG158"/>
  <c r="BB155"/>
  <c r="AQ154"/>
  <c r="AN153"/>
  <c r="AK152"/>
  <c r="Z151"/>
  <c r="U148"/>
  <c r="J147"/>
  <c r="G146"/>
  <c r="BM144"/>
  <c r="AM166"/>
  <c r="BJ164"/>
  <c r="U163"/>
  <c r="AC161"/>
  <c r="AV159"/>
  <c r="G158"/>
  <c r="AE154"/>
  <c r="AN152"/>
  <c r="BK148"/>
  <c r="V147"/>
  <c r="AP145"/>
  <c r="BJ143"/>
  <c r="AY142"/>
  <c r="AV141"/>
  <c r="AS140"/>
  <c r="AH139"/>
  <c r="AE138"/>
  <c r="AE136"/>
  <c r="Z135"/>
  <c r="U134"/>
  <c r="P133"/>
  <c r="K132"/>
  <c r="F131"/>
  <c r="I130"/>
  <c r="O166"/>
  <c r="AL164"/>
  <c r="BF162"/>
  <c r="P161"/>
  <c r="X159"/>
  <c r="AV155"/>
  <c r="G154"/>
  <c r="P152"/>
  <c r="Y148"/>
  <c r="AV146"/>
  <c r="BA144"/>
  <c r="AM143"/>
  <c r="AJ142"/>
  <c r="AG141"/>
  <c r="AD140"/>
  <c r="S139"/>
  <c r="P138"/>
  <c r="P136"/>
  <c r="K135"/>
  <c r="F134"/>
  <c r="I133"/>
  <c r="BK131"/>
  <c r="BF130"/>
  <c r="BA129"/>
  <c r="AO165"/>
  <c r="BJ163"/>
  <c r="U162"/>
  <c r="AB160"/>
  <c r="AW158"/>
  <c r="J155"/>
  <c r="AG153"/>
  <c r="AC151"/>
  <c r="AZ147"/>
  <c r="J146"/>
  <c r="AC144"/>
  <c r="X143"/>
  <c r="U142"/>
  <c r="J141"/>
  <c r="G140"/>
  <c r="BM138"/>
  <c r="BM136"/>
  <c r="BH135"/>
  <c r="BC134"/>
  <c r="AX133"/>
  <c r="AS132"/>
  <c r="AN131"/>
  <c r="AI130"/>
  <c r="BB165"/>
  <c r="N163"/>
  <c r="AJ160"/>
  <c r="AZ155"/>
  <c r="K153"/>
  <c r="AE148"/>
  <c r="AX145"/>
  <c r="AK143"/>
  <c r="BH141"/>
  <c r="R140"/>
  <c r="M138"/>
  <c r="X135"/>
  <c r="AZ133"/>
  <c r="H132"/>
  <c r="V130"/>
  <c r="BI128"/>
  <c r="BD127"/>
  <c r="AY126"/>
  <c r="AT125"/>
  <c r="AW124"/>
  <c r="AR123"/>
  <c r="AM122"/>
  <c r="AH121"/>
  <c r="AC120"/>
  <c r="S118"/>
  <c r="N117"/>
  <c r="Q116"/>
  <c r="L115"/>
  <c r="G114"/>
  <c r="BI112"/>
  <c r="BD111"/>
  <c r="AY110"/>
  <c r="L166"/>
  <c r="AL163"/>
  <c r="BH160"/>
  <c r="T158"/>
  <c r="AI153"/>
  <c r="BC148"/>
  <c r="M146"/>
  <c r="AO143"/>
  <c r="BI141"/>
  <c r="S140"/>
  <c r="AB138"/>
  <c r="AM135"/>
  <c r="BA133"/>
  <c r="I132"/>
  <c r="W130"/>
  <c r="BJ128"/>
  <c r="BM127"/>
  <c r="BH126"/>
  <c r="BC125"/>
  <c r="AX124"/>
  <c r="AS123"/>
  <c r="AN122"/>
  <c r="AI121"/>
  <c r="AD120"/>
  <c r="AB118"/>
  <c r="W117"/>
  <c r="R116"/>
  <c r="AN164"/>
  <c r="BJ161"/>
  <c r="T159"/>
  <c r="AL154"/>
  <c r="BJ151"/>
  <c r="P147"/>
  <c r="AJ144"/>
  <c r="AM142"/>
  <c r="BG140"/>
  <c r="U139"/>
  <c r="AH136"/>
  <c r="BH134"/>
  <c r="O133"/>
  <c r="AG131"/>
  <c r="AV129"/>
  <c r="AM128"/>
  <c r="AH127"/>
  <c r="AC126"/>
  <c r="X125"/>
  <c r="S124"/>
  <c r="N123"/>
  <c r="Q122"/>
  <c r="L121"/>
  <c r="G120"/>
  <c r="BL117"/>
  <c r="AT166"/>
  <c r="BL161"/>
  <c r="BM154"/>
  <c r="AQ148"/>
  <c r="G144"/>
  <c r="AC141"/>
  <c r="AI138"/>
  <c r="BM134"/>
  <c r="O132"/>
  <c r="AW129"/>
  <c r="L128"/>
  <c r="AN126"/>
  <c r="BB124"/>
  <c r="J123"/>
  <c r="X121"/>
  <c r="AU118"/>
  <c r="BI116"/>
  <c r="AN115"/>
  <c r="Z114"/>
  <c r="L113"/>
  <c r="BE111"/>
  <c r="AP110"/>
  <c r="AO109"/>
  <c r="AJ108"/>
  <c r="AE107"/>
  <c r="Z106"/>
  <c r="U105"/>
  <c r="P104"/>
  <c r="K103"/>
  <c r="F102"/>
  <c r="BK99"/>
  <c r="BA165"/>
  <c r="BK163"/>
  <c r="AB162"/>
  <c r="AT160"/>
  <c r="BL158"/>
  <c r="K155"/>
  <c r="AC153"/>
  <c r="AU151"/>
  <c r="BK147"/>
  <c r="AB146"/>
  <c r="AL144"/>
  <c r="AE165"/>
  <c r="BE163"/>
  <c r="N162"/>
  <c r="AF160"/>
  <c r="AH158"/>
  <c r="AP154"/>
  <c r="G153"/>
  <c r="Y151"/>
  <c r="AW147"/>
  <c r="AY145"/>
  <c r="AY166"/>
  <c r="P165"/>
  <c r="Z163"/>
  <c r="AZ161"/>
  <c r="BJ159"/>
  <c r="K158"/>
  <c r="AA154"/>
  <c r="AS152"/>
  <c r="BI148"/>
  <c r="BK146"/>
  <c r="T145"/>
  <c r="N166"/>
  <c r="AI163"/>
  <c r="AY160"/>
  <c r="BF155"/>
  <c r="BM152"/>
  <c r="AL148"/>
  <c r="BC145"/>
  <c r="AL143"/>
  <c r="AN141"/>
  <c r="AX139"/>
  <c r="O138"/>
  <c r="AH135"/>
  <c r="BD133"/>
  <c r="BJ131"/>
  <c r="Y130"/>
  <c r="AY165"/>
  <c r="K163"/>
  <c r="AA160"/>
  <c r="AH155"/>
  <c r="AO152"/>
  <c r="BJ147"/>
  <c r="R145"/>
  <c r="O143"/>
  <c r="Y141"/>
  <c r="AI139"/>
  <c r="BL136"/>
  <c r="S135"/>
  <c r="AW133"/>
  <c r="BC131"/>
  <c r="J130"/>
  <c r="N165"/>
  <c r="AH162"/>
  <c r="AX159"/>
  <c r="BI154"/>
  <c r="BB151"/>
  <c r="AA147"/>
  <c r="AQ144"/>
  <c r="BI142"/>
  <c r="BK140"/>
  <c r="T139"/>
  <c r="AW136"/>
  <c r="BK134"/>
  <c r="Z133"/>
  <c r="AF131"/>
  <c r="AE166"/>
  <c r="AI162"/>
  <c r="Q158"/>
  <c r="N152"/>
  <c r="AC145"/>
  <c r="W142"/>
  <c r="AO139"/>
  <c r="AL135"/>
  <c r="M133"/>
  <c r="H130"/>
  <c r="M128"/>
  <c r="AI126"/>
  <c r="BE124"/>
  <c r="T123"/>
  <c r="Z121"/>
  <c r="AI118"/>
  <c r="BM116"/>
  <c r="T115"/>
  <c r="AP113"/>
  <c r="AV111"/>
  <c r="AZ166"/>
  <c r="BD162"/>
  <c r="AO158"/>
  <c r="AL152"/>
  <c r="BA145"/>
  <c r="X142"/>
  <c r="BD139"/>
  <c r="BA135"/>
  <c r="N133"/>
  <c r="L130"/>
  <c r="N128"/>
  <c r="AR126"/>
  <c r="BF124"/>
  <c r="U123"/>
  <c r="AA121"/>
  <c r="AR118"/>
  <c r="G117"/>
  <c r="BE164"/>
  <c r="BI160"/>
  <c r="O154"/>
  <c r="BD147"/>
  <c r="BA143"/>
  <c r="L141"/>
  <c r="AQ138"/>
  <c r="AW134"/>
  <c r="BF131"/>
  <c r="AB129"/>
  <c r="AP127"/>
  <c r="BL125"/>
  <c r="K124"/>
  <c r="AG122"/>
  <c r="BC120"/>
  <c r="M118"/>
  <c r="I165"/>
  <c r="AC154"/>
  <c r="BI144"/>
  <c r="AA140"/>
  <c r="F135"/>
  <c r="K131"/>
  <c r="BG127"/>
  <c r="U125"/>
  <c r="AQ122"/>
  <c r="BF118"/>
  <c r="AC116"/>
  <c r="Q114"/>
  <c r="P112"/>
  <c r="X110"/>
  <c r="AR108"/>
  <c r="G107"/>
  <c r="M105"/>
  <c r="AA103"/>
  <c r="AZ100"/>
  <c r="G99"/>
  <c r="AR163"/>
  <c r="AO155"/>
  <c r="Q148"/>
  <c r="AX143"/>
  <c r="M141"/>
  <c r="AJ138"/>
  <c r="AQ134"/>
  <c r="AZ131"/>
  <c r="U129"/>
  <c r="AI127"/>
  <c r="AX125"/>
  <c r="BL123"/>
  <c r="S122"/>
  <c r="AH120"/>
  <c r="BE117"/>
  <c r="T116"/>
  <c r="BL114"/>
  <c r="AW113"/>
  <c r="AI112"/>
  <c r="U111"/>
  <c r="G110"/>
  <c r="BI108"/>
  <c r="BD107"/>
  <c r="AY106"/>
  <c r="AT105"/>
  <c r="AW104"/>
  <c r="AR103"/>
  <c r="AM102"/>
  <c r="AK100"/>
  <c r="AF99"/>
  <c r="M163"/>
  <c r="AD158"/>
  <c r="AU148"/>
  <c r="BE143"/>
  <c r="N141"/>
  <c r="AK138"/>
  <c r="AX134"/>
  <c r="BG131"/>
  <c r="V129"/>
  <c r="AJ127"/>
  <c r="BM125"/>
  <c r="T124"/>
  <c r="AS122"/>
  <c r="O121"/>
  <c r="AL118"/>
  <c r="BA116"/>
  <c r="AG115"/>
  <c r="AB114"/>
  <c r="N113"/>
  <c r="BG111"/>
  <c r="AS110"/>
  <c r="AI109"/>
  <c r="AD108"/>
  <c r="AG107"/>
  <c r="AB106"/>
  <c r="W105"/>
  <c r="R104"/>
  <c r="M103"/>
  <c r="H102"/>
  <c r="F100"/>
  <c r="I99"/>
  <c r="H166"/>
  <c r="Z164"/>
  <c r="AJ162"/>
  <c r="BB160"/>
  <c r="K159"/>
  <c r="AA155"/>
  <c r="BA153"/>
  <c r="BC151"/>
  <c r="J148"/>
  <c r="AJ146"/>
  <c r="BB144"/>
  <c r="BC165"/>
  <c r="BM163"/>
  <c r="V162"/>
  <c r="AN160"/>
  <c r="AX158"/>
  <c r="M155"/>
  <c r="O153"/>
  <c r="AG151"/>
  <c r="BE147"/>
  <c r="N146"/>
  <c r="AF144"/>
  <c r="X165"/>
  <c r="AH163"/>
  <c r="BH161"/>
  <c r="Q160"/>
  <c r="AI158"/>
  <c r="AI154"/>
  <c r="BA152"/>
  <c r="J151"/>
  <c r="R147"/>
  <c r="AR145"/>
  <c r="AB166"/>
  <c r="AT163"/>
  <c r="BK160"/>
  <c r="U158"/>
  <c r="AP153"/>
  <c r="AW148"/>
  <c r="H146"/>
  <c r="AT143"/>
  <c r="BD141"/>
  <c r="U140"/>
  <c r="W138"/>
  <c r="AP135"/>
  <c r="BL133"/>
  <c r="S132"/>
  <c r="AW130"/>
  <c r="BM165"/>
  <c r="V163"/>
  <c r="AM160"/>
  <c r="BH155"/>
  <c r="AD153"/>
  <c r="N148"/>
  <c r="AE145"/>
  <c r="W143"/>
  <c r="AO141"/>
  <c r="BG139"/>
  <c r="H138"/>
  <c r="AA135"/>
  <c r="BE133"/>
  <c r="L132"/>
  <c r="AH130"/>
  <c r="AA165"/>
  <c r="AV162"/>
  <c r="BL159"/>
  <c r="X155"/>
  <c r="AQ152"/>
  <c r="AL147"/>
  <c r="BC144"/>
  <c r="H143"/>
  <c r="R141"/>
  <c r="AR139"/>
  <c r="BE136"/>
  <c r="L135"/>
  <c r="AH133"/>
  <c r="AV131"/>
  <c r="K130"/>
  <c r="BA162"/>
  <c r="AM158"/>
  <c r="AI152"/>
  <c r="K146"/>
  <c r="BJ142"/>
  <c r="BC139"/>
  <c r="AW135"/>
  <c r="AA133"/>
  <c r="AJ130"/>
  <c r="AK128"/>
  <c r="AQ126"/>
  <c r="BM124"/>
  <c r="AB123"/>
  <c r="AP121"/>
  <c r="BG118"/>
  <c r="F117"/>
  <c r="AB115"/>
  <c r="AX113"/>
  <c r="BL111"/>
  <c r="AA110"/>
  <c r="P163"/>
  <c r="BK158"/>
  <c r="BG152"/>
  <c r="AF146"/>
  <c r="BK142"/>
  <c r="H140"/>
  <c r="BL135"/>
  <c r="AB133"/>
  <c r="AK130"/>
  <c r="AL128"/>
  <c r="AZ126"/>
  <c r="G125"/>
  <c r="AC123"/>
  <c r="AQ121"/>
  <c r="F120"/>
  <c r="O117"/>
  <c r="R165"/>
  <c r="V161"/>
  <c r="BC154"/>
  <c r="BD148"/>
  <c r="T144"/>
  <c r="W141"/>
  <c r="BB138"/>
  <c r="O135"/>
  <c r="AL132"/>
  <c r="AL129"/>
  <c r="AX127"/>
  <c r="M126"/>
  <c r="AA124"/>
  <c r="BE122"/>
  <c r="BK120"/>
  <c r="U118"/>
  <c r="AR165"/>
  <c r="AN155"/>
  <c r="AN146"/>
  <c r="AX140"/>
  <c r="W135"/>
  <c r="AH131"/>
  <c r="Z128"/>
  <c r="BH125"/>
  <c r="BB122"/>
  <c r="H120"/>
  <c r="AM116"/>
  <c r="AI114"/>
  <c r="AQ112"/>
  <c r="AG110"/>
  <c r="AZ108"/>
  <c r="O107"/>
  <c r="AC105"/>
  <c r="AY103"/>
  <c r="BH100"/>
  <c r="O99"/>
  <c r="H164"/>
  <c r="AC158"/>
  <c r="AT148"/>
  <c r="H144"/>
  <c r="AD141"/>
  <c r="BG138"/>
  <c r="G135"/>
  <c r="P132"/>
  <c r="AF129"/>
  <c r="AT127"/>
  <c r="BI125"/>
  <c r="P124"/>
  <c r="AD122"/>
  <c r="AV120"/>
  <c r="I118"/>
  <c r="AD116"/>
  <c r="N115"/>
  <c r="BG113"/>
  <c r="AR112"/>
  <c r="AD111"/>
  <c r="P110"/>
  <c r="J109"/>
  <c r="BL107"/>
  <c r="BG106"/>
  <c r="BB105"/>
  <c r="BE104"/>
  <c r="AZ103"/>
  <c r="AU102"/>
  <c r="AS100"/>
  <c r="AN99"/>
  <c r="AS163"/>
  <c r="AF159"/>
  <c r="AI151"/>
  <c r="L144"/>
  <c r="AE141"/>
  <c r="BH138"/>
  <c r="H135"/>
  <c r="Q132"/>
  <c r="AG129"/>
  <c r="AU127"/>
  <c r="F126"/>
  <c r="AE124"/>
  <c r="BG122"/>
  <c r="AC121"/>
  <c r="AW118"/>
  <c r="BK116"/>
  <c r="AP115"/>
  <c r="AK114"/>
  <c r="W113"/>
  <c r="I112"/>
  <c r="BB110"/>
  <c r="AQ109"/>
  <c r="AL108"/>
  <c r="AO107"/>
  <c r="AJ106"/>
  <c r="AE105"/>
  <c r="Z104"/>
  <c r="U103"/>
  <c r="P102"/>
  <c r="N100"/>
  <c r="Q99"/>
  <c r="AN166"/>
  <c r="AP164"/>
  <c r="BH162"/>
  <c r="Y161"/>
  <c r="AI159"/>
  <c r="BG155"/>
  <c r="H154"/>
  <c r="R152"/>
  <c r="AP148"/>
  <c r="BH146"/>
  <c r="Y145"/>
  <c r="J166"/>
  <c r="AB164"/>
  <c r="BB162"/>
  <c r="BL160"/>
  <c r="AC159"/>
  <c r="AC155"/>
  <c r="AM153"/>
  <c r="BM151"/>
  <c r="T148"/>
  <c r="AT146"/>
  <c r="AV144"/>
  <c r="AV165"/>
  <c r="M164"/>
  <c r="W162"/>
  <c r="AW160"/>
  <c r="AY158"/>
  <c r="BG154"/>
  <c r="X153"/>
  <c r="AH151"/>
  <c r="AX147"/>
  <c r="BH145"/>
  <c r="BM166"/>
  <c r="AI164"/>
  <c r="AN161"/>
  <c r="I159"/>
  <c r="T154"/>
  <c r="AA151"/>
  <c r="BF146"/>
  <c r="I144"/>
  <c r="AA142"/>
  <c r="AK140"/>
  <c r="AU138"/>
  <c r="O136"/>
  <c r="AC134"/>
  <c r="AY132"/>
  <c r="BM130"/>
  <c r="AO166"/>
  <c r="K164"/>
  <c r="AD161"/>
  <c r="AU158"/>
  <c r="BE153"/>
  <c r="AY148"/>
  <c r="U146"/>
  <c r="AU143"/>
  <c r="L142"/>
  <c r="V140"/>
  <c r="AF138"/>
  <c r="BG135"/>
  <c r="N134"/>
  <c r="AR132"/>
  <c r="AX130"/>
  <c r="Q166"/>
  <c r="AK163"/>
  <c r="AP160"/>
  <c r="L158"/>
  <c r="S153"/>
  <c r="O148"/>
  <c r="AT145"/>
  <c r="AF143"/>
  <c r="AX141"/>
  <c r="BH139"/>
  <c r="Q138"/>
  <c r="AR135"/>
  <c r="BF133"/>
  <c r="U132"/>
  <c r="AA130"/>
  <c r="BB163"/>
  <c r="BE159"/>
  <c r="AH153"/>
  <c r="AD147"/>
  <c r="Z143"/>
  <c r="AQ140"/>
  <c r="AQ136"/>
  <c r="BK133"/>
  <c r="AB131"/>
  <c r="BA128"/>
  <c r="H127"/>
  <c r="AD125"/>
  <c r="AZ123"/>
  <c r="O122"/>
  <c r="U120"/>
  <c r="AD117"/>
  <c r="BH115"/>
  <c r="O114"/>
  <c r="AK112"/>
  <c r="AQ110"/>
  <c r="P164"/>
  <c r="T160"/>
  <c r="AZ153"/>
  <c r="BB147"/>
  <c r="AA143"/>
  <c r="AR140"/>
  <c r="BF136"/>
  <c r="I134"/>
  <c r="AC131"/>
  <c r="BB128"/>
  <c r="Q127"/>
  <c r="AM125"/>
  <c r="BA123"/>
  <c r="P122"/>
  <c r="V120"/>
  <c r="AM117"/>
  <c r="AJ166"/>
  <c r="Q162"/>
  <c r="Y158"/>
  <c r="AS151"/>
  <c r="N145"/>
  <c r="N142"/>
  <c r="AF139"/>
  <c r="BM135"/>
  <c r="BK132"/>
  <c r="M130"/>
  <c r="W128"/>
  <c r="AK126"/>
  <c r="BG124"/>
  <c r="F123"/>
  <c r="AB121"/>
  <c r="BA118"/>
  <c r="H117"/>
  <c r="BD159"/>
  <c r="G148"/>
  <c r="G142"/>
  <c r="AY136"/>
  <c r="AF132"/>
  <c r="F129"/>
  <c r="Z126"/>
  <c r="AI123"/>
  <c r="BF120"/>
  <c r="Q117"/>
  <c r="M115"/>
  <c r="BJ112"/>
  <c r="BI110"/>
  <c r="Y109"/>
  <c r="AM107"/>
  <c r="BI105"/>
  <c r="H104"/>
  <c r="V102"/>
  <c r="AU99"/>
  <c r="S165"/>
  <c r="AE159"/>
  <c r="AF152"/>
  <c r="BK144"/>
  <c r="H142"/>
  <c r="AK139"/>
  <c r="AU135"/>
  <c r="BD132"/>
  <c r="G130"/>
  <c r="P128"/>
  <c r="AD126"/>
  <c r="AR124"/>
  <c r="BF122"/>
  <c r="N121"/>
  <c r="AH118"/>
  <c r="AZ116"/>
  <c r="AF115"/>
  <c r="R114"/>
  <c r="BK112"/>
  <c r="AW111"/>
  <c r="AH110"/>
  <c r="Z109"/>
  <c r="U108"/>
  <c r="P107"/>
  <c r="K106"/>
  <c r="F105"/>
  <c r="I104"/>
  <c r="BK102"/>
  <c r="BI100"/>
  <c r="BD99"/>
  <c r="AU164"/>
  <c r="AI160"/>
  <c r="AG152"/>
  <c r="AM145"/>
  <c r="O142"/>
  <c r="AL139"/>
  <c r="AV135"/>
  <c r="BE132"/>
  <c r="N130"/>
  <c r="Q128"/>
  <c r="AE126"/>
  <c r="BD124"/>
  <c r="Z123"/>
  <c r="BB121"/>
  <c r="J120"/>
  <c r="AG117"/>
  <c r="BI115"/>
  <c r="BD114"/>
  <c r="AO113"/>
  <c r="AA112"/>
  <c r="M111"/>
  <c r="BG109"/>
  <c r="BB108"/>
  <c r="BE107"/>
  <c r="AZ106"/>
  <c r="AU105"/>
  <c r="AP104"/>
  <c r="AK103"/>
  <c r="AF102"/>
  <c r="AD100"/>
  <c r="AG99"/>
  <c r="M165"/>
  <c r="T162"/>
  <c r="AQ159"/>
  <c r="BD154"/>
  <c r="J152"/>
  <c r="AE147"/>
  <c r="AD144"/>
  <c r="AZ164"/>
  <c r="AQ161"/>
  <c r="BF158"/>
  <c r="J154"/>
  <c r="I151"/>
  <c r="BB146"/>
  <c r="AA166"/>
  <c r="BF163"/>
  <c r="BM160"/>
  <c r="BJ155"/>
  <c r="AF153"/>
  <c r="AC148"/>
  <c r="AZ145"/>
  <c r="K165"/>
  <c r="L160"/>
  <c r="AS154"/>
  <c r="AV147"/>
  <c r="BB143"/>
  <c r="BI140"/>
  <c r="G138"/>
  <c r="AK134"/>
  <c r="AT131"/>
  <c r="AC166"/>
  <c r="S162"/>
  <c r="W155"/>
  <c r="AB151"/>
  <c r="AB144"/>
  <c r="AW141"/>
  <c r="BL138"/>
  <c r="BJ134"/>
  <c r="AZ132"/>
  <c r="AS129"/>
  <c r="X163"/>
  <c r="AK158"/>
  <c r="AQ151"/>
  <c r="BF145"/>
  <c r="AC142"/>
  <c r="AZ139"/>
  <c r="I136"/>
  <c r="BI132"/>
  <c r="AQ130"/>
  <c r="N161"/>
  <c r="BE152"/>
  <c r="BM143"/>
  <c r="AD139"/>
  <c r="H134"/>
  <c r="AT129"/>
  <c r="BG126"/>
  <c r="Y124"/>
  <c r="R121"/>
  <c r="BB117"/>
  <c r="BC114"/>
  <c r="M112"/>
  <c r="AH165"/>
  <c r="BC155"/>
  <c r="I148"/>
  <c r="AU141"/>
  <c r="AR136"/>
  <c r="BE131"/>
  <c r="F128"/>
  <c r="AU125"/>
  <c r="AV122"/>
  <c r="N120"/>
  <c r="Z116"/>
  <c r="BM159"/>
  <c r="V152"/>
  <c r="BL142"/>
  <c r="G139"/>
  <c r="AQ133"/>
  <c r="T129"/>
  <c r="AS126"/>
  <c r="BB123"/>
  <c r="T121"/>
  <c r="AN117"/>
  <c r="BJ153"/>
  <c r="I143"/>
  <c r="Y134"/>
  <c r="AN128"/>
  <c r="AC124"/>
  <c r="AG118"/>
  <c r="V115"/>
  <c r="AU111"/>
  <c r="Q109"/>
  <c r="R106"/>
  <c r="S103"/>
  <c r="BC99"/>
  <c r="AT165"/>
  <c r="BM153"/>
  <c r="AE144"/>
  <c r="K140"/>
  <c r="Z134"/>
  <c r="AD130"/>
  <c r="G127"/>
  <c r="AD124"/>
  <c r="AM121"/>
  <c r="AQ117"/>
  <c r="AO115"/>
  <c r="AE113"/>
  <c r="AM111"/>
  <c r="AP109"/>
  <c r="AV107"/>
  <c r="S106"/>
  <c r="AG104"/>
  <c r="BC102"/>
  <c r="M100"/>
  <c r="T165"/>
  <c r="G155"/>
  <c r="AK144"/>
  <c r="L140"/>
  <c r="AA134"/>
  <c r="AE130"/>
  <c r="K127"/>
  <c r="AS124"/>
  <c r="F122"/>
  <c r="X118"/>
  <c r="K116"/>
  <c r="J114"/>
  <c r="R112"/>
  <c r="Q110"/>
  <c r="V108"/>
  <c r="BH106"/>
  <c r="G105"/>
  <c r="AC103"/>
  <c r="AT100"/>
  <c r="AB163"/>
  <c r="AR154"/>
  <c r="BI145"/>
  <c r="O141"/>
  <c r="Q135"/>
  <c r="T131"/>
  <c r="AR127"/>
  <c r="AZ124"/>
  <c r="V122"/>
  <c r="Z118"/>
  <c r="L116"/>
  <c r="K114"/>
  <c r="K112"/>
  <c r="L110"/>
  <c r="Y108"/>
  <c r="AM106"/>
  <c r="BA104"/>
  <c r="I103"/>
  <c r="R100"/>
  <c r="AX162"/>
  <c r="BH153"/>
  <c r="O145"/>
  <c r="AP140"/>
  <c r="BD135"/>
  <c r="U131"/>
  <c r="J128"/>
  <c r="R125"/>
  <c r="Z122"/>
  <c r="AD118"/>
  <c r="M116"/>
  <c r="L114"/>
  <c r="L112"/>
  <c r="M110"/>
  <c r="AN108"/>
  <c r="BM106"/>
  <c r="X105"/>
  <c r="AL103"/>
  <c r="AU100"/>
  <c r="BI98"/>
  <c r="AK165"/>
  <c r="AZ162"/>
  <c r="N160"/>
  <c r="BL154"/>
  <c r="AP152"/>
  <c r="AM147"/>
  <c r="BJ144"/>
  <c r="BH164"/>
  <c r="AY161"/>
  <c r="AK159"/>
  <c r="R154"/>
  <c r="BE151"/>
  <c r="BJ146"/>
  <c r="AQ166"/>
  <c r="U164"/>
  <c r="T161"/>
  <c r="AQ158"/>
  <c r="AV153"/>
  <c r="AK148"/>
  <c r="O146"/>
  <c r="Y165"/>
  <c r="O161"/>
  <c r="BE154"/>
  <c r="X148"/>
  <c r="Q144"/>
  <c r="X141"/>
  <c r="AM138"/>
  <c r="BI134"/>
  <c r="BB131"/>
  <c r="AR129"/>
  <c r="AG162"/>
  <c r="I158"/>
  <c r="AN151"/>
  <c r="AP144"/>
  <c r="T142"/>
  <c r="K139"/>
  <c r="AY135"/>
  <c r="BH132"/>
  <c r="BI129"/>
  <c r="AY163"/>
  <c r="BJ158"/>
  <c r="BD152"/>
  <c r="X146"/>
  <c r="AK142"/>
  <c r="O140"/>
  <c r="Q136"/>
  <c r="AP133"/>
  <c r="AY130"/>
  <c r="M162"/>
  <c r="AY153"/>
  <c r="AY144"/>
  <c r="AF140"/>
  <c r="AR134"/>
  <c r="BD129"/>
  <c r="AF127"/>
  <c r="AG124"/>
  <c r="AX121"/>
  <c r="BJ117"/>
  <c r="BK114"/>
  <c r="AS112"/>
  <c r="BE165"/>
  <c r="BF159"/>
  <c r="AF148"/>
  <c r="J142"/>
  <c r="N138"/>
  <c r="W132"/>
  <c r="AT128"/>
  <c r="BK125"/>
  <c r="BD122"/>
  <c r="AL120"/>
  <c r="AH116"/>
  <c r="AM161"/>
  <c r="AM152"/>
  <c r="AP143"/>
  <c r="AT139"/>
  <c r="X134"/>
  <c r="BF129"/>
  <c r="J127"/>
  <c r="BJ123"/>
  <c r="AZ121"/>
  <c r="AV117"/>
  <c r="AB158"/>
  <c r="AC143"/>
  <c r="AP134"/>
  <c r="Q129"/>
  <c r="AN124"/>
  <c r="AR120"/>
  <c r="AE115"/>
  <c r="G112"/>
  <c r="AG109"/>
  <c r="AH106"/>
  <c r="BG103"/>
  <c r="L100"/>
  <c r="U166"/>
  <c r="AM154"/>
  <c r="AL145"/>
  <c r="AB140"/>
  <c r="AD135"/>
  <c r="BA130"/>
  <c r="U127"/>
  <c r="BC124"/>
  <c r="BA121"/>
  <c r="W118"/>
  <c r="AX115"/>
  <c r="AN113"/>
  <c r="BF111"/>
  <c r="AX109"/>
  <c r="M108"/>
  <c r="AA106"/>
  <c r="AO104"/>
  <c r="L103"/>
  <c r="U100"/>
  <c r="AW165"/>
  <c r="AP155"/>
  <c r="AP146"/>
  <c r="AI140"/>
  <c r="AE135"/>
  <c r="BB130"/>
  <c r="V127"/>
  <c r="L125"/>
  <c r="T122"/>
  <c r="BK118"/>
  <c r="U116"/>
  <c r="S114"/>
  <c r="AJ112"/>
  <c r="Z110"/>
  <c r="AT108"/>
  <c r="I107"/>
  <c r="O105"/>
  <c r="AS103"/>
  <c r="BB100"/>
  <c r="Y99"/>
  <c r="V164"/>
  <c r="Y155"/>
  <c r="AQ146"/>
  <c r="AR141"/>
  <c r="BC135"/>
  <c r="AW131"/>
  <c r="I128"/>
  <c r="Q125"/>
  <c r="AP122"/>
  <c r="AT118"/>
  <c r="AA116"/>
  <c r="X114"/>
  <c r="X112"/>
  <c r="AB110"/>
  <c r="AM108"/>
  <c r="BA106"/>
  <c r="I105"/>
  <c r="W103"/>
  <c r="AF100"/>
  <c r="AC163"/>
  <c r="AW154"/>
  <c r="BJ145"/>
  <c r="S141"/>
  <c r="AA136"/>
  <c r="AX131"/>
  <c r="AG128"/>
  <c r="AO125"/>
  <c r="AT122"/>
  <c r="AX118"/>
  <c r="AB116"/>
  <c r="Y114"/>
  <c r="AB112"/>
  <c r="AC110"/>
  <c r="AY108"/>
  <c r="F107"/>
  <c r="AI105"/>
  <c r="AW103"/>
  <c r="BF100"/>
  <c r="M99"/>
  <c r="BD166"/>
  <c r="BC163"/>
  <c r="AG161"/>
  <c r="AF158"/>
  <c r="BI153"/>
  <c r="G151"/>
  <c r="BM145"/>
  <c r="Z166"/>
  <c r="Y163"/>
  <c r="AV160"/>
  <c r="BA155"/>
  <c r="BH152"/>
  <c r="AB148"/>
  <c r="AI145"/>
  <c r="AN165"/>
  <c r="BC162"/>
  <c r="BB159"/>
  <c r="AD155"/>
  <c r="U152"/>
  <c r="Z147"/>
  <c r="AW144"/>
  <c r="H163"/>
  <c r="W159"/>
  <c r="AA152"/>
  <c r="AS146"/>
  <c r="AQ142"/>
  <c r="AP139"/>
  <c r="W136"/>
  <c r="X133"/>
  <c r="BE130"/>
  <c r="AW164"/>
  <c r="AW159"/>
  <c r="U154"/>
  <c r="L147"/>
  <c r="AE143"/>
  <c r="AT140"/>
  <c r="BD136"/>
  <c r="V134"/>
  <c r="AM131"/>
  <c r="AZ165"/>
  <c r="AS161"/>
  <c r="AU154"/>
  <c r="BB148"/>
  <c r="K144"/>
  <c r="Z141"/>
  <c r="AW138"/>
  <c r="AU134"/>
  <c r="AC132"/>
  <c r="AG165"/>
  <c r="AN159"/>
  <c r="H148"/>
  <c r="I142"/>
  <c r="BB136"/>
  <c r="V132"/>
  <c r="AS128"/>
  <c r="BB125"/>
  <c r="BC122"/>
  <c r="AK120"/>
  <c r="AG116"/>
  <c r="BF113"/>
  <c r="H111"/>
  <c r="AK162"/>
  <c r="N154"/>
  <c r="M145"/>
  <c r="AG140"/>
  <c r="BG134"/>
  <c r="BE129"/>
  <c r="AO127"/>
  <c r="AH124"/>
  <c r="AY121"/>
  <c r="L118"/>
  <c r="Q164"/>
  <c r="AR158"/>
  <c r="BD146"/>
  <c r="BJ141"/>
  <c r="T136"/>
  <c r="AR131"/>
  <c r="AE128"/>
  <c r="AF125"/>
  <c r="BM122"/>
  <c r="O120"/>
  <c r="AQ163"/>
  <c r="AD151"/>
  <c r="M139"/>
  <c r="AY131"/>
  <c r="BM126"/>
  <c r="AC122"/>
  <c r="AB117"/>
  <c r="BE113"/>
  <c r="AZ110"/>
  <c r="L108"/>
  <c r="BL104"/>
  <c r="AT102"/>
  <c r="AH161"/>
  <c r="AF151"/>
  <c r="BB142"/>
  <c r="S138"/>
  <c r="T133"/>
  <c r="AZ128"/>
  <c r="P126"/>
  <c r="Y123"/>
  <c r="T120"/>
  <c r="BJ116"/>
  <c r="AS114"/>
  <c r="BB112"/>
  <c r="BA110"/>
  <c r="BA108"/>
  <c r="X107"/>
  <c r="AD105"/>
  <c r="BH103"/>
  <c r="O102"/>
  <c r="X99"/>
  <c r="J162"/>
  <c r="G152"/>
  <c r="BC142"/>
  <c r="T138"/>
  <c r="U133"/>
  <c r="BD128"/>
  <c r="Q126"/>
  <c r="AY123"/>
  <c r="BH120"/>
  <c r="AR117"/>
  <c r="O115"/>
  <c r="AF113"/>
  <c r="AE111"/>
  <c r="AA109"/>
  <c r="BM107"/>
  <c r="L106"/>
  <c r="AH104"/>
  <c r="AV102"/>
  <c r="BM99"/>
  <c r="J161"/>
  <c r="W152"/>
  <c r="BF143"/>
  <c r="H139"/>
  <c r="BJ133"/>
  <c r="AM129"/>
  <c r="AM126"/>
  <c r="AU123"/>
  <c r="Q121"/>
  <c r="AS117"/>
  <c r="Z115"/>
  <c r="Y113"/>
  <c r="Z111"/>
  <c r="AD109"/>
  <c r="AR107"/>
  <c r="BG105"/>
  <c r="N104"/>
  <c r="AC102"/>
  <c r="AY99"/>
  <c r="AC160"/>
  <c r="AV151"/>
  <c r="U143"/>
  <c r="I139"/>
  <c r="L134"/>
  <c r="BL129"/>
  <c r="BK126"/>
  <c r="M124"/>
  <c r="U121"/>
  <c r="Z117"/>
  <c r="AA115"/>
  <c r="AA113"/>
  <c r="AA111"/>
  <c r="AE109"/>
  <c r="BG107"/>
  <c r="AC106"/>
  <c r="AQ104"/>
  <c r="BF102"/>
  <c r="H100"/>
  <c r="BF164"/>
  <c r="BE161"/>
  <c r="S159"/>
  <c r="AF154"/>
  <c r="AM151"/>
  <c r="G147"/>
  <c r="BF166"/>
  <c r="T164"/>
  <c r="AI161"/>
  <c r="Z158"/>
  <c r="BK153"/>
  <c r="BH148"/>
  <c r="V146"/>
  <c r="S166"/>
  <c r="J163"/>
  <c r="BE160"/>
  <c r="AT155"/>
  <c r="P153"/>
  <c r="M148"/>
  <c r="L145"/>
  <c r="AV164"/>
  <c r="BH159"/>
  <c r="BB153"/>
  <c r="AJ147"/>
  <c r="N143"/>
  <c r="BA140"/>
  <c r="AU136"/>
  <c r="M134"/>
  <c r="V131"/>
  <c r="AL165"/>
  <c r="AP161"/>
  <c r="I155"/>
  <c r="AM148"/>
  <c r="R144"/>
  <c r="Q141"/>
  <c r="BD138"/>
  <c r="BB134"/>
  <c r="T132"/>
  <c r="AK129"/>
  <c r="I162"/>
  <c r="W158"/>
  <c r="P151"/>
  <c r="AF145"/>
  <c r="M142"/>
  <c r="L139"/>
  <c r="AZ135"/>
  <c r="BA132"/>
  <c r="S130"/>
  <c r="BG160"/>
  <c r="T151"/>
  <c r="AY143"/>
  <c r="AL138"/>
  <c r="AL133"/>
  <c r="R129"/>
  <c r="AA126"/>
  <c r="BH123"/>
  <c r="J121"/>
  <c r="V117"/>
  <c r="AU114"/>
  <c r="AN111"/>
  <c r="Q165"/>
  <c r="AF155"/>
  <c r="BA146"/>
  <c r="AJ141"/>
  <c r="Y135"/>
  <c r="AQ131"/>
  <c r="BE127"/>
  <c r="AE125"/>
  <c r="AF122"/>
  <c r="AJ118"/>
  <c r="BE166"/>
  <c r="AP159"/>
  <c r="V151"/>
  <c r="AX142"/>
  <c r="BG136"/>
  <c r="AC133"/>
  <c r="BC128"/>
  <c r="U126"/>
  <c r="AD123"/>
  <c r="AU120"/>
  <c r="P117"/>
  <c r="Z153"/>
  <c r="AZ141"/>
  <c r="BG133"/>
  <c r="AS127"/>
  <c r="O124"/>
  <c r="V118"/>
  <c r="AR114"/>
  <c r="AL111"/>
  <c r="AB108"/>
  <c r="J106"/>
  <c r="BJ102"/>
  <c r="AM99"/>
  <c r="AT164"/>
  <c r="AA153"/>
  <c r="AG143"/>
  <c r="BB139"/>
  <c r="BH133"/>
  <c r="AX129"/>
  <c r="BC126"/>
  <c r="AX123"/>
  <c r="Y121"/>
  <c r="AC117"/>
  <c r="W115"/>
  <c r="V113"/>
  <c r="L111"/>
  <c r="AH109"/>
  <c r="AN107"/>
  <c r="BJ105"/>
  <c r="Y104"/>
  <c r="AE102"/>
  <c r="BL99"/>
  <c r="S164"/>
  <c r="AO154"/>
  <c r="AH143"/>
  <c r="BI139"/>
  <c r="BI133"/>
  <c r="AY129"/>
  <c r="BD126"/>
  <c r="F124"/>
  <c r="BM121"/>
  <c r="J118"/>
  <c r="AY115"/>
  <c r="BH113"/>
  <c r="AX111"/>
  <c r="H110"/>
  <c r="N108"/>
  <c r="AR106"/>
  <c r="BF104"/>
  <c r="BL102"/>
  <c r="AL100"/>
  <c r="AW162"/>
  <c r="AX153"/>
  <c r="H145"/>
  <c r="AO140"/>
  <c r="AN134"/>
  <c r="AN130"/>
  <c r="AA127"/>
  <c r="AF124"/>
  <c r="BE121"/>
  <c r="F118"/>
  <c r="BC115"/>
  <c r="BB113"/>
  <c r="BB111"/>
  <c r="BC109"/>
  <c r="K108"/>
  <c r="Y106"/>
  <c r="AM104"/>
  <c r="BE102"/>
  <c r="G100"/>
  <c r="BK161"/>
  <c r="J153"/>
  <c r="W144"/>
  <c r="P140"/>
  <c r="U135"/>
  <c r="AR130"/>
  <c r="AY127"/>
  <c r="BA124"/>
  <c r="BI121"/>
  <c r="G118"/>
  <c r="BD115"/>
  <c r="BC113"/>
  <c r="BC111"/>
  <c r="BD109"/>
  <c r="Z108"/>
  <c r="BB106"/>
  <c r="J105"/>
  <c r="X103"/>
  <c r="AG100"/>
  <c r="W163"/>
  <c r="AI155"/>
  <c r="AU147"/>
  <c r="G165"/>
  <c r="AS159"/>
  <c r="L152"/>
  <c r="AN144"/>
  <c r="AB161"/>
  <c r="BD153"/>
  <c r="W146"/>
  <c r="BB161"/>
  <c r="M151"/>
  <c r="AF141"/>
  <c r="J135"/>
  <c r="AZ129"/>
  <c r="BI158"/>
  <c r="I146"/>
  <c r="AA139"/>
  <c r="Q133"/>
  <c r="N164"/>
  <c r="AR153"/>
  <c r="P143"/>
  <c r="AO136"/>
  <c r="P131"/>
  <c r="BA154"/>
  <c r="U141"/>
  <c r="AU130"/>
  <c r="AO124"/>
  <c r="K118"/>
  <c r="BA112"/>
  <c r="AQ160"/>
  <c r="M143"/>
  <c r="AH132"/>
  <c r="L126"/>
  <c r="AT120"/>
  <c r="AN162"/>
  <c r="BG144"/>
  <c r="AI134"/>
  <c r="R127"/>
  <c r="BH121"/>
  <c r="AE160"/>
  <c r="AB136"/>
  <c r="J125"/>
  <c r="AW115"/>
  <c r="AW109"/>
  <c r="X104"/>
  <c r="AU166"/>
  <c r="BL145"/>
  <c r="L136"/>
  <c r="BH127"/>
  <c r="BL121"/>
  <c r="BG115"/>
  <c r="H112"/>
  <c r="AC108"/>
  <c r="BM104"/>
  <c r="AC100"/>
  <c r="V166"/>
  <c r="S147"/>
  <c r="M136"/>
  <c r="BI127"/>
  <c r="AH122"/>
  <c r="AE116"/>
  <c r="AT112"/>
  <c r="BJ108"/>
  <c r="AM105"/>
  <c r="BJ100"/>
  <c r="BA158"/>
  <c r="Q142"/>
  <c r="Y132"/>
  <c r="AH125"/>
  <c r="P120"/>
  <c r="AN114"/>
  <c r="AN110"/>
  <c r="BL106"/>
  <c r="AH103"/>
  <c r="L99"/>
  <c r="AA164"/>
  <c r="AX146"/>
  <c r="BJ136"/>
  <c r="AX128"/>
  <c r="H123"/>
  <c r="AT116"/>
  <c r="AO112"/>
  <c r="BM108"/>
  <c r="AW105"/>
  <c r="S102"/>
  <c r="V165"/>
  <c r="N158"/>
  <c r="AN147"/>
  <c r="BC141"/>
  <c r="AK136"/>
  <c r="AD132"/>
  <c r="AH128"/>
  <c r="G126"/>
  <c r="AF123"/>
  <c r="BL120"/>
  <c r="J117"/>
  <c r="BF114"/>
  <c r="BF112"/>
  <c r="BF110"/>
  <c r="G109"/>
  <c r="U107"/>
  <c r="AJ105"/>
  <c r="AX103"/>
  <c r="I102"/>
  <c r="AB99"/>
  <c r="AW153"/>
  <c r="S143"/>
  <c r="AK135"/>
  <c r="BL128"/>
  <c r="W124"/>
  <c r="BL118"/>
  <c r="G115"/>
  <c r="AM112"/>
  <c r="BA109"/>
  <c r="BI106"/>
  <c r="L104"/>
  <c r="AN100"/>
  <c r="AW152"/>
  <c r="AN142"/>
  <c r="AZ134"/>
  <c r="BJ127"/>
  <c r="R123"/>
  <c r="AM118"/>
  <c r="AQ114"/>
  <c r="AH111"/>
  <c r="AF108"/>
  <c r="AO105"/>
  <c r="AY102"/>
  <c r="R99"/>
  <c r="O159"/>
  <c r="U144"/>
  <c r="AS135"/>
  <c r="AQ128"/>
  <c r="AB124"/>
  <c r="AN118"/>
  <c r="AV114"/>
  <c r="AI111"/>
  <c r="AG108"/>
  <c r="F106"/>
  <c r="AG103"/>
  <c r="BG99"/>
  <c r="AO164"/>
  <c r="BK139"/>
  <c r="AL127"/>
  <c r="AP118"/>
  <c r="X113"/>
  <c r="AC109"/>
  <c r="AA105"/>
  <c r="AD99"/>
  <c r="P159"/>
  <c r="AA141"/>
  <c r="AP129"/>
  <c r="AT121"/>
  <c r="F114"/>
  <c r="AM109"/>
  <c r="AY104"/>
  <c r="BL98"/>
  <c r="AB165"/>
  <c r="Q146"/>
  <c r="AK131"/>
  <c r="BG123"/>
  <c r="X116"/>
  <c r="BH110"/>
  <c r="M106"/>
  <c r="BC100"/>
  <c r="AE163"/>
  <c r="H158"/>
  <c r="AH148"/>
  <c r="W165"/>
  <c r="BI159"/>
  <c r="AB152"/>
  <c r="BL144"/>
  <c r="G162"/>
  <c r="S154"/>
  <c r="AU146"/>
  <c r="AQ162"/>
  <c r="BL151"/>
  <c r="BL141"/>
  <c r="R135"/>
  <c r="BH129"/>
  <c r="J159"/>
  <c r="AH146"/>
  <c r="N140"/>
  <c r="Y133"/>
  <c r="Y164"/>
  <c r="BF153"/>
  <c r="AN143"/>
  <c r="I138"/>
  <c r="X131"/>
  <c r="L155"/>
  <c r="AI141"/>
  <c r="AP131"/>
  <c r="V125"/>
  <c r="AA118"/>
  <c r="J113"/>
  <c r="U161"/>
  <c r="AZ143"/>
  <c r="AM133"/>
  <c r="AJ126"/>
  <c r="K121"/>
  <c r="AN163"/>
  <c r="P146"/>
  <c r="AC135"/>
  <c r="Z127"/>
  <c r="I122"/>
  <c r="AF161"/>
  <c r="L138"/>
  <c r="O126"/>
  <c r="BF115"/>
  <c r="BE109"/>
  <c r="AF104"/>
  <c r="AO146"/>
  <c r="AI136"/>
  <c r="AA128"/>
  <c r="AR122"/>
  <c r="J116"/>
  <c r="Q112"/>
  <c r="AK108"/>
  <c r="N105"/>
  <c r="BA100"/>
  <c r="BH166"/>
  <c r="AS147"/>
  <c r="AJ136"/>
  <c r="AB128"/>
  <c r="O123"/>
  <c r="AQ116"/>
  <c r="BC112"/>
  <c r="K109"/>
  <c r="BC105"/>
  <c r="X102"/>
  <c r="AR159"/>
  <c r="AT142"/>
  <c r="BB132"/>
  <c r="BE125"/>
  <c r="AJ120"/>
  <c r="AZ114"/>
  <c r="BD110"/>
  <c r="S107"/>
  <c r="AV103"/>
  <c r="Z99"/>
  <c r="BI166"/>
  <c r="AC147"/>
  <c r="J138"/>
  <c r="O129"/>
  <c r="AE123"/>
  <c r="BL116"/>
  <c r="BE112"/>
  <c r="F109"/>
  <c r="BH105"/>
  <c r="AG102"/>
  <c r="BJ166"/>
  <c r="G159"/>
  <c r="AD148"/>
  <c r="V142"/>
  <c r="K138"/>
  <c r="BM132"/>
  <c r="BE128"/>
  <c r="X126"/>
  <c r="BC123"/>
  <c r="V121"/>
  <c r="AA117"/>
  <c r="P115"/>
  <c r="O113"/>
  <c r="O111"/>
  <c r="U109"/>
  <c r="AI107"/>
  <c r="AX105"/>
  <c r="BL103"/>
  <c r="T102"/>
  <c r="AP99"/>
  <c r="BK154"/>
  <c r="M144"/>
  <c r="AL136"/>
  <c r="I129"/>
  <c r="BI124"/>
  <c r="L120"/>
  <c r="AD115"/>
  <c r="BM112"/>
  <c r="T110"/>
  <c r="Z107"/>
  <c r="AI104"/>
  <c r="BK100"/>
  <c r="H159"/>
  <c r="AI143"/>
  <c r="AO135"/>
  <c r="AJ128"/>
  <c r="BD123"/>
  <c r="BM118"/>
  <c r="H115"/>
  <c r="BA111"/>
  <c r="AW108"/>
  <c r="BF105"/>
  <c r="O103"/>
  <c r="AI99"/>
  <c r="R160"/>
  <c r="AN145"/>
  <c r="AT136"/>
  <c r="W129"/>
  <c r="BK124"/>
  <c r="Z120"/>
  <c r="I115"/>
  <c r="BI111"/>
  <c r="BD108"/>
  <c r="W106"/>
  <c r="BD103"/>
  <c r="Y100"/>
  <c r="Z142"/>
  <c r="Y128"/>
  <c r="AP120"/>
  <c r="BL113"/>
  <c r="BL109"/>
  <c r="BD105"/>
  <c r="K100"/>
  <c r="BF160"/>
  <c r="AP142"/>
  <c r="Z131"/>
  <c r="AZ122"/>
  <c r="AX114"/>
  <c r="J110"/>
  <c r="AB105"/>
  <c r="AQ99"/>
  <c r="AL166"/>
  <c r="K152"/>
  <c r="L133"/>
  <c r="G124"/>
  <c r="L117"/>
  <c r="AS111"/>
  <c r="AV106"/>
  <c r="Q102"/>
  <c r="P166"/>
  <c r="AD160"/>
  <c r="BF152"/>
  <c r="AO145"/>
  <c r="BJ162"/>
  <c r="U155"/>
  <c r="Y147"/>
  <c r="AS164"/>
  <c r="V159"/>
  <c r="AP151"/>
  <c r="BA166"/>
  <c r="AU155"/>
  <c r="P145"/>
  <c r="R139"/>
  <c r="BG132"/>
  <c r="BI163"/>
  <c r="AD152"/>
  <c r="AR142"/>
  <c r="X136"/>
  <c r="G131"/>
  <c r="O160"/>
  <c r="M147"/>
  <c r="AU140"/>
  <c r="AE134"/>
  <c r="BC164"/>
  <c r="AC146"/>
  <c r="M135"/>
  <c r="AV127"/>
  <c r="AE122"/>
  <c r="I116"/>
  <c r="AI110"/>
  <c r="AR151"/>
  <c r="BA138"/>
  <c r="S129"/>
  <c r="BI123"/>
  <c r="AE117"/>
  <c r="BG153"/>
  <c r="AH140"/>
  <c r="BK130"/>
  <c r="H125"/>
  <c r="AS118"/>
  <c r="Z144"/>
  <c r="BM129"/>
  <c r="AL121"/>
  <c r="U113"/>
  <c r="W107"/>
  <c r="AR100"/>
  <c r="AH160"/>
  <c r="BA141"/>
  <c r="AI131"/>
  <c r="Y125"/>
  <c r="BJ118"/>
  <c r="AA114"/>
  <c r="Y110"/>
  <c r="AQ106"/>
  <c r="AB103"/>
  <c r="H99"/>
  <c r="H161"/>
  <c r="BB141"/>
  <c r="AJ131"/>
  <c r="AK125"/>
  <c r="AI120"/>
  <c r="BM114"/>
  <c r="BK110"/>
  <c r="Y107"/>
  <c r="BI103"/>
  <c r="AW99"/>
  <c r="AS166"/>
  <c r="V148"/>
  <c r="BI136"/>
  <c r="AW128"/>
  <c r="G123"/>
  <c r="BH116"/>
  <c r="BD112"/>
  <c r="BL108"/>
  <c r="AH105"/>
  <c r="BE100"/>
  <c r="M158"/>
  <c r="R142"/>
  <c r="BL132"/>
  <c r="W126"/>
  <c r="AN120"/>
  <c r="BE114"/>
  <c r="BE110"/>
  <c r="AH107"/>
  <c r="O104"/>
  <c r="AL99"/>
  <c r="AY162"/>
  <c r="T153"/>
  <c r="AR144"/>
  <c r="Q140"/>
  <c r="AY134"/>
  <c r="AS130"/>
  <c r="AC127"/>
  <c r="S125"/>
  <c r="AA122"/>
  <c r="BB118"/>
  <c r="N116"/>
  <c r="M114"/>
  <c r="N112"/>
  <c r="N110"/>
  <c r="AA108"/>
  <c r="AO106"/>
  <c r="BC104"/>
  <c r="N103"/>
  <c r="AH100"/>
  <c r="Y162"/>
  <c r="BG148"/>
  <c r="BD140"/>
  <c r="AO132"/>
  <c r="W127"/>
  <c r="AJ122"/>
  <c r="T117"/>
  <c r="P114"/>
  <c r="AG111"/>
  <c r="AV108"/>
  <c r="BE105"/>
  <c r="H103"/>
  <c r="AH99"/>
  <c r="BA163"/>
  <c r="BG147"/>
  <c r="BM139"/>
  <c r="AS131"/>
  <c r="N126"/>
  <c r="BD121"/>
  <c r="AV116"/>
  <c r="AG113"/>
  <c r="U110"/>
  <c r="AA107"/>
  <c r="AJ104"/>
  <c r="BL100"/>
  <c r="W166"/>
  <c r="AY152"/>
  <c r="BG141"/>
  <c r="AT132"/>
  <c r="AK127"/>
  <c r="AL122"/>
  <c r="BB116"/>
  <c r="AI113"/>
  <c r="V110"/>
  <c r="AB107"/>
  <c r="S105"/>
  <c r="AI102"/>
  <c r="AO153"/>
  <c r="R134"/>
  <c r="AM124"/>
  <c r="F116"/>
  <c r="BM111"/>
  <c r="AZ107"/>
  <c r="AP103"/>
  <c r="H152"/>
  <c r="BJ135"/>
  <c r="AH126"/>
  <c r="AY117"/>
  <c r="AX112"/>
  <c r="BA107"/>
  <c r="Q103"/>
  <c r="AG159"/>
  <c r="AL141"/>
  <c r="BA127"/>
  <c r="AV121"/>
  <c r="V114"/>
  <c r="L109"/>
  <c r="AA104"/>
  <c r="J99"/>
  <c r="V160"/>
  <c r="AR146"/>
  <c r="K161"/>
  <c r="BM147"/>
  <c r="AE162"/>
  <c r="R151"/>
  <c r="AH159"/>
  <c r="BG142"/>
  <c r="H133"/>
  <c r="AJ159"/>
  <c r="AB142"/>
  <c r="AU131"/>
  <c r="AJ155"/>
  <c r="BC140"/>
  <c r="BD131"/>
  <c r="J145"/>
  <c r="J129"/>
  <c r="AS120"/>
  <c r="BG110"/>
  <c r="P144"/>
  <c r="K129"/>
  <c r="T118"/>
  <c r="AI147"/>
  <c r="S131"/>
  <c r="Y122"/>
  <c r="AW143"/>
  <c r="X123"/>
  <c r="AC111"/>
  <c r="N102"/>
  <c r="G161"/>
  <c r="AZ136"/>
  <c r="K125"/>
  <c r="BB114"/>
  <c r="R109"/>
  <c r="AJ103"/>
  <c r="AF142"/>
  <c r="AP128"/>
  <c r="X120"/>
  <c r="AO111"/>
  <c r="T106"/>
  <c r="BE99"/>
  <c r="AB147"/>
  <c r="BK129"/>
  <c r="AK121"/>
  <c r="I113"/>
  <c r="AD107"/>
  <c r="AQ100"/>
  <c r="W148"/>
  <c r="Z132"/>
  <c r="AO121"/>
  <c r="AQ113"/>
  <c r="AS107"/>
  <c r="AR102"/>
  <c r="AD164"/>
  <c r="AY151"/>
  <c r="AW140"/>
  <c r="F133"/>
  <c r="L127"/>
  <c r="I123"/>
  <c r="N118"/>
  <c r="AC114"/>
  <c r="AB111"/>
  <c r="P108"/>
  <c r="Y105"/>
  <c r="AS102"/>
  <c r="BJ98"/>
  <c r="AT147"/>
  <c r="AJ134"/>
  <c r="J126"/>
  <c r="AZ117"/>
  <c r="F113"/>
  <c r="AE108"/>
  <c r="BB103"/>
  <c r="BM164"/>
  <c r="N144"/>
  <c r="BD130"/>
  <c r="AK122"/>
  <c r="BB115"/>
  <c r="AU110"/>
  <c r="V106"/>
  <c r="AO100"/>
  <c r="Q161"/>
  <c r="AX148"/>
  <c r="AT162"/>
  <c r="AZ148"/>
  <c r="BK162"/>
  <c r="M152"/>
  <c r="BE162"/>
  <c r="AZ144"/>
  <c r="AF133"/>
  <c r="AZ160"/>
  <c r="AZ142"/>
  <c r="BM133"/>
  <c r="L159"/>
  <c r="BF141"/>
  <c r="AK132"/>
  <c r="BA147"/>
  <c r="BA131"/>
  <c r="W122"/>
  <c r="AF111"/>
  <c r="AH145"/>
  <c r="AU129"/>
  <c r="S121"/>
  <c r="AJ153"/>
  <c r="AW132"/>
  <c r="V123"/>
  <c r="AQ147"/>
  <c r="BB126"/>
  <c r="AZ112"/>
  <c r="BB102"/>
  <c r="AO162"/>
  <c r="N139"/>
  <c r="AJ125"/>
  <c r="AN116"/>
  <c r="BF109"/>
  <c r="Q104"/>
  <c r="K143"/>
  <c r="H129"/>
  <c r="AW120"/>
  <c r="BL112"/>
  <c r="Q107"/>
  <c r="V100"/>
  <c r="AT151"/>
  <c r="AD133"/>
  <c r="BJ122"/>
  <c r="AL113"/>
  <c r="BF107"/>
  <c r="R102"/>
  <c r="X152"/>
  <c r="AE133"/>
  <c r="AV123"/>
  <c r="AO114"/>
  <c r="O108"/>
  <c r="J103"/>
  <c r="AT152"/>
  <c r="T141"/>
  <c r="AI133"/>
  <c r="AZ127"/>
  <c r="N124"/>
  <c r="AE118"/>
  <c r="AP114"/>
  <c r="AR111"/>
  <c r="AO108"/>
  <c r="BL105"/>
  <c r="BG102"/>
  <c r="N99"/>
  <c r="X151"/>
  <c r="Z138"/>
  <c r="AV126"/>
  <c r="AF118"/>
  <c r="AC113"/>
  <c r="M109"/>
  <c r="AZ104"/>
  <c r="K99"/>
  <c r="G166"/>
  <c r="X145"/>
  <c r="AP132"/>
  <c r="X124"/>
  <c r="V116"/>
  <c r="G111"/>
  <c r="AS106"/>
  <c r="K102"/>
  <c r="AW161"/>
  <c r="O151"/>
  <c r="Q163"/>
  <c r="AJ152"/>
  <c r="AK164"/>
  <c r="AC152"/>
  <c r="W164"/>
  <c r="AD145"/>
  <c r="G136"/>
  <c r="AS162"/>
  <c r="BC143"/>
  <c r="AT134"/>
  <c r="BA160"/>
  <c r="BL143"/>
  <c r="G134"/>
  <c r="AV148"/>
  <c r="AG132"/>
  <c r="AU122"/>
  <c r="R113"/>
  <c r="U151"/>
  <c r="AV130"/>
  <c r="X122"/>
  <c r="P155"/>
  <c r="F136"/>
  <c r="AI124"/>
  <c r="BG151"/>
  <c r="AE127"/>
  <c r="AD113"/>
  <c r="BD104"/>
  <c r="AY140"/>
  <c r="AO126"/>
  <c r="R117"/>
  <c r="AR110"/>
  <c r="V105"/>
  <c r="S148"/>
  <c r="M131"/>
  <c r="AN121"/>
  <c r="AY113"/>
  <c r="AW107"/>
  <c r="AN102"/>
  <c r="I153"/>
  <c r="K134"/>
  <c r="AA123"/>
  <c r="J115"/>
  <c r="AX108"/>
  <c r="AQ102"/>
  <c r="Z155"/>
  <c r="AO134"/>
  <c r="AJ124"/>
  <c r="K115"/>
  <c r="T109"/>
  <c r="BK103"/>
  <c r="AZ154"/>
  <c r="BE142"/>
  <c r="P134"/>
  <c r="K128"/>
  <c r="AK124"/>
  <c r="R120"/>
  <c r="AC115"/>
  <c r="BH111"/>
  <c r="BC108"/>
  <c r="P106"/>
  <c r="Y103"/>
  <c r="BA99"/>
  <c r="AV152"/>
  <c r="W139"/>
  <c r="BC127"/>
  <c r="AX120"/>
  <c r="AZ113"/>
  <c r="AJ109"/>
  <c r="Q105"/>
  <c r="BB99"/>
  <c r="Z146"/>
  <c r="AT133"/>
  <c r="BJ124"/>
  <c r="U117"/>
  <c r="T112"/>
  <c r="BJ106"/>
  <c r="AB102"/>
  <c r="L154"/>
  <c r="AH138"/>
  <c r="AX126"/>
  <c r="BH117"/>
  <c r="AV112"/>
  <c r="AY107"/>
  <c r="T104"/>
  <c r="X154"/>
  <c r="H160"/>
  <c r="K166"/>
  <c r="BC146"/>
  <c r="K147"/>
  <c r="Q130"/>
  <c r="I141"/>
  <c r="BL164"/>
  <c r="BE138"/>
  <c r="AE155"/>
  <c r="BJ125"/>
  <c r="AG166"/>
  <c r="N135"/>
  <c r="BF116"/>
  <c r="AS136"/>
  <c r="BD117"/>
  <c r="AW121"/>
  <c r="AP106"/>
  <c r="AK133"/>
  <c r="I120"/>
  <c r="AF107"/>
  <c r="P99"/>
  <c r="AR133"/>
  <c r="S117"/>
  <c r="F108"/>
  <c r="W160"/>
  <c r="BJ126"/>
  <c r="AN112"/>
  <c r="AB104"/>
  <c r="BG143"/>
  <c r="AT126"/>
  <c r="AQ111"/>
  <c r="AC104"/>
  <c r="AD163"/>
  <c r="BH143"/>
  <c r="Y131"/>
  <c r="BH124"/>
  <c r="AF116"/>
  <c r="AT110"/>
  <c r="BC106"/>
  <c r="BG100"/>
  <c r="X161"/>
  <c r="AS133"/>
  <c r="BC121"/>
  <c r="AZ111"/>
  <c r="AN105"/>
  <c r="BH140"/>
  <c r="AG125"/>
  <c r="BA113"/>
  <c r="R105"/>
  <c r="Q155"/>
  <c r="BD134"/>
  <c r="AQ125"/>
  <c r="BJ115"/>
  <c r="BI109"/>
  <c r="AP105"/>
  <c r="AJ99"/>
  <c r="T147"/>
  <c r="AG126"/>
  <c r="Y115"/>
  <c r="W108"/>
  <c r="AW100"/>
  <c r="Y166"/>
  <c r="BI138"/>
  <c r="AT124"/>
  <c r="AJ113"/>
  <c r="H106"/>
  <c r="Q154"/>
  <c r="BE126"/>
  <c r="AT115"/>
  <c r="BI107"/>
  <c r="AS99"/>
  <c r="BJ154"/>
  <c r="BG129"/>
  <c r="AK116"/>
  <c r="BB107"/>
  <c r="U102"/>
  <c r="AX160"/>
  <c r="K133"/>
  <c r="K120"/>
  <c r="Q111"/>
  <c r="I106"/>
  <c r="V99"/>
  <c r="AX144"/>
  <c r="BH128"/>
  <c r="AJ117"/>
  <c r="AF110"/>
  <c r="BA102"/>
  <c r="AL124"/>
  <c r="R108"/>
  <c r="AR155"/>
  <c r="BB127"/>
  <c r="AE112"/>
  <c r="AG135"/>
  <c r="R115"/>
  <c r="Z105"/>
  <c r="AB154"/>
  <c r="N114"/>
  <c r="I126"/>
  <c r="BK141"/>
  <c r="AQ108"/>
  <c r="P158"/>
  <c r="AW163"/>
  <c r="K145"/>
  <c r="BF147"/>
  <c r="O152"/>
  <c r="N131"/>
  <c r="BG146"/>
  <c r="BC166"/>
  <c r="W140"/>
  <c r="S160"/>
  <c r="AN127"/>
  <c r="W114"/>
  <c r="AP138"/>
  <c r="BK117"/>
  <c r="T140"/>
  <c r="BI118"/>
  <c r="AE129"/>
  <c r="AU107"/>
  <c r="AE142"/>
  <c r="BG120"/>
  <c r="AS108"/>
  <c r="AV99"/>
  <c r="BA136"/>
  <c r="BF117"/>
  <c r="S109"/>
  <c r="BA161"/>
  <c r="AF128"/>
  <c r="AM115"/>
  <c r="T105"/>
  <c r="AU159"/>
  <c r="AB127"/>
  <c r="K113"/>
  <c r="BB104"/>
  <c r="V145"/>
  <c r="BH131"/>
  <c r="AP125"/>
  <c r="AU116"/>
  <c r="AD112"/>
  <c r="J107"/>
  <c r="AH102"/>
  <c r="AZ163"/>
  <c r="BL139"/>
  <c r="Q123"/>
  <c r="S112"/>
  <c r="U106"/>
  <c r="AQ141"/>
  <c r="AW126"/>
  <c r="T114"/>
  <c r="AX107"/>
  <c r="AU161"/>
  <c r="Y139"/>
  <c r="R126"/>
  <c r="W116"/>
  <c r="AV110"/>
  <c r="BM105"/>
  <c r="AP100"/>
  <c r="BC160"/>
  <c r="AD129"/>
  <c r="BM115"/>
  <c r="BF108"/>
  <c r="AK102"/>
  <c r="BI143"/>
  <c r="AR125"/>
  <c r="BM113"/>
  <c r="AK106"/>
  <c r="AX155"/>
  <c r="BF128"/>
  <c r="P118"/>
  <c r="AI108"/>
  <c r="Z100"/>
  <c r="AE158"/>
  <c r="T130"/>
  <c r="Q118"/>
  <c r="AU108"/>
  <c r="BM102"/>
  <c r="AF135"/>
  <c r="AF121"/>
  <c r="BK111"/>
  <c r="BE106"/>
  <c r="AA100"/>
  <c r="S151"/>
  <c r="X129"/>
  <c r="BM120"/>
  <c r="AK111"/>
  <c r="AO103"/>
  <c r="AQ127"/>
  <c r="AN109"/>
  <c r="BC159"/>
  <c r="R128"/>
  <c r="AN158"/>
  <c r="BK165"/>
  <c r="AQ145"/>
  <c r="AY154"/>
  <c r="BB152"/>
  <c r="AA132"/>
  <c r="AY147"/>
  <c r="AP130"/>
  <c r="S144"/>
  <c r="AF163"/>
  <c r="BL127"/>
  <c r="AZ115"/>
  <c r="AS139"/>
  <c r="AK123"/>
  <c r="AV140"/>
  <c r="W120"/>
  <c r="F130"/>
  <c r="T108"/>
  <c r="J143"/>
  <c r="K123"/>
  <c r="BJ110"/>
  <c r="G102"/>
  <c r="O139"/>
  <c r="AN123"/>
  <c r="AY109"/>
  <c r="AO99"/>
  <c r="BH165"/>
  <c r="N129"/>
  <c r="AS116"/>
  <c r="AV105"/>
  <c r="M161"/>
  <c r="AN129"/>
  <c r="AQ115"/>
  <c r="O106"/>
  <c r="BE146"/>
  <c r="V135"/>
  <c r="BG125"/>
  <c r="AX117"/>
  <c r="AP112"/>
  <c r="AT107"/>
  <c r="AM103"/>
  <c r="BG164"/>
  <c r="AM141"/>
  <c r="AQ123"/>
  <c r="AL114"/>
  <c r="AL106"/>
  <c r="BJ148"/>
  <c r="AD127"/>
  <c r="AH115"/>
  <c r="I108"/>
  <c r="BF99"/>
  <c r="AA162"/>
  <c r="BL140"/>
  <c r="BK127"/>
  <c r="AH117"/>
  <c r="I111"/>
  <c r="AT106"/>
  <c r="BM100"/>
  <c r="BL162"/>
  <c r="J131"/>
  <c r="BC116"/>
  <c r="I110"/>
  <c r="G103"/>
  <c r="AV145"/>
  <c r="AM127"/>
  <c r="AK115"/>
  <c r="R107"/>
  <c r="O158"/>
  <c r="U130"/>
  <c r="BE118"/>
  <c r="AU109"/>
  <c r="AW102"/>
  <c r="AU160"/>
  <c r="N132"/>
  <c r="P121"/>
  <c r="AV109"/>
  <c r="F103"/>
  <c r="U138"/>
  <c r="AG123"/>
  <c r="O112"/>
  <c r="L107"/>
  <c r="Y102"/>
  <c r="W154"/>
  <c r="AA131"/>
  <c r="F121"/>
  <c r="AL112"/>
  <c r="AL104"/>
  <c r="BM131"/>
  <c r="AT111"/>
  <c r="G132"/>
  <c r="BK115"/>
  <c r="AP102"/>
  <c r="AU144"/>
  <c r="AB120"/>
  <c r="V109"/>
  <c r="U124"/>
  <c r="AM100"/>
  <c r="L151"/>
  <c r="K104"/>
  <c r="Y153"/>
  <c r="M117"/>
  <c r="BM140"/>
  <c r="AX138"/>
  <c r="AS104"/>
  <c r="BK108"/>
  <c r="AB122"/>
  <c r="H124"/>
  <c r="AK113"/>
  <c r="BE145"/>
  <c r="H165"/>
  <c r="AG158"/>
  <c r="X164"/>
  <c r="O131"/>
  <c r="AM134"/>
  <c r="AL125"/>
  <c r="L153"/>
  <c r="BG163"/>
  <c r="P125"/>
  <c r="AY116"/>
  <c r="L131"/>
  <c r="Z112"/>
  <c r="AP162"/>
  <c r="Z125"/>
  <c r="AX104"/>
  <c r="V144"/>
  <c r="BM117"/>
  <c r="BJ99"/>
  <c r="O130"/>
  <c r="AS109"/>
  <c r="W161"/>
  <c r="AT138"/>
  <c r="J122"/>
  <c r="AB113"/>
  <c r="AR104"/>
  <c r="J160"/>
  <c r="AI128"/>
  <c r="BM110"/>
  <c r="Q100"/>
  <c r="Z162"/>
  <c r="M129"/>
  <c r="BB109"/>
  <c r="AJ143"/>
  <c r="S123"/>
  <c r="V112"/>
  <c r="P103"/>
  <c r="AY122"/>
  <c r="N107"/>
  <c r="U147"/>
  <c r="BC118"/>
  <c r="V104"/>
  <c r="AZ125"/>
  <c r="W112"/>
  <c r="AA163"/>
  <c r="I125"/>
  <c r="BD106"/>
  <c r="AQ143"/>
  <c r="R118"/>
  <c r="G108"/>
  <c r="Q134"/>
  <c r="BL115"/>
  <c r="AF105"/>
  <c r="N122"/>
  <c r="BD100"/>
  <c r="U122"/>
  <c r="AE104"/>
  <c r="AH123"/>
  <c r="AN103"/>
  <c r="BK113"/>
  <c r="R110"/>
  <c r="X162"/>
  <c r="AQ105"/>
  <c r="AP107"/>
  <c r="O118"/>
  <c r="P105"/>
  <c r="BF123"/>
  <c r="AT99"/>
  <c r="I135"/>
  <c r="H121"/>
  <c r="AH114"/>
  <c r="F165"/>
  <c r="AE153"/>
  <c r="AF136"/>
  <c r="AL161"/>
  <c r="Z124"/>
  <c r="M121"/>
  <c r="I114"/>
  <c r="AJ110"/>
  <c r="L124"/>
  <c r="N111"/>
  <c r="AV139"/>
  <c r="BD113"/>
  <c r="BC130"/>
  <c r="AA102"/>
  <c r="AP136"/>
  <c r="AF103"/>
  <c r="BH147"/>
  <c r="BI113"/>
  <c r="Y111"/>
  <c r="AP123"/>
  <c r="AS113"/>
  <c r="BJ111"/>
  <c r="AL158"/>
  <c r="AZ109"/>
  <c r="AI122"/>
  <c r="BK166"/>
  <c r="T125"/>
  <c r="AL110"/>
  <c r="BA122"/>
  <c r="AU115"/>
  <c r="V153"/>
  <c r="S111"/>
  <c r="X128"/>
  <c r="P123"/>
  <c r="AX152"/>
  <c r="Q147"/>
  <c r="BJ165"/>
  <c r="BK164"/>
  <c r="H136"/>
  <c r="AJ135"/>
  <c r="BF134"/>
  <c r="O155"/>
  <c r="M166"/>
  <c r="AN125"/>
  <c r="H118"/>
  <c r="AM132"/>
  <c r="M113"/>
  <c r="AY125"/>
  <c r="BK105"/>
  <c r="BD120"/>
  <c r="BJ103"/>
  <c r="AS138"/>
  <c r="AO110"/>
  <c r="V139"/>
  <c r="AX122"/>
  <c r="AR113"/>
  <c r="K105"/>
  <c r="AQ129"/>
  <c r="F111"/>
  <c r="J102"/>
  <c r="BB129"/>
  <c r="AU112"/>
  <c r="X100"/>
  <c r="AA146"/>
  <c r="BE123"/>
  <c r="H113"/>
  <c r="AK104"/>
  <c r="AO123"/>
  <c r="AW110"/>
  <c r="AT153"/>
  <c r="AQ120"/>
  <c r="X108"/>
  <c r="BE134"/>
  <c r="BG112"/>
  <c r="BG165"/>
  <c r="AF126"/>
  <c r="BC110"/>
  <c r="R146"/>
  <c r="M125"/>
  <c r="BE108"/>
  <c r="BH136"/>
  <c r="O116"/>
  <c r="AF106"/>
  <c r="F132"/>
  <c r="AJ102"/>
  <c r="AU124"/>
  <c r="AE106"/>
  <c r="BF126"/>
  <c r="AJ107"/>
  <c r="BD118"/>
  <c r="AG114"/>
  <c r="AG112"/>
  <c r="Q108"/>
  <c r="AA120"/>
  <c r="AK110"/>
  <c r="O127"/>
  <c r="AI100"/>
  <c r="V136"/>
  <c r="BI122"/>
  <c r="S115"/>
  <c r="Y126"/>
  <c r="F146"/>
  <c r="F139"/>
  <c r="F141"/>
  <c r="F147"/>
  <c r="F138"/>
  <c r="F164"/>
  <c r="U153"/>
  <c r="AO144"/>
  <c r="AM136"/>
  <c r="AO138"/>
  <c r="AC136"/>
  <c r="O128"/>
  <c r="AR147"/>
  <c r="AP126"/>
  <c r="N106"/>
  <c r="AU139"/>
  <c r="AU126"/>
  <c r="AD106"/>
  <c r="BI114"/>
  <c r="G113"/>
  <c r="H128"/>
  <c r="BH104"/>
  <c r="AB125"/>
  <c r="R155"/>
  <c r="BG108"/>
  <c r="U136"/>
  <c r="V103"/>
  <c r="S128"/>
  <c r="U99"/>
  <c r="AL126"/>
  <c r="R103"/>
  <c r="AJ140"/>
  <c r="AK107"/>
  <c r="W104"/>
  <c r="S108"/>
  <c r="M127"/>
  <c r="AA125"/>
  <c r="AS125"/>
  <c r="Z102"/>
  <c r="AM163"/>
  <c r="AH154"/>
  <c r="BE144"/>
  <c r="J139"/>
  <c r="X138"/>
  <c r="AI146"/>
  <c r="AA138"/>
  <c r="BD163"/>
  <c r="AP124"/>
  <c r="AU128"/>
  <c r="BC132"/>
  <c r="BL152"/>
  <c r="AJ114"/>
  <c r="W102"/>
  <c r="AN132"/>
  <c r="V111"/>
  <c r="V126"/>
  <c r="P109"/>
  <c r="AS141"/>
  <c r="I117"/>
  <c r="AA99"/>
  <c r="Y143"/>
  <c r="BL126"/>
  <c r="AS115"/>
  <c r="BH107"/>
  <c r="I100"/>
  <c r="AO131"/>
  <c r="BA115"/>
  <c r="AX102"/>
  <c r="AD138"/>
  <c r="BG117"/>
  <c r="BC103"/>
  <c r="BD151"/>
  <c r="BC129"/>
  <c r="U114"/>
  <c r="BK106"/>
  <c r="AE132"/>
  <c r="F112"/>
  <c r="BK98"/>
  <c r="BM162"/>
  <c r="AR128"/>
  <c r="AX110"/>
  <c r="Y140"/>
  <c r="BG114"/>
  <c r="BE103"/>
  <c r="P135"/>
  <c r="Q113"/>
  <c r="P100"/>
  <c r="T128"/>
  <c r="BL110"/>
  <c r="G104"/>
  <c r="P142"/>
  <c r="V124"/>
  <c r="AH108"/>
  <c r="X106"/>
  <c r="V133"/>
  <c r="BJ109"/>
  <c r="AC129"/>
  <c r="R111"/>
  <c r="AX136"/>
  <c r="Z140"/>
  <c r="BG128"/>
  <c r="AJ116"/>
  <c r="AP108"/>
  <c r="BM98"/>
  <c r="BI102"/>
  <c r="AS158"/>
  <c r="I121"/>
  <c r="Y154"/>
  <c r="I131"/>
  <c r="BE155"/>
  <c r="F145"/>
  <c r="F166"/>
  <c r="F162"/>
  <c r="F143"/>
  <c r="AH164"/>
  <c r="AS155"/>
  <c r="AL155"/>
  <c r="Z139"/>
  <c r="AL140"/>
  <c r="BL147"/>
  <c r="AT141"/>
  <c r="Y116"/>
  <c r="I127"/>
  <c r="AZ130"/>
  <c r="BF138"/>
  <c r="T100"/>
  <c r="BC158"/>
  <c r="AV118"/>
  <c r="T103"/>
  <c r="AZ140"/>
  <c r="AT114"/>
  <c r="Z136"/>
  <c r="AR109"/>
  <c r="BD142"/>
  <c r="AW117"/>
  <c r="AZ99"/>
  <c r="H151"/>
  <c r="P129"/>
  <c r="BE115"/>
  <c r="AF109"/>
  <c r="W100"/>
  <c r="AG142"/>
  <c r="P116"/>
  <c r="AE103"/>
  <c r="X139"/>
  <c r="Y120"/>
  <c r="M104"/>
  <c r="BL163"/>
  <c r="BH130"/>
  <c r="AI115"/>
  <c r="K107"/>
  <c r="BI135"/>
  <c r="AW112"/>
  <c r="U104"/>
  <c r="BB164"/>
  <c r="AX132"/>
  <c r="AJ111"/>
  <c r="O100"/>
  <c r="BM142"/>
  <c r="G121"/>
  <c r="BJ104"/>
  <c r="AS165"/>
  <c r="R158"/>
  <c r="N159"/>
  <c r="AC140"/>
  <c r="BA151"/>
  <c r="BM148"/>
  <c r="L143"/>
  <c r="BE116"/>
  <c r="AW127"/>
  <c r="Y142"/>
  <c r="J140"/>
  <c r="AK105"/>
  <c r="AM123"/>
  <c r="AL105"/>
  <c r="AL153"/>
  <c r="F115"/>
  <c r="BD102"/>
  <c r="AR138"/>
  <c r="J111"/>
  <c r="Q120"/>
  <c r="S100"/>
  <c r="AB155"/>
  <c r="AO129"/>
  <c r="AO120"/>
  <c r="AT109"/>
  <c r="AV100"/>
  <c r="W145"/>
  <c r="AR116"/>
  <c r="AQ107"/>
  <c r="AJ151"/>
  <c r="AY120"/>
  <c r="BG104"/>
  <c r="BI131"/>
  <c r="AZ120"/>
  <c r="J108"/>
  <c r="S99"/>
  <c r="AY138"/>
  <c r="AW114"/>
  <c r="AU104"/>
  <c r="G133"/>
  <c r="J112"/>
  <c r="AX100"/>
  <c r="AS144"/>
  <c r="M122"/>
  <c r="AG105"/>
  <c r="R143"/>
  <c r="U115"/>
  <c r="F104"/>
  <c r="R132"/>
  <c r="AF114"/>
  <c r="H105"/>
  <c r="K162"/>
  <c r="H126"/>
  <c r="AU113"/>
  <c r="AV115"/>
  <c r="BF142"/>
  <c r="BJ113"/>
  <c r="N136"/>
  <c r="P113"/>
  <c r="AO148"/>
  <c r="AW106"/>
  <c r="BF103"/>
  <c r="AM130"/>
  <c r="V138"/>
  <c r="K117"/>
  <c r="AD103"/>
  <c r="H109"/>
  <c r="AN140"/>
  <c r="AF134"/>
  <c r="AL107"/>
  <c r="AT104"/>
  <c r="AR105"/>
  <c r="AP165"/>
  <c r="F152"/>
  <c r="F144"/>
  <c r="F153"/>
  <c r="AV166"/>
  <c r="AH166"/>
  <c r="AT159"/>
  <c r="AI142"/>
  <c r="AQ153"/>
  <c r="AJ154"/>
  <c r="J165"/>
  <c r="M120"/>
  <c r="T134"/>
  <c r="AK146"/>
  <c r="AC162"/>
  <c r="O110"/>
  <c r="AO128"/>
  <c r="AI106"/>
  <c r="G160"/>
  <c r="X115"/>
  <c r="BA103"/>
  <c r="AN139"/>
  <c r="AP111"/>
  <c r="BE120"/>
  <c r="AN106"/>
  <c r="AZ159"/>
  <c r="P130"/>
  <c r="AS121"/>
  <c r="BH109"/>
  <c r="S104"/>
  <c r="Y146"/>
  <c r="W121"/>
  <c r="H108"/>
  <c r="K160"/>
  <c r="AD121"/>
  <c r="N109"/>
  <c r="AU133"/>
  <c r="AE121"/>
  <c r="O109"/>
  <c r="L102"/>
  <c r="AS143"/>
  <c r="AO117"/>
  <c r="G106"/>
  <c r="AB134"/>
  <c r="G116"/>
  <c r="AO102"/>
  <c r="AV161"/>
  <c r="BH122"/>
  <c r="AC107"/>
  <c r="BE148"/>
  <c r="W123"/>
  <c r="BI104"/>
  <c r="BJ139"/>
  <c r="AL115"/>
  <c r="AZ105"/>
  <c r="AD165"/>
  <c r="S127"/>
  <c r="BH114"/>
  <c r="AX99"/>
  <c r="AJ123"/>
  <c r="H107"/>
  <c r="Y117"/>
  <c r="T107"/>
  <c r="AL109"/>
  <c r="AT103"/>
  <c r="AW139"/>
  <c r="X109"/>
  <c r="I152"/>
  <c r="AQ165"/>
  <c r="AE164"/>
  <c r="W133"/>
  <c r="AX161"/>
  <c r="AK166"/>
  <c r="AF120"/>
  <c r="AC139"/>
  <c r="AG106"/>
  <c r="BK104"/>
  <c r="AR99"/>
  <c r="Z103"/>
  <c r="F160"/>
  <c r="BJ121"/>
  <c r="AK109"/>
  <c r="BC133"/>
  <c r="AY111"/>
  <c r="BH112"/>
  <c r="AK117"/>
  <c r="F159"/>
  <c r="AG155"/>
  <c r="J104"/>
  <c r="BE135"/>
  <c r="AM110"/>
  <c r="AU145"/>
  <c r="S113"/>
  <c r="AC99"/>
  <c r="F99"/>
  <c r="BI117"/>
  <c r="AU106"/>
  <c r="AM139"/>
  <c r="F151"/>
  <c r="I166"/>
  <c r="G129"/>
  <c r="T143"/>
  <c r="BF125"/>
  <c r="AD104"/>
  <c r="L122"/>
  <c r="BD116"/>
  <c r="AU152"/>
  <c r="Q115"/>
  <c r="BM146"/>
  <c r="BG116"/>
  <c r="BI99"/>
  <c r="F158"/>
  <c r="F163"/>
  <c r="BD161"/>
  <c r="AD110"/>
  <c r="AO142"/>
  <c r="J136"/>
  <c r="BA125"/>
  <c r="AE100"/>
  <c r="J100"/>
  <c r="AG154"/>
  <c r="AG121"/>
  <c r="BJ107"/>
  <c r="AU103"/>
  <c r="AY133"/>
  <c r="N127"/>
  <c r="BH144"/>
  <c r="F140"/>
  <c r="F154"/>
  <c r="H114"/>
  <c r="K122"/>
  <c r="BM103"/>
  <c r="Z159"/>
  <c r="AI116"/>
  <c r="AY114"/>
  <c r="M107"/>
  <c r="BJ138"/>
  <c r="L105"/>
  <c r="AZ158"/>
  <c r="F155"/>
  <c r="Y160"/>
  <c r="T166"/>
  <c r="BM123"/>
  <c r="AS160"/>
  <c r="AC125"/>
  <c r="Z161"/>
  <c r="W110"/>
  <c r="AY105"/>
  <c r="AL116"/>
  <c r="AT113"/>
  <c r="AO118"/>
  <c r="AI117"/>
  <c r="AB109"/>
  <c r="BH99"/>
  <c r="M102"/>
  <c r="W109"/>
  <c r="AY112"/>
  <c r="W111"/>
  <c r="F142"/>
  <c r="F148"/>
  <c r="F161"/>
  <c r="AG145"/>
  <c r="BM158"/>
  <c r="AT161"/>
  <c r="BM155"/>
  <c r="AV124"/>
  <c r="AD114"/>
  <c r="AB130"/>
  <c r="Y118"/>
  <c r="X140"/>
  <c r="AF130"/>
  <c r="AR143"/>
  <c r="V107"/>
  <c r="BH102"/>
  <c r="AV128"/>
  <c r="AE110"/>
  <c r="T113"/>
  <c r="BL134"/>
  <c r="AF112"/>
  <c r="V141"/>
  <c r="AK99"/>
  <c r="AZ102"/>
  <c r="T163"/>
  <c r="BL124"/>
  <c r="AB141"/>
  <c r="AY100"/>
  <c r="AU121"/>
  <c r="BL146"/>
  <c r="AI148"/>
  <c r="K151"/>
  <c r="BK109"/>
  <c r="Y129"/>
  <c r="BL155"/>
  <c r="T99"/>
  <c r="Q106"/>
  <c r="BL130"/>
  <c r="V119"/>
  <c r="V101"/>
  <c r="V156"/>
  <c r="V149"/>
  <c r="V157"/>
  <c r="V137"/>
  <c r="V167"/>
  <c r="V150"/>
  <c r="G101"/>
  <c r="G137"/>
  <c r="G119"/>
  <c r="G156"/>
  <c r="G150"/>
  <c r="G157"/>
  <c r="G167"/>
  <c r="G149"/>
</calcChain>
</file>

<file path=xl/sharedStrings.xml><?xml version="1.0" encoding="utf-8"?>
<sst xmlns="http://schemas.openxmlformats.org/spreadsheetml/2006/main" count="31" uniqueCount="31">
  <si>
    <t>**重要提示**</t>
  </si>
  <si>
    <t>本文件、本文件所含信息以及任何基于此的衍生信息仅限SHANGHAI UNIVERSITY的JIARUI YANG使用。</t>
  </si>
  <si>
    <t>~~~~~~~~~~~~~~~~~~~~~~~~~~~~~~~~~~~~~~~~~~~~~~~~~~~~~~~~~~~~~~~~~~~~~~~~~~~~~~~~~~~~~~~~~~~~~~~~~~~~~~~~~~~~~~~~~~~~~~~~~~~~~~~~~~~~~~~~~~~~~~~~~~~~~~~</t>
  </si>
  <si>
    <t>**参考**</t>
  </si>
  <si>
    <t xml:space="preserve">     彭博行业(BI)Excel输出生成的电子数据表可作为参考表格，用于不同的模型和其他表格。</t>
  </si>
  <si>
    <t xml:space="preserve">     暂不支持自动建造模型或从BI输出表格中拖放，但将BI输出作为参考表格用于其他电子数</t>
  </si>
  <si>
    <t xml:space="preserve">   据表，功能强大，简便易用，能帮助您实现各种分析目的。</t>
  </si>
  <si>
    <t xml:space="preserve">   --BI Excel输出表格通常包含2个数据标签(有些BI模型，比如BI行情显示部分的模型，只能生</t>
  </si>
  <si>
    <t xml:space="preserve">   成1个数据标签“工作表1”)：</t>
  </si>
  <si>
    <t xml:space="preserve">     1) BI数据：此标签界面简洁，数据与BI控制面板同步。 </t>
  </si>
  <si>
    <t xml:space="preserve">          列示表格可作为参考表格，用于不同的模型和其他衍生电子数据表。</t>
  </si>
  <si>
    <t xml:space="preserve">     2) 参考数据：此标签下存储着所有的原始数据并包含数据加工。通常会有两个独立的表格：</t>
  </si>
  <si>
    <t xml:space="preserve">          上表包括出错处理、公式等等，下表包含输出的任何/所有实时API信息。 </t>
  </si>
  <si>
    <t xml:space="preserve">          实际API(BDP/BDH)公式的构建也是在下表中，因此如果想查看/运用相应API详情，可参</t>
  </si>
  <si>
    <t xml:space="preserve">          看此处。</t>
  </si>
  <si>
    <t xml:space="preserve">          注：有些时候，可能没有下表(如果所选数据无一来自实时API链接)。</t>
  </si>
  <si>
    <t xml:space="preserve">   --不同标签的表格中包含有共同的数据列：</t>
  </si>
  <si>
    <t xml:space="preserve">     1) 简介:此行标签与您在BI上看到的行标签相同。</t>
  </si>
  <si>
    <t xml:space="preserve">     2) 代码：与此行对应的公司/指数代码(代码用于 </t>
  </si>
  <si>
    <t xml:space="preserve">          此行BDP/BDH公式，如适用)</t>
  </si>
  <si>
    <t xml:space="preserve">     3) 栏目代码：此calcrout代码用于构建此行BDP/BDH公式(如适用)。</t>
  </si>
  <si>
    <t xml:space="preserve">     4) 栏目助记符：此calcrout助记符与用于构建此行BDP/BDH公式(如适用)的栏目代码相对应。</t>
  </si>
  <si>
    <t xml:space="preserve">     5) 数据状态：此特定行的数据状态，包括“动态”、“静态”、“合计”、“平均”、“中值”或“标题”。</t>
  </si>
  <si>
    <t xml:space="preserve">           如果是“动态”，那么一旦有新数据进入数据库，即可自动更新至表格，无需再次输出。</t>
  </si>
  <si>
    <t xml:space="preserve">           如果是“静态”，即此行不存在实时链接，新数据只能通过再次运行BI并输出。</t>
  </si>
  <si>
    <t xml:space="preserve">           如果是“合计”、“平均”、“中值”或“公式”，有些公式组件的数据或许能自动更新，但如果要</t>
  </si>
  <si>
    <t xml:space="preserve">           确保表格中的数据都是最新的，必须再次运行BI并输出。</t>
  </si>
  <si>
    <t>~~~~~~~~~~~~~~~~~~~~~~~~~~~~~~~~~~~~~~~~~~~~~~~~~~~~~~~~~~~~~~~~~~~~~~~~~~~~~~~~~~~~~~~~~~~~~~~~~~~~~~~~~~~~~~~~~~~~~~~~~~~~~~~~~~~~~~~~~~~~~~~~~~~~~~~~~~~~~~~~</t>
  </si>
  <si>
    <t>**帮助**</t>
  </si>
  <si>
    <t xml:space="preserve">     如果您在BI Excel输出过程中或对输出结果有任何疑问，请在彭博终端上运行BI&lt;GO&gt;功能，</t>
  </si>
  <si>
    <t xml:space="preserve">   然后按&lt;HELP&gt;键两次。</t>
  </si>
</sst>
</file>

<file path=xl/styles.xml><?xml version="1.0" encoding="utf-8"?>
<styleSheet xmlns="http://schemas.openxmlformats.org/spreadsheetml/2006/main">
  <fonts count="20">
    <font>
      <sz val="11"/>
      <color theme="1"/>
      <name val="宋体"/>
      <family val="2"/>
      <scheme val="minor"/>
    </font>
    <font>
      <b/>
      <sz val="11"/>
      <color indexed="9"/>
      <name val="Calibri"/>
      <family val="2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" fillId="33" borderId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</cellStyleXfs>
  <cellXfs count="2">
    <xf numFmtId="0" fontId="0" fillId="0" borderId="0" xfId="0"/>
    <xf numFmtId="0" fontId="1" fillId="33" borderId="0" xfId="26" applyNumberFormat="1" applyFont="1" applyFill="1" applyBorder="1" applyAlignment="1" applyProtection="1"/>
  </cellXfs>
  <cellStyles count="43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blp_column_header" xfId="26"/>
    <cellStyle name="标题" xfId="40" builtinId="15" customBuiltin="1"/>
    <cellStyle name="标题 1" xfId="31" builtinId="16" customBuiltin="1"/>
    <cellStyle name="标题 2" xfId="32" builtinId="17" customBuiltin="1"/>
    <cellStyle name="标题 3" xfId="33" builtinId="18" customBuiltin="1"/>
    <cellStyle name="标题 4" xfId="34" builtinId="19" customBuiltin="1"/>
    <cellStyle name="差" xfId="25" builtinId="27" customBuiltin="1"/>
    <cellStyle name="常规" xfId="0" builtinId="0"/>
    <cellStyle name="好" xfId="30" builtinId="26" customBuiltin="1"/>
    <cellStyle name="汇总" xfId="41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42" builtinId="11" customBuiltin="1"/>
    <cellStyle name="链接单元格" xfId="36" builtinId="24" customBuiltin="1"/>
    <cellStyle name="强调文字颜色 1" xfId="19" builtinId="29" customBuiltin="1"/>
    <cellStyle name="强调文字颜色 2" xfId="20" builtinId="33" customBuiltin="1"/>
    <cellStyle name="强调文字颜色 3" xfId="21" builtinId="37" customBuiltin="1"/>
    <cellStyle name="强调文字颜色 4" xfId="22" builtinId="41" customBuiltin="1"/>
    <cellStyle name="强调文字颜色 5" xfId="23" builtinId="45" customBuiltin="1"/>
    <cellStyle name="强调文字颜色 6" xfId="24" builtinId="49" customBuiltin="1"/>
    <cellStyle name="适中" xfId="37" builtinId="28" customBuiltin="1"/>
    <cellStyle name="输出" xfId="39" builtinId="21" customBuiltin="1"/>
    <cellStyle name="输入" xfId="35" builtinId="20" customBuiltin="1"/>
    <cellStyle name="注释" xfId="38" builtinId="10" customBuiltin="1"/>
  </cellStyles>
  <dxfs count="0"/>
  <tableStyles count="0" defaultTableStyle="TableStyleMedium2" defaultPivotStyle="PivotStyleLight16"/>
</styleSheet>
</file>

<file path=xl/volatileDependencies.xml><?xml version="1.0" encoding="utf-8"?>
<volTypes xmlns="http://schemas.openxmlformats.org/spreadsheetml/2006/main">
  <volType type="realTimeData">
    <main first="bloomberg.rtd">
      <tp t="s">
        <v>#N/A Authorization</v>
        <stp/>
        <stp>##V3_BDHV12</stp>
        <stp>RECFTAOF Index</stp>
        <stp>PR005</stp>
        <stp>-60CQ</stp>
        <stp>2018/3/13</stp>
        <stp>[BI_REITN_1_nsme0bl5.xlsx]ReferenceData!R349C3</stp>
        <stp>PER=CQ</stp>
        <stp>Dts=S</stp>
        <stp>DtFmt=FI</stp>
        <stp>rows=2</stp>
        <stp>Dir=H</stp>
        <stp>Points=60</stp>
        <stp>Sort=R</stp>
        <stp>Days=A</stp>
        <stp>Fill=B</stp>
        <stp>FX=USD</stp>
        <tr r="C349" s="3"/>
      </tp>
      <tp t="s">
        <v>#N/A Authorization</v>
        <stp/>
        <stp>##V3_BDHV12</stp>
        <stp>RECFTAOF Index</stp>
        <stp>PR005</stp>
        <stp>-60CQ</stp>
        <stp>2018/3/14</stp>
        <stp>[BI_REITN_1_nsme0bl5.xlsx]ReferenceData!R357C3</stp>
        <stp>PER=CQ</stp>
        <stp>Dts=S</stp>
        <stp>DtFmt=FI</stp>
        <stp>rows=2</stp>
        <stp>Dir=H</stp>
        <stp>Points=60</stp>
        <stp>Sort=R</stp>
        <stp>Days=A</stp>
        <stp>Fill=B</stp>
        <stp>FX=USD</stp>
        <tr r="C357" s="3"/>
      </tp>
      <tp t="s">
        <v>#N/A Authorization</v>
        <stp/>
        <stp>##V3_BDHV12</stp>
        <stp>RECFTAIN Index</stp>
        <stp>PR005</stp>
        <stp>-60CQ</stp>
        <stp>2018/3/13</stp>
        <stp>[BI_REITN_1_nsme0bl5.xlsx]ReferenceData!R351C3</stp>
        <stp>PER=CQ</stp>
        <stp>Dts=S</stp>
        <stp>DtFmt=FI</stp>
        <stp>rows=2</stp>
        <stp>Dir=H</stp>
        <stp>Points=60</stp>
        <stp>Sort=R</stp>
        <stp>Days=A</stp>
        <stp>Fill=B</stp>
        <stp>FX=USD</stp>
        <tr r="C351" s="3"/>
      </tp>
      <tp t="s">
        <v>#N/A Authorization</v>
        <stp/>
        <stp>##V3_BDHV12</stp>
        <stp>RECFTAIN Index</stp>
        <stp>PR005</stp>
        <stp>-60CQ</stp>
        <stp>2018/3/14</stp>
        <stp>[BI_REITN_1_nsme0bl5.xlsx]ReferenceData!R359C3</stp>
        <stp>PER=CQ</stp>
        <stp>Dts=S</stp>
        <stp>DtFmt=FI</stp>
        <stp>rows=2</stp>
        <stp>Dir=H</stp>
        <stp>Points=60</stp>
        <stp>Sort=R</stp>
        <stp>Days=A</stp>
        <stp>Fill=B</stp>
        <stp>FX=USD</stp>
        <tr r="C359" s="3"/>
      </tp>
      <tp t="s">
        <v>#N/A Authorization</v>
        <stp/>
        <stp>##V3_BDHV12</stp>
        <stp>RECFTAEQ Index</stp>
        <stp>PR005</stp>
        <stp>-60CQ</stp>
        <stp>2018/3/14</stp>
        <stp>[BI_REITN_1_nsme0bl5.xlsx]ReferenceData!R355C3</stp>
        <stp>PER=CQ</stp>
        <stp>Dts=S</stp>
        <stp>DtFmt=FI</stp>
        <stp>rows=2</stp>
        <stp>Dir=H</stp>
        <stp>Points=60</stp>
        <stp>Sort=R</stp>
        <stp>Days=A</stp>
        <stp>Fill=B</stp>
        <stp>FX=USD</stp>
        <tr r="C355" s="3"/>
      </tp>
      <tp t="s">
        <v>#N/A Authorization</v>
        <stp/>
        <stp>##V3_BDHV12</stp>
        <stp>RECFTAEQ Index</stp>
        <stp>PR005</stp>
        <stp>-60CQ</stp>
        <stp>2018/3/13</stp>
        <stp>[BI_REITN_1_nsme0bl5.xlsx]ReferenceData!R347C3</stp>
        <stp>PER=CQ</stp>
        <stp>Dts=S</stp>
        <stp>DtFmt=FI</stp>
        <stp>rows=2</stp>
        <stp>Dir=H</stp>
        <stp>Points=60</stp>
        <stp>Sort=R</stp>
        <stp>Days=A</stp>
        <stp>Fill=B</stp>
        <stp>FX=USD</stp>
        <tr r="C347" s="3"/>
      </tp>
    </main>
    <main first="bloomberg.ccyreader">
      <tp>
        <v>0</v>
        <stp/>
        <stp>#track</stp>
        <stp>DBG</stp>
        <stp>BIHITX</stp>
        <stp>1.0</stp>
        <stp>RepeatHit</stp>
        <tr r="A177" s="3"/>
      </tp>
    </main>
    <main first="bloomberg.rtd">
      <tp t="s">
        <v>#N/A Authorization</v>
        <stp/>
        <stp>##V3_BDHV12</stp>
        <stp>RECFWATD Index</stp>
        <stp>PR005</stp>
        <stp>-60CQ</stp>
        <stp>2018/3/14</stp>
        <stp>[BI_REITN_1_nsme0bl5.xlsx]ReferenceData!R332C6</stp>
        <stp>Per=CQ</stp>
        <stp>Dts=H</stp>
        <stp>Dir=H</stp>
        <stp>Points=60</stp>
        <stp>Sort=R</stp>
        <stp>Days=A</stp>
        <stp>Fill=B</stp>
        <stp>FX=USD</stp>
        <tr r="F332" s="3"/>
      </tp>
      <tp t="s">
        <v>#N/A Authorization</v>
        <stp/>
        <stp>##V3_BDHV12</stp>
        <stp>RECFWATM Index</stp>
        <stp>PR005</stp>
        <stp>-60CQ</stp>
        <stp>2018/3/14</stp>
        <stp>[BI_REITN_1_nsme0bl5.xlsx]ReferenceData!R333C6</stp>
        <stp>Per=CQ</stp>
        <stp>Dts=H</stp>
        <stp>Dir=H</stp>
        <stp>Points=60</stp>
        <stp>Sort=R</stp>
        <stp>Days=A</stp>
        <stp>Fill=B</stp>
        <stp>FX=USD</stp>
        <tr r="F333" s="3"/>
      </tp>
      <tp t="s">
        <v>#N/A Authorization</v>
        <stp/>
        <stp>##V3_BDHV12</stp>
        <stp>RECFTATR Index</stp>
        <stp>PR005</stp>
        <stp>-60CQ</stp>
        <stp>2018/3/14</stp>
        <stp>[BI_REITN_1_nsme0bl5.xlsx]ReferenceData!R200C6</stp>
        <stp>Per=CQ</stp>
        <stp>Dts=H</stp>
        <stp>Dir=H</stp>
        <stp>Points=60</stp>
        <stp>Sort=R</stp>
        <stp>Days=A</stp>
        <stp>Fill=B</stp>
        <stp>FX=USD</stp>
        <tr r="F200" s="3"/>
      </tp>
      <tp t="s">
        <v>#N/A Authorization</v>
        <stp/>
        <stp>##V3_BDHV12</stp>
        <stp>RECFTARM Index</stp>
        <stp>PR005</stp>
        <stp>-60CQ</stp>
        <stp>2018/3/14</stp>
        <stp>[BI_REITN_1_nsme0bl5.xlsx]ReferenceData!R190C6</stp>
        <stp>Per=CQ</stp>
        <stp>Dts=H</stp>
        <stp>Dir=H</stp>
        <stp>Points=60</stp>
        <stp>Sort=R</stp>
        <stp>Days=A</stp>
        <stp>Fill=B</stp>
        <stp>FX=USD</stp>
        <tr r="F190" s="3"/>
      </tp>
      <tp t="s">
        <v>#N/A Authorization</v>
        <stp/>
        <stp>##V3_BDHV12</stp>
        <stp>RECFTARS Index</stp>
        <stp>PR005</stp>
        <stp>-60CQ</stp>
        <stp>2018/3/14</stp>
        <stp>[BI_REITN_1_nsme0bl5.xlsx]ReferenceData!R192C6</stp>
        <stp>Per=CQ</stp>
        <stp>Dts=H</stp>
        <stp>Dir=H</stp>
        <stp>Points=60</stp>
        <stp>Sort=R</stp>
        <stp>Days=A</stp>
        <stp>Fill=B</stp>
        <stp>FX=USD</stp>
        <tr r="F192" s="3"/>
      </tp>
      <tp t="s">
        <v>#N/A Authorization</v>
        <stp/>
        <stp>##V3_BDHV12</stp>
        <stp>RECFTART Index</stp>
        <stp>PR005</stp>
        <stp>-60CQ</stp>
        <stp>2018/3/14</stp>
        <stp>[BI_REITN_1_nsme0bl5.xlsx]ReferenceData!R188C6</stp>
        <stp>Per=CQ</stp>
        <stp>Dts=H</stp>
        <stp>Dir=H</stp>
        <stp>Points=60</stp>
        <stp>Sort=R</stp>
        <stp>Days=A</stp>
        <stp>Fill=B</stp>
        <stp>FX=USD</stp>
        <tr r="F188" s="3"/>
      </tp>
      <tp t="s">
        <v>#N/A Authorization</v>
        <stp/>
        <stp>##V3_BDHV12</stp>
        <stp>RECFTASC Index</stp>
        <stp>PR005</stp>
        <stp>-60CQ</stp>
        <stp>2018/3/14</stp>
        <stp>[BI_REITN_1_nsme0bl5.xlsx]ReferenceData!R189C6</stp>
        <stp>Per=CQ</stp>
        <stp>Dts=H</stp>
        <stp>Dir=H</stp>
        <stp>Points=60</stp>
        <stp>Sort=R</stp>
        <stp>Days=A</stp>
        <stp>Fill=B</stp>
        <stp>FX=USD</stp>
        <tr r="F189" s="3"/>
      </tp>
      <tp t="s">
        <v>#N/A Authorization</v>
        <stp/>
        <stp>##V3_BDHV12</stp>
        <stp>RECFTASF Index</stp>
        <stp>PR005</stp>
        <stp>-60CQ</stp>
        <stp>2018/3/14</stp>
        <stp>[BI_REITN_1_nsme0bl5.xlsx]ReferenceData!R195C6</stp>
        <stp>Per=CQ</stp>
        <stp>Dts=H</stp>
        <stp>Dir=H</stp>
        <stp>Points=60</stp>
        <stp>Sort=R</stp>
        <stp>Days=A</stp>
        <stp>Fill=B</stp>
        <stp>FX=USD</stp>
        <tr r="F195" s="3"/>
      </tp>
      <tp t="s">
        <v>#N/A Authorization</v>
        <stp/>
        <stp>##V3_BDHV12</stp>
        <stp>RECFTASS Index</stp>
        <stp>PR005</stp>
        <stp>-60CQ</stp>
        <stp>2018/3/14</stp>
        <stp>[BI_REITN_1_nsme0bl5.xlsx]ReferenceData!R198C6</stp>
        <stp>Per=CQ</stp>
        <stp>Dts=H</stp>
        <stp>Dir=H</stp>
        <stp>Points=60</stp>
        <stp>Sort=R</stp>
        <stp>Days=A</stp>
        <stp>Fill=B</stp>
        <stp>FX=USD</stp>
        <tr r="F198" s="3"/>
      </tp>
      <tp t="s">
        <v>#N/A Authorization</v>
        <stp/>
        <stp>##V3_BDHV12</stp>
        <stp>RECFNASC Index</stp>
        <stp>PR005</stp>
        <stp>-60CQ</stp>
        <stp>2018/3/14</stp>
        <stp>[BI_REITN_1_nsme0bl5.xlsx]ReferenceData!R224C6</stp>
        <stp>Per=CQ</stp>
        <stp>Dts=H</stp>
        <stp>Dir=H</stp>
        <stp>Points=60</stp>
        <stp>Sort=R</stp>
        <stp>Days=A</stp>
        <stp>Fill=B</stp>
        <stp>FX=USD</stp>
        <tr r="F224" s="3"/>
      </tp>
      <tp t="s">
        <v>#N/A Authorization</v>
        <stp/>
        <stp>##V3_BDHV12</stp>
        <stp>RECFNASF Index</stp>
        <stp>PR005</stp>
        <stp>-60CQ</stp>
        <stp>2018/3/14</stp>
        <stp>[BI_REITN_1_nsme0bl5.xlsx]ReferenceData!R230C6</stp>
        <stp>Per=CQ</stp>
        <stp>Dts=H</stp>
        <stp>Dir=H</stp>
        <stp>Points=60</stp>
        <stp>Sort=R</stp>
        <stp>Days=A</stp>
        <stp>Fill=B</stp>
        <stp>FX=USD</stp>
        <tr r="F230" s="3"/>
      </tp>
      <tp t="s">
        <v>#N/A Authorization</v>
        <stp/>
        <stp>##V3_BDHV12</stp>
        <stp>RECFTASP Index</stp>
        <stp>PR005</stp>
        <stp>-60CQ</stp>
        <stp>2018/3/14</stp>
        <stp>[BI_REITN_1_nsme0bl5.xlsx]ReferenceData!R202C6</stp>
        <stp>Per=CQ</stp>
        <stp>Dts=H</stp>
        <stp>Dir=H</stp>
        <stp>Points=60</stp>
        <stp>Sort=R</stp>
        <stp>Days=A</stp>
        <stp>Fill=B</stp>
        <stp>FX=USD</stp>
        <tr r="F202" s="3"/>
      </tp>
      <tp t="s">
        <v>#N/A Authorization</v>
        <stp/>
        <stp>##V3_BDHV12</stp>
        <stp>RECFNASS Index</stp>
        <stp>PR005</stp>
        <stp>-60CQ</stp>
        <stp>2018/3/14</stp>
        <stp>[BI_REITN_1_nsme0bl5.xlsx]ReferenceData!R233C6</stp>
        <stp>Per=CQ</stp>
        <stp>Dts=H</stp>
        <stp>Dir=H</stp>
        <stp>Points=60</stp>
        <stp>Sort=R</stp>
        <stp>Days=A</stp>
        <stp>Fill=B</stp>
        <stp>FX=USD</stp>
        <tr r="F233" s="3"/>
      </tp>
      <tp t="s">
        <v>#N/A Authorization</v>
        <stp/>
        <stp>##V3_BDHV12</stp>
        <stp>RECFNASP Index</stp>
        <stp>PR005</stp>
        <stp>-60CQ</stp>
        <stp>2018/3/14</stp>
        <stp>[BI_REITN_1_nsme0bl5.xlsx]ReferenceData!R236C6</stp>
        <stp>Per=CQ</stp>
        <stp>Dts=H</stp>
        <stp>Dir=H</stp>
        <stp>Points=60</stp>
        <stp>Sort=R</stp>
        <stp>Days=A</stp>
        <stp>Fill=B</stp>
        <stp>FX=USD</stp>
        <tr r="F236" s="3"/>
      </tp>
      <tp t="s">
        <v>#N/A Authorization</v>
        <stp/>
        <stp>##V3_BDHV12</stp>
        <stp>RECFNARM Index</stp>
        <stp>PR005</stp>
        <stp>-60CQ</stp>
        <stp>2018/3/14</stp>
        <stp>[BI_REITN_1_nsme0bl5.xlsx]ReferenceData!R225C6</stp>
        <stp>Per=CQ</stp>
        <stp>Dts=H</stp>
        <stp>Dir=H</stp>
        <stp>Points=60</stp>
        <stp>Sort=R</stp>
        <stp>Days=A</stp>
        <stp>Fill=B</stp>
        <stp>FX=USD</stp>
        <tr r="F225" s="3"/>
      </tp>
      <tp t="s">
        <v>#N/A Authorization</v>
        <stp/>
        <stp>##V3_BDHV12</stp>
        <stp>RECFNARS Index</stp>
        <stp>PR005</stp>
        <stp>-60CQ</stp>
        <stp>2018/3/14</stp>
        <stp>[BI_REITN_1_nsme0bl5.xlsx]ReferenceData!R227C6</stp>
        <stp>Per=CQ</stp>
        <stp>Dts=H</stp>
        <stp>Dir=H</stp>
        <stp>Points=60</stp>
        <stp>Sort=R</stp>
        <stp>Days=A</stp>
        <stp>Fill=B</stp>
        <stp>FX=USD</stp>
        <tr r="F227" s="3"/>
      </tp>
      <tp t="s">
        <v>#N/A Authorization</v>
        <stp/>
        <stp>##V3_BDHV12</stp>
        <stp>RECFNART Index</stp>
        <stp>PR005</stp>
        <stp>-60CQ</stp>
        <stp>2018/3/14</stp>
        <stp>[BI_REITN_1_nsme0bl5.xlsx]ReferenceData!R223C6</stp>
        <stp>Per=CQ</stp>
        <stp>Dts=H</stp>
        <stp>Dir=H</stp>
        <stp>Points=60</stp>
        <stp>Sort=R</stp>
        <stp>Days=A</stp>
        <stp>Fill=B</stp>
        <stp>FX=USD</stp>
        <tr r="F223" s="3"/>
      </tp>
      <tp t="s">
        <v>#N/A Authorization</v>
        <stp/>
        <stp>##V3_BDHV12</stp>
        <stp>RECFWALD Index</stp>
        <stp>PR005</stp>
        <stp>-60CQ</stp>
        <stp>2018/3/14</stp>
        <stp>[BI_REITN_1_nsme0bl5.xlsx]ReferenceData!R331C6</stp>
        <stp>Per=CQ</stp>
        <stp>Dts=H</stp>
        <stp>Dir=H</stp>
        <stp>Points=60</stp>
        <stp>Sort=R</stp>
        <stp>Days=A</stp>
        <stp>Fill=B</stp>
        <stp>FX=USD</stp>
        <tr r="F331" s="3"/>
      </tp>
      <tp t="s">
        <v>#N/A Authorization</v>
        <stp/>
        <stp>##V3_BDHV12</stp>
        <stp>RECFNAMH Index</stp>
        <stp>PR005</stp>
        <stp>-60CQ</stp>
        <stp>2018/3/14</stp>
        <stp>[BI_REITN_1_nsme0bl5.xlsx]ReferenceData!R229C6</stp>
        <stp>Per=CQ</stp>
        <stp>Dts=H</stp>
        <stp>Dir=H</stp>
        <stp>Points=60</stp>
        <stp>Sort=R</stp>
        <stp>Days=A</stp>
        <stp>Fill=B</stp>
        <stp>FX=USD</stp>
        <tr r="F229" s="3"/>
      </tp>
      <tp t="s">
        <v>#N/A Authorization</v>
        <stp/>
        <stp>##V3_BDHV12</stp>
        <stp>RECFTAOF Index</stp>
        <stp>PR005</stp>
        <stp>-60CQ</stp>
        <stp>2018/3/14</stp>
        <stp>[BI_REITN_1_nsme0bl5.xlsx]ReferenceData!R186C6</stp>
        <stp>Per=CQ</stp>
        <stp>Dts=H</stp>
        <stp>Dir=H</stp>
        <stp>Points=60</stp>
        <stp>Sort=R</stp>
        <stp>Days=A</stp>
        <stp>Fill=B</stp>
        <stp>FX=USD</stp>
        <tr r="F186" s="3"/>
      </tp>
      <tp t="s">
        <v>#N/A Authorization</v>
        <stp/>
        <stp>##V3_BDHV12</stp>
        <stp>RECFNALR Index</stp>
        <stp>PR005</stp>
        <stp>-60CQ</stp>
        <stp>2018/3/14</stp>
        <stp>[BI_REITN_1_nsme0bl5.xlsx]ReferenceData!R232C6</stp>
        <stp>Per=CQ</stp>
        <stp>Dts=H</stp>
        <stp>Dir=H</stp>
        <stp>Points=60</stp>
        <stp>Sort=R</stp>
        <stp>Days=A</stp>
        <stp>Fill=B</stp>
        <stp>FX=USD</stp>
        <tr r="F232" s="3"/>
      </tp>
      <tp t="s">
        <v>#N/A Authorization</v>
        <stp/>
        <stp>##V3_BDHV12</stp>
        <stp>RECFNAOF Index</stp>
        <stp>PR005</stp>
        <stp>-60CQ</stp>
        <stp>2018/3/14</stp>
        <stp>[BI_REITN_1_nsme0bl5.xlsx]ReferenceData!R221C6</stp>
        <stp>Per=CQ</stp>
        <stp>Dts=H</stp>
        <stp>Dir=H</stp>
        <stp>Points=60</stp>
        <stp>Sort=R</stp>
        <stp>Days=A</stp>
        <stp>Fill=B</stp>
        <stp>FX=USD</stp>
        <tr r="F221" s="3"/>
      </tp>
      <tp t="s">
        <v>#N/A Authorization</v>
        <stp/>
        <stp>##V3_BDHV12</stp>
        <stp>RECFTALR Index</stp>
        <stp>PR005</stp>
        <stp>-60CQ</stp>
        <stp>2018/3/14</stp>
        <stp>[BI_REITN_1_nsme0bl5.xlsx]ReferenceData!R197C6</stp>
        <stp>Per=CQ</stp>
        <stp>Dts=H</stp>
        <stp>Dir=H</stp>
        <stp>Points=60</stp>
        <stp>Sort=R</stp>
        <stp>Days=A</stp>
        <stp>Fill=B</stp>
        <stp>FX=USD</stp>
        <tr r="F197" s="3"/>
      </tp>
      <tp t="s">
        <v>#N/A Authorization</v>
        <stp/>
        <stp>##V3_BDHV12</stp>
        <stp>RECFTAMH Index</stp>
        <stp>PR005</stp>
        <stp>-60CQ</stp>
        <stp>2018/3/14</stp>
        <stp>[BI_REITN_1_nsme0bl5.xlsx]ReferenceData!R194C6</stp>
        <stp>Per=CQ</stp>
        <stp>Dts=H</stp>
        <stp>Dir=H</stp>
        <stp>Points=60</stp>
        <stp>Sort=R</stp>
        <stp>Days=A</stp>
        <stp>Fill=B</stp>
        <stp>FX=USD</stp>
        <tr r="F194" s="3"/>
      </tp>
      <tp t="s">
        <v>#N/A Authorization</v>
        <stp/>
        <stp>##V3_BDHV12</stp>
        <stp>RECFNAIN Index</stp>
        <stp>PR005</stp>
        <stp>-60CQ</stp>
        <stp>2018/3/14</stp>
        <stp>[BI_REITN_1_nsme0bl5.xlsx]ReferenceData!R222C6</stp>
        <stp>Per=CQ</stp>
        <stp>Dts=H</stp>
        <stp>Dir=H</stp>
        <stp>Points=60</stp>
        <stp>Sort=R</stp>
        <stp>Days=A</stp>
        <stp>Fill=B</stp>
        <stp>FX=USD</stp>
        <tr r="F222" s="3"/>
      </tp>
      <tp t="s">
        <v>#N/A Authorization</v>
        <stp/>
        <stp>##V3_BDHV12</stp>
        <stp>RECFNAHC Index</stp>
        <stp>PR005</stp>
        <stp>-60CQ</stp>
        <stp>2018/3/14</stp>
        <stp>[BI_REITN_1_nsme0bl5.xlsx]ReferenceData!R234C6</stp>
        <stp>Per=CQ</stp>
        <stp>Dts=H</stp>
        <stp>Dir=H</stp>
        <stp>Points=60</stp>
        <stp>Sort=R</stp>
        <stp>Days=A</stp>
        <stp>Fill=B</stp>
        <stp>FX=USD</stp>
        <tr r="F234" s="3"/>
      </tp>
      <tp t="s">
        <v>#N/A Authorization</v>
        <stp/>
        <stp>##V3_BDHV12</stp>
        <stp>RECFTAHC Index</stp>
        <stp>PR005</stp>
        <stp>-60CQ</stp>
        <stp>2018/3/14</stp>
        <stp>[BI_REITN_1_nsme0bl5.xlsx]ReferenceData!R199C6</stp>
        <stp>Per=CQ</stp>
        <stp>Dts=H</stp>
        <stp>Dir=H</stp>
        <stp>Points=60</stp>
        <stp>Sort=R</stp>
        <stp>Days=A</stp>
        <stp>Fill=B</stp>
        <stp>FX=USD</stp>
        <tr r="F199" s="3"/>
      </tp>
      <tp t="s">
        <v>#N/A Authorization</v>
        <stp/>
        <stp>##V3_BDHV12</stp>
        <stp>RECFTAIN Index</stp>
        <stp>PR005</stp>
        <stp>-60CQ</stp>
        <stp>2018/3/14</stp>
        <stp>[BI_REITN_1_nsme0bl5.xlsx]ReferenceData!R187C6</stp>
        <stp>Per=CQ</stp>
        <stp>Dts=H</stp>
        <stp>Dir=H</stp>
        <stp>Points=60</stp>
        <stp>Sort=R</stp>
        <stp>Days=A</stp>
        <stp>Fill=B</stp>
        <stp>FX=USD</stp>
        <tr r="F187" s="3"/>
      </tp>
      <tp t="s">
        <v>#N/A Authorization</v>
        <stp/>
        <stp>##V3_BDHV12</stp>
        <stp>RECFNAEQ Index</stp>
        <stp>PR005</stp>
        <stp>-60CQ</stp>
        <stp>2018/3/14</stp>
        <stp>[BI_REITN_1_nsme0bl5.xlsx]ReferenceData!R220C6</stp>
        <stp>Per=CQ</stp>
        <stp>Dts=H</stp>
        <stp>Dir=H</stp>
        <stp>Points=60</stp>
        <stp>Sort=R</stp>
        <stp>Days=A</stp>
        <stp>Fill=B</stp>
        <stp>FX=USD</stp>
        <tr r="F220" s="3"/>
      </tp>
      <tp t="s">
        <v>#N/A Authorization</v>
        <stp/>
        <stp>##V3_BDHV12</stp>
        <stp>RECFTAFS Index</stp>
        <stp>PR005</stp>
        <stp>-60CQ</stp>
        <stp>2018/3/14</stp>
        <stp>[BI_REITN_1_nsme0bl5.xlsx]ReferenceData!R191C6</stp>
        <stp>Per=CQ</stp>
        <stp>Dts=H</stp>
        <stp>Dir=H</stp>
        <stp>Points=60</stp>
        <stp>Sort=R</stp>
        <stp>Days=A</stp>
        <stp>Fill=B</stp>
        <stp>FX=USD</stp>
        <tr r="F191" s="3"/>
      </tp>
      <tp t="s">
        <v>#N/A Authorization</v>
        <stp/>
        <stp>##V3_BDHV12</stp>
        <stp>RECFNADC Index</stp>
        <stp>PR005</stp>
        <stp>-60CQ</stp>
        <stp>2018/3/14</stp>
        <stp>[BI_REITN_1_nsme0bl5.xlsx]ReferenceData!R235C6</stp>
        <stp>Per=CQ</stp>
        <stp>Dts=H</stp>
        <stp>Dir=H</stp>
        <stp>Points=60</stp>
        <stp>Sort=R</stp>
        <stp>Days=A</stp>
        <stp>Fill=B</stp>
        <stp>FX=USD</stp>
        <tr r="F235" s="3"/>
      </tp>
      <tp t="s">
        <v>#N/A Authorization</v>
        <stp/>
        <stp>##V3_BDHV12</stp>
        <stp>RECFTADC Index</stp>
        <stp>PR005</stp>
        <stp>-60CQ</stp>
        <stp>2018/3/14</stp>
        <stp>[BI_REITN_1_nsme0bl5.xlsx]ReferenceData!R201C6</stp>
        <stp>Per=CQ</stp>
        <stp>Dts=H</stp>
        <stp>Dir=H</stp>
        <stp>Points=60</stp>
        <stp>Sort=R</stp>
        <stp>Days=A</stp>
        <stp>Fill=B</stp>
        <stp>FX=USD</stp>
        <tr r="F201" s="3"/>
      </tp>
      <tp t="s">
        <v>#N/A Authorization</v>
        <stp/>
        <stp>##V3_BDHV12</stp>
        <stp>RECFNADV Index</stp>
        <stp>PR005</stp>
        <stp>-60CQ</stp>
        <stp>2018/3/14</stp>
        <stp>[BI_REITN_1_nsme0bl5.xlsx]ReferenceData!R231C6</stp>
        <stp>Per=CQ</stp>
        <stp>Dts=H</stp>
        <stp>Dir=H</stp>
        <stp>Points=60</stp>
        <stp>Sort=R</stp>
        <stp>Days=A</stp>
        <stp>Fill=B</stp>
        <stp>FX=USD</stp>
        <tr r="F231" s="3"/>
      </tp>
      <tp t="s">
        <v>#N/A Authorization</v>
        <stp/>
        <stp>##V3_BDHV12</stp>
        <stp>RECFTADV Index</stp>
        <stp>PR005</stp>
        <stp>-60CQ</stp>
        <stp>2018/3/14</stp>
        <stp>[BI_REITN_1_nsme0bl5.xlsx]ReferenceData!R196C6</stp>
        <stp>Per=CQ</stp>
        <stp>Dts=H</stp>
        <stp>Dir=H</stp>
        <stp>Points=60</stp>
        <stp>Sort=R</stp>
        <stp>Days=A</stp>
        <stp>Fill=B</stp>
        <stp>FX=USD</stp>
        <tr r="F196" s="3"/>
      </tp>
      <tp t="s">
        <v>#N/A Authorization</v>
        <stp/>
        <stp>##V3_BDHV12</stp>
        <stp>RECFNAFS Index</stp>
        <stp>PR005</stp>
        <stp>-60CQ</stp>
        <stp>2018/3/14</stp>
        <stp>[BI_REITN_1_nsme0bl5.xlsx]ReferenceData!R226C6</stp>
        <stp>Per=CQ</stp>
        <stp>Dts=H</stp>
        <stp>Dir=H</stp>
        <stp>Points=60</stp>
        <stp>Sort=R</stp>
        <stp>Days=A</stp>
        <stp>Fill=B</stp>
        <stp>FX=USD</stp>
        <tr r="F226" s="3"/>
      </tp>
      <tp t="s">
        <v>#N/A Authorization</v>
        <stp/>
        <stp>##V3_BDHV12</stp>
        <stp>RECFTAEQ Index</stp>
        <stp>PR005</stp>
        <stp>-60CQ</stp>
        <stp>2018/3/14</stp>
        <stp>[BI_REITN_1_nsme0bl5.xlsx]ReferenceData!R185C6</stp>
        <stp>Per=CQ</stp>
        <stp>Dts=H</stp>
        <stp>Dir=H</stp>
        <stp>Points=60</stp>
        <stp>Sort=R</stp>
        <stp>Days=A</stp>
        <stp>Fill=B</stp>
        <stp>FX=USD</stp>
        <tr r="F185" s="3"/>
      </tp>
      <tp t="s">
        <v>#N/A Authorization</v>
        <stp/>
        <stp>##V3_BDHV12</stp>
        <stp>RECFNAAP Index</stp>
        <stp>PR005</stp>
        <stp>-60CQ</stp>
        <stp>2018/3/14</stp>
        <stp>[BI_REITN_1_nsme0bl5.xlsx]ReferenceData!R228C6</stp>
        <stp>Per=CQ</stp>
        <stp>Dts=H</stp>
        <stp>Dir=H</stp>
        <stp>Points=60</stp>
        <stp>Sort=R</stp>
        <stp>Days=A</stp>
        <stp>Fill=B</stp>
        <stp>FX=USD</stp>
        <tr r="F228" s="3"/>
      </tp>
      <tp t="s">
        <v>#N/A Authorization</v>
        <stp/>
        <stp>##V3_BDHV12</stp>
        <stp>RECFTAAP Index</stp>
        <stp>PR005</stp>
        <stp>-60CQ</stp>
        <stp>2018/3/14</stp>
        <stp>[BI_REITN_1_nsme0bl5.xlsx]ReferenceData!R193C6</stp>
        <stp>Per=CQ</stp>
        <stp>Dts=H</stp>
        <stp>Dir=H</stp>
        <stp>Points=60</stp>
        <stp>Sort=R</stp>
        <stp>Days=A</stp>
        <stp>Fill=B</stp>
        <stp>FX=USD</stp>
        <tr r="F193" s="3"/>
      </tp>
      <tp t="s">
        <v>#N/A Authorization</v>
        <stp/>
        <stp>##V3_BDHV12</stp>
        <stp>RECFTDTR Index</stp>
        <stp>PR005</stp>
        <stp>-60CQ</stp>
        <stp>2018/3/14</stp>
        <stp>[BI_REITN_1_nsme0bl5.xlsx]ReferenceData!R305C6</stp>
        <stp>Per=CQ</stp>
        <stp>Dts=H</stp>
        <stp>Dir=H</stp>
        <stp>Points=60</stp>
        <stp>Sort=R</stp>
        <stp>Days=A</stp>
        <stp>Fill=B</stp>
        <stp>FX=USD</stp>
        <tr r="F305" s="3"/>
      </tp>
      <tp t="s">
        <v>#N/A Authorization</v>
        <stp/>
        <stp>##V3_BDHV12</stp>
        <stp>RECFTDRE Index</stp>
        <stp>PR005</stp>
        <stp>-60CQ</stp>
        <stp>2018/3/14</stp>
        <stp>[BI_REITN_1_nsme0bl5.xlsx]ReferenceData!R309C6</stp>
        <stp>Per=CQ</stp>
        <stp>Dts=H</stp>
        <stp>Dir=H</stp>
        <stp>Points=60</stp>
        <stp>Sort=R</stp>
        <stp>Days=A</stp>
        <stp>Fill=B</stp>
        <stp>FX=USD</stp>
        <tr r="F309" s="3"/>
      </tp>
      <tp t="s">
        <v>#N/A Authorization</v>
        <stp/>
        <stp>##V3_BDHV12</stp>
        <stp>RECFTDSC Index</stp>
        <stp>PR005</stp>
        <stp>-60CQ</stp>
        <stp>2018/3/14</stp>
        <stp>[BI_REITN_1_nsme0bl5.xlsx]ReferenceData!R294C6</stp>
        <stp>Per=CQ</stp>
        <stp>Dts=H</stp>
        <stp>Dir=H</stp>
        <stp>Points=60</stp>
        <stp>Sort=R</stp>
        <stp>Days=A</stp>
        <stp>Fill=B</stp>
        <stp>FX=USD</stp>
        <tr r="F294" s="3"/>
      </tp>
      <tp t="s">
        <v>#N/A Authorization</v>
        <stp/>
        <stp>##V3_BDHV12</stp>
        <stp>RECFTDRM Index</stp>
        <stp>PR005</stp>
        <stp>-60CQ</stp>
        <stp>2018/3/14</stp>
        <stp>[BI_REITN_1_nsme0bl5.xlsx]ReferenceData!R295C6</stp>
        <stp>Per=CQ</stp>
        <stp>Dts=H</stp>
        <stp>Dir=H</stp>
        <stp>Points=60</stp>
        <stp>Sort=R</stp>
        <stp>Days=A</stp>
        <stp>Fill=B</stp>
        <stp>FX=USD</stp>
        <tr r="F295" s="3"/>
      </tp>
      <tp t="s">
        <v>#N/A Authorization</v>
        <stp/>
        <stp>##V3_BDHV12</stp>
        <stp>RECFTDSF Index</stp>
        <stp>PR005</stp>
        <stp>-60CQ</stp>
        <stp>2018/3/14</stp>
        <stp>[BI_REITN_1_nsme0bl5.xlsx]ReferenceData!R300C6</stp>
        <stp>Per=CQ</stp>
        <stp>Dts=H</stp>
        <stp>Dir=H</stp>
        <stp>Points=60</stp>
        <stp>Sort=R</stp>
        <stp>Days=A</stp>
        <stp>Fill=B</stp>
        <stp>FX=USD</stp>
        <tr r="F300" s="3"/>
      </tp>
      <tp t="s">
        <v>#N/A Authorization</v>
        <stp/>
        <stp>##V3_BDHV12</stp>
        <stp>RECFTDSP Index</stp>
        <stp>PR005</stp>
        <stp>-60CQ</stp>
        <stp>2018/3/14</stp>
        <stp>[BI_REITN_1_nsme0bl5.xlsx]ReferenceData!R307C6</stp>
        <stp>Per=CQ</stp>
        <stp>Dts=H</stp>
        <stp>Dir=H</stp>
        <stp>Points=60</stp>
        <stp>Sort=R</stp>
        <stp>Days=A</stp>
        <stp>Fill=B</stp>
        <stp>FX=USD</stp>
        <tr r="F307" s="3"/>
      </tp>
      <tp t="s">
        <v>#N/A Authorization</v>
        <stp/>
        <stp>##V3_BDHV12</stp>
        <stp>RECFTDSS Index</stp>
        <stp>PR005</stp>
        <stp>-60CQ</stp>
        <stp>2018/3/14</stp>
        <stp>[BI_REITN_1_nsme0bl5.xlsx]ReferenceData!R303C6</stp>
        <stp>Per=CQ</stp>
        <stp>Dts=H</stp>
        <stp>Dir=H</stp>
        <stp>Points=60</stp>
        <stp>Sort=R</stp>
        <stp>Days=A</stp>
        <stp>Fill=B</stp>
        <stp>FX=USD</stp>
        <tr r="F303" s="3"/>
      </tp>
      <tp t="s">
        <v>#N/A Authorization</v>
        <stp/>
        <stp>##V3_BDHV12</stp>
        <stp>RECFTDRS Index</stp>
        <stp>PR005</stp>
        <stp>-60CQ</stp>
        <stp>2018/3/14</stp>
        <stp>[BI_REITN_1_nsme0bl5.xlsx]ReferenceData!R297C6</stp>
        <stp>Per=CQ</stp>
        <stp>Dts=H</stp>
        <stp>Dir=H</stp>
        <stp>Points=60</stp>
        <stp>Sort=R</stp>
        <stp>Days=A</stp>
        <stp>Fill=B</stp>
        <stp>FX=USD</stp>
        <tr r="F297" s="3"/>
      </tp>
      <tp t="s">
        <v>#N/A Authorization</v>
        <stp/>
        <stp>##V3_BDHV12</stp>
        <stp>RECFTDRT Index</stp>
        <stp>PR005</stp>
        <stp>-60CQ</stp>
        <stp>2018/3/14</stp>
        <stp>[BI_REITN_1_nsme0bl5.xlsx]ReferenceData!R293C6</stp>
        <stp>Per=CQ</stp>
        <stp>Dts=H</stp>
        <stp>Dir=H</stp>
        <stp>Points=60</stp>
        <stp>Sort=R</stp>
        <stp>Days=A</stp>
        <stp>Fill=B</stp>
        <stp>FX=USD</stp>
        <tr r="F293" s="3"/>
      </tp>
      <tp t="s">
        <v>#N/A Authorization</v>
        <stp/>
        <stp>##V3_BDHV12</stp>
        <stp>RECFTDMH Index</stp>
        <stp>PR005</stp>
        <stp>-60CQ</stp>
        <stp>2018/3/14</stp>
        <stp>[BI_REITN_1_nsme0bl5.xlsx]ReferenceData!R299C6</stp>
        <stp>Per=CQ</stp>
        <stp>Dts=H</stp>
        <stp>Dir=H</stp>
        <stp>Points=60</stp>
        <stp>Sort=R</stp>
        <stp>Days=A</stp>
        <stp>Fill=B</stp>
        <stp>FX=USD</stp>
        <tr r="F299" s="3"/>
      </tp>
      <tp t="s">
        <v>#N/A Authorization</v>
        <stp/>
        <stp>##V3_BDHV12</stp>
        <stp>RECFTDLR Index</stp>
        <stp>PR005</stp>
        <stp>-60CQ</stp>
        <stp>2018/3/14</stp>
        <stp>[BI_REITN_1_nsme0bl5.xlsx]ReferenceData!R302C6</stp>
        <stp>Per=CQ</stp>
        <stp>Dts=H</stp>
        <stp>Dir=H</stp>
        <stp>Points=60</stp>
        <stp>Sort=R</stp>
        <stp>Days=A</stp>
        <stp>Fill=B</stp>
        <stp>FX=USD</stp>
        <tr r="F302" s="3"/>
      </tp>
      <tp t="s">
        <v>#N/A Authorization</v>
        <stp/>
        <stp>##V3_BDHV12</stp>
        <stp>RECFTDMG Index</stp>
        <stp>PR005</stp>
        <stp>-60CQ</stp>
        <stp>2018/3/14</stp>
        <stp>[BI_REITN_1_nsme0bl5.xlsx]ReferenceData!R308C6</stp>
        <stp>Per=CQ</stp>
        <stp>Dts=H</stp>
        <stp>Dir=H</stp>
        <stp>Points=60</stp>
        <stp>Sort=R</stp>
        <stp>Days=A</stp>
        <stp>Fill=B</stp>
        <stp>FX=USD</stp>
        <tr r="F308" s="3"/>
      </tp>
      <tp t="s">
        <v>#N/A Authorization</v>
        <stp/>
        <stp>##V3_BDHV12</stp>
        <stp>RECFTDOF Index</stp>
        <stp>PR005</stp>
        <stp>-60CQ</stp>
        <stp>2018/3/14</stp>
        <stp>[BI_REITN_1_nsme0bl5.xlsx]ReferenceData!R291C6</stp>
        <stp>Per=CQ</stp>
        <stp>Dts=H</stp>
        <stp>Dir=H</stp>
        <stp>Points=60</stp>
        <stp>Sort=R</stp>
        <stp>Days=A</stp>
        <stp>Fill=B</stp>
        <stp>FX=USD</stp>
        <tr r="F291" s="3"/>
      </tp>
      <tp t="s">
        <v>#N/A Authorization</v>
        <stp/>
        <stp>##V3_BDHV12</stp>
        <stp>RECFTDHC Index</stp>
        <stp>PR005</stp>
        <stp>-60CQ</stp>
        <stp>2018/3/14</stp>
        <stp>[BI_REITN_1_nsme0bl5.xlsx]ReferenceData!R304C6</stp>
        <stp>Per=CQ</stp>
        <stp>Dts=H</stp>
        <stp>Dir=H</stp>
        <stp>Points=60</stp>
        <stp>Sort=R</stp>
        <stp>Days=A</stp>
        <stp>Fill=B</stp>
        <stp>FX=USD</stp>
        <tr r="F304" s="3"/>
      </tp>
      <tp t="s">
        <v>#N/A Authorization</v>
        <stp/>
        <stp>##V3_BDHV12</stp>
        <stp>RECFTDIN Index</stp>
        <stp>PR005</stp>
        <stp>-60CQ</stp>
        <stp>2018/3/14</stp>
        <stp>[BI_REITN_1_nsme0bl5.xlsx]ReferenceData!R292C6</stp>
        <stp>Per=CQ</stp>
        <stp>Dts=H</stp>
        <stp>Dir=H</stp>
        <stp>Points=60</stp>
        <stp>Sort=R</stp>
        <stp>Days=A</stp>
        <stp>Fill=B</stp>
        <stp>FX=USD</stp>
        <tr r="F292" s="3"/>
      </tp>
      <tp t="s">
        <v>#N/A Authorization</v>
        <stp/>
        <stp>##V3_BDHV12</stp>
        <stp>RECFTDDC Index</stp>
        <stp>PR005</stp>
        <stp>-60CQ</stp>
        <stp>2018/3/14</stp>
        <stp>[BI_REITN_1_nsme0bl5.xlsx]ReferenceData!R306C6</stp>
        <stp>Per=CQ</stp>
        <stp>Dts=H</stp>
        <stp>Dir=H</stp>
        <stp>Points=60</stp>
        <stp>Sort=R</stp>
        <stp>Days=A</stp>
        <stp>Fill=B</stp>
        <stp>FX=USD</stp>
        <tr r="F306" s="3"/>
      </tp>
      <tp t="s">
        <v>#N/A Authorization</v>
        <stp/>
        <stp>##V3_BDHV12</stp>
        <stp>RECFTDDV Index</stp>
        <stp>PR005</stp>
        <stp>-60CQ</stp>
        <stp>2018/3/14</stp>
        <stp>[BI_REITN_1_nsme0bl5.xlsx]ReferenceData!R301C6</stp>
        <stp>Per=CQ</stp>
        <stp>Dts=H</stp>
        <stp>Dir=H</stp>
        <stp>Points=60</stp>
        <stp>Sort=R</stp>
        <stp>Days=A</stp>
        <stp>Fill=B</stp>
        <stp>FX=USD</stp>
        <tr r="F301" s="3"/>
      </tp>
      <tp t="s">
        <v>#N/A Authorization</v>
        <stp/>
        <stp>##V3_BDHV12</stp>
        <stp>RECFTDEQ Index</stp>
        <stp>PR005</stp>
        <stp>-60CQ</stp>
        <stp>2018/3/14</stp>
        <stp>[BI_REITN_1_nsme0bl5.xlsx]ReferenceData!R290C6</stp>
        <stp>Per=CQ</stp>
        <stp>Dts=H</stp>
        <stp>Dir=H</stp>
        <stp>Points=60</stp>
        <stp>Sort=R</stp>
        <stp>Days=A</stp>
        <stp>Fill=B</stp>
        <stp>FX=USD</stp>
        <tr r="F290" s="3"/>
      </tp>
      <tp t="s">
        <v>#N/A Authorization</v>
        <stp/>
        <stp>##V3_BDHV12</stp>
        <stp>RECFTDFS Index</stp>
        <stp>PR005</stp>
        <stp>-60CQ</stp>
        <stp>2018/3/14</stp>
        <stp>[BI_REITN_1_nsme0bl5.xlsx]ReferenceData!R296C6</stp>
        <stp>Per=CQ</stp>
        <stp>Dts=H</stp>
        <stp>Dir=H</stp>
        <stp>Points=60</stp>
        <stp>Sort=R</stp>
        <stp>Days=A</stp>
        <stp>Fill=B</stp>
        <stp>FX=USD</stp>
        <tr r="F296" s="3"/>
      </tp>
      <tp t="s">
        <v>#N/A Authorization</v>
        <stp/>
        <stp>##V3_BDHV12</stp>
        <stp>RECFTDAP Index</stp>
        <stp>PR005</stp>
        <stp>-60CQ</stp>
        <stp>2018/3/14</stp>
        <stp>[BI_REITN_1_nsme0bl5.xlsx]ReferenceData!R298C6</stp>
        <stp>Per=CQ</stp>
        <stp>Dts=H</stp>
        <stp>Dir=H</stp>
        <stp>Points=60</stp>
        <stp>Sort=R</stp>
        <stp>Days=A</stp>
        <stp>Fill=B</stp>
        <stp>FX=USD</stp>
        <tr r="F298" s="3"/>
      </tp>
      <tp t="s">
        <v>#N/A Authorization</v>
        <stp/>
        <stp>##V3_BDHV12</stp>
        <stp>RECFNOYY Index</stp>
        <stp>PR005</stp>
        <stp>-60CQ</stp>
        <stp>2018/3/14</stp>
        <stp>[BI_REITN_1_nsme0bl5.xlsx]ReferenceData!R289C6</stp>
        <stp>Per=CQ</stp>
        <stp>Dts=H</stp>
        <stp>Dir=H</stp>
        <stp>Points=60</stp>
        <stp>Sort=R</stp>
        <stp>Days=A</stp>
        <stp>Fill=B</stp>
        <stp>FX=USD</stp>
        <tr r="F289" s="3"/>
      </tp>
      <tp t="s">
        <v>#N/A Authorization</v>
        <stp/>
        <stp>##V3_BDHV12</stp>
        <stp>RECFFOYY Index</stp>
        <stp>PR005</stp>
        <stp>-60CQ</stp>
        <stp>2018/3/14</stp>
        <stp>[BI_REITN_1_nsme0bl5.xlsx]ReferenceData!R269C6</stp>
        <stp>Per=CQ</stp>
        <stp>Dts=H</stp>
        <stp>Dir=H</stp>
        <stp>Points=60</stp>
        <stp>Sort=R</stp>
        <stp>Days=A</stp>
        <stp>Fill=B</stp>
        <stp>FX=USD</stp>
        <tr r="F269" s="3"/>
      </tp>
      <tp t="s">
        <v>#N/A Authorization</v>
        <stp/>
        <stp>##V3_BDHV12</stp>
        <stp>RECFNOTR Index</stp>
        <stp>PR005</stp>
        <stp>-60CQ</stp>
        <stp>2018/3/14</stp>
        <stp>[BI_REITN_1_nsme0bl5.xlsx]ReferenceData!R285C6</stp>
        <stp>Per=CQ</stp>
        <stp>Dts=H</stp>
        <stp>Dir=H</stp>
        <stp>Points=60</stp>
        <stp>Sort=R</stp>
        <stp>Days=A</stp>
        <stp>Fill=B</stp>
        <stp>FX=USD</stp>
        <tr r="F285" s="3"/>
      </tp>
      <tp t="s">
        <v>#N/A Authorization</v>
        <stp/>
        <stp>##V3_BDHV12</stp>
        <stp>RECFFOQQ Index</stp>
        <stp>PR005</stp>
        <stp>-60CQ</stp>
        <stp>2018/3/14</stp>
        <stp>[BI_REITN_1_nsme0bl5.xlsx]ReferenceData!R268C6</stp>
        <stp>Per=CQ</stp>
        <stp>Dts=H</stp>
        <stp>Dir=H</stp>
        <stp>Points=60</stp>
        <stp>Sort=R</stp>
        <stp>Days=A</stp>
        <stp>Fill=B</stp>
        <stp>FX=USD</stp>
        <tr r="F268" s="3"/>
      </tp>
      <tp t="s">
        <v>#N/A Authorization</v>
        <stp/>
        <stp>##V3_BDHV12</stp>
        <stp>RECFNOQQ Index</stp>
        <stp>PR005</stp>
        <stp>-60CQ</stp>
        <stp>2018/3/14</stp>
        <stp>[BI_REITN_1_nsme0bl5.xlsx]ReferenceData!R288C6</stp>
        <stp>Per=CQ</stp>
        <stp>Dts=H</stp>
        <stp>Dir=H</stp>
        <stp>Points=60</stp>
        <stp>Sort=R</stp>
        <stp>Days=A</stp>
        <stp>Fill=B</stp>
        <stp>FX=USD</stp>
        <tr r="F288" s="3"/>
      </tp>
      <tp t="s">
        <v>#N/A Authorization</v>
        <stp/>
        <stp>##V3_BDHV12</stp>
        <stp>RECFFOSF Index</stp>
        <stp>PR005</stp>
        <stp>-60CQ</stp>
        <stp>2018/3/14</stp>
        <stp>[BI_REITN_1_nsme0bl5.xlsx]ReferenceData!R261C6</stp>
        <stp>Per=CQ</stp>
        <stp>Dts=H</stp>
        <stp>Dir=H</stp>
        <stp>Points=60</stp>
        <stp>Sort=R</stp>
        <stp>Days=A</stp>
        <stp>Fill=B</stp>
        <stp>FX=USD</stp>
        <tr r="F261" s="3"/>
      </tp>
      <tp t="s">
        <v>#N/A Authorization</v>
        <stp/>
        <stp>##V3_BDHV12</stp>
        <stp>RECFNOSC Index</stp>
        <stp>PR005</stp>
        <stp>-60CQ</stp>
        <stp>2018/3/14</stp>
        <stp>[BI_REITN_1_nsme0bl5.xlsx]ReferenceData!R274C6</stp>
        <stp>Per=CQ</stp>
        <stp>Dts=H</stp>
        <stp>Dir=H</stp>
        <stp>Points=60</stp>
        <stp>Sort=R</stp>
        <stp>Days=A</stp>
        <stp>Fill=B</stp>
        <stp>FX=USD</stp>
        <tr r="F274" s="3"/>
      </tp>
      <tp t="s">
        <v>#N/A Authorization</v>
        <stp/>
        <stp>##V3_BDHV12</stp>
        <stp>RECFFOSC Index</stp>
        <stp>PR005</stp>
        <stp>-60CQ</stp>
        <stp>2018/3/14</stp>
        <stp>[BI_REITN_1_nsme0bl5.xlsx]ReferenceData!R255C6</stp>
        <stp>Per=CQ</stp>
        <stp>Dts=H</stp>
        <stp>Dir=H</stp>
        <stp>Points=60</stp>
        <stp>Sort=R</stp>
        <stp>Days=A</stp>
        <stp>Fill=B</stp>
        <stp>FX=USD</stp>
        <tr r="F255" s="3"/>
      </tp>
      <tp t="s">
        <v>#N/A Authorization</v>
        <stp/>
        <stp>##V3_BDHV12</stp>
        <stp>RECFNOSF Index</stp>
        <stp>PR005</stp>
        <stp>-60CQ</stp>
        <stp>2018/3/14</stp>
        <stp>[BI_REITN_1_nsme0bl5.xlsx]ReferenceData!R280C6</stp>
        <stp>Per=CQ</stp>
        <stp>Dts=H</stp>
        <stp>Dir=H</stp>
        <stp>Points=60</stp>
        <stp>Sort=R</stp>
        <stp>Days=A</stp>
        <stp>Fill=B</stp>
        <stp>FX=USD</stp>
        <tr r="F280" s="3"/>
      </tp>
      <tp t="s">
        <v>#N/A Authorization</v>
        <stp/>
        <stp>##V3_BDHV12</stp>
        <stp>RECFFOSS Index</stp>
        <stp>PR005</stp>
        <stp>-60CQ</stp>
        <stp>2018/3/14</stp>
        <stp>[BI_REITN_1_nsme0bl5.xlsx]ReferenceData!R264C6</stp>
        <stp>Per=CQ</stp>
        <stp>Dts=H</stp>
        <stp>Dir=H</stp>
        <stp>Points=60</stp>
        <stp>Sort=R</stp>
        <stp>Days=A</stp>
        <stp>Fill=B</stp>
        <stp>FX=USD</stp>
        <tr r="F264" s="3"/>
      </tp>
      <tp t="s">
        <v>#N/A Authorization</v>
        <stp/>
        <stp>##V3_BDHV12</stp>
        <stp>RECFFOSP Index</stp>
        <stp>PR005</stp>
        <stp>-60CQ</stp>
        <stp>2018/3/14</stp>
        <stp>[BI_REITN_1_nsme0bl5.xlsx]ReferenceData!R267C6</stp>
        <stp>Per=CQ</stp>
        <stp>Dts=H</stp>
        <stp>Dir=H</stp>
        <stp>Points=60</stp>
        <stp>Sort=R</stp>
        <stp>Days=A</stp>
        <stp>Fill=B</stp>
        <stp>FX=USD</stp>
        <tr r="F267" s="3"/>
      </tp>
      <tp t="s">
        <v>#N/A Authorization</v>
        <stp/>
        <stp>##V3_BDHV12</stp>
        <stp>RECFNOSP Index</stp>
        <stp>PR005</stp>
        <stp>-60CQ</stp>
        <stp>2018/3/14</stp>
        <stp>[BI_REITN_1_nsme0bl5.xlsx]ReferenceData!R287C6</stp>
        <stp>Per=CQ</stp>
        <stp>Dts=H</stp>
        <stp>Dir=H</stp>
        <stp>Points=60</stp>
        <stp>Sort=R</stp>
        <stp>Days=A</stp>
        <stp>Fill=B</stp>
        <stp>FX=USD</stp>
        <tr r="F287" s="3"/>
      </tp>
      <tp t="s">
        <v>#N/A Authorization</v>
        <stp/>
        <stp>##V3_BDHV12</stp>
        <stp>RECFNOSS Index</stp>
        <stp>PR005</stp>
        <stp>-60CQ</stp>
        <stp>2018/3/14</stp>
        <stp>[BI_REITN_1_nsme0bl5.xlsx]ReferenceData!R283C6</stp>
        <stp>Per=CQ</stp>
        <stp>Dts=H</stp>
        <stp>Dir=H</stp>
        <stp>Points=60</stp>
        <stp>Sort=R</stp>
        <stp>Days=A</stp>
        <stp>Fill=B</stp>
        <stp>FX=USD</stp>
        <tr r="F283" s="3"/>
      </tp>
      <tp t="s">
        <v>#N/A Authorization</v>
        <stp/>
        <stp>##V3_BDHV12</stp>
        <stp>RECFFORM Index</stp>
        <stp>PR005</stp>
        <stp>-60CQ</stp>
        <stp>2018/3/14</stp>
        <stp>[BI_REITN_1_nsme0bl5.xlsx]ReferenceData!R256C6</stp>
        <stp>Per=CQ</stp>
        <stp>Dts=H</stp>
        <stp>Dir=H</stp>
        <stp>Points=60</stp>
        <stp>Sort=R</stp>
        <stp>Days=A</stp>
        <stp>Fill=B</stp>
        <stp>FX=USD</stp>
        <tr r="F256" s="3"/>
      </tp>
      <tp t="s">
        <v>#N/A Authorization</v>
        <stp/>
        <stp>##V3_BDHV12</stp>
        <stp>RECFNORM Index</stp>
        <stp>PR005</stp>
        <stp>-60CQ</stp>
        <stp>2018/3/14</stp>
        <stp>[BI_REITN_1_nsme0bl5.xlsx]ReferenceData!R275C6</stp>
        <stp>Per=CQ</stp>
        <stp>Dts=H</stp>
        <stp>Dir=H</stp>
        <stp>Points=60</stp>
        <stp>Sort=R</stp>
        <stp>Days=A</stp>
        <stp>Fill=B</stp>
        <stp>FX=USD</stp>
        <tr r="F275" s="3"/>
      </tp>
      <tp t="s">
        <v>#N/A Authorization</v>
        <stp/>
        <stp>##V3_BDHV12</stp>
        <stp>RECFFORT Index</stp>
        <stp>PR005</stp>
        <stp>-60CQ</stp>
        <stp>2018/3/14</stp>
        <stp>[BI_REITN_1_nsme0bl5.xlsx]ReferenceData!R254C6</stp>
        <stp>Per=CQ</stp>
        <stp>Dts=H</stp>
        <stp>Dir=H</stp>
        <stp>Points=60</stp>
        <stp>Sort=R</stp>
        <stp>Days=A</stp>
        <stp>Fill=B</stp>
        <stp>FX=USD</stp>
        <tr r="F254" s="3"/>
      </tp>
      <tp t="s">
        <v>#N/A Authorization</v>
        <stp/>
        <stp>##V3_BDHV12</stp>
        <stp>RECFNORT Index</stp>
        <stp>PR005</stp>
        <stp>-60CQ</stp>
        <stp>2018/3/14</stp>
        <stp>[BI_REITN_1_nsme0bl5.xlsx]ReferenceData!R273C6</stp>
        <stp>Per=CQ</stp>
        <stp>Dts=H</stp>
        <stp>Dir=H</stp>
        <stp>Points=60</stp>
        <stp>Sort=R</stp>
        <stp>Days=A</stp>
        <stp>Fill=B</stp>
        <stp>FX=USD</stp>
        <tr r="F273" s="3"/>
      </tp>
      <tp t="s">
        <v>#N/A Authorization</v>
        <stp/>
        <stp>##V3_BDHV12</stp>
        <stp>RECFNORS Index</stp>
        <stp>PR005</stp>
        <stp>-60CQ</stp>
        <stp>2018/3/14</stp>
        <stp>[BI_REITN_1_nsme0bl5.xlsx]ReferenceData!R277C6</stp>
        <stp>Per=CQ</stp>
        <stp>Dts=H</stp>
        <stp>Dir=H</stp>
        <stp>Points=60</stp>
        <stp>Sort=R</stp>
        <stp>Days=A</stp>
        <stp>Fill=B</stp>
        <stp>FX=USD</stp>
        <tr r="F277" s="3"/>
      </tp>
      <tp t="s">
        <v>#N/A Authorization</v>
        <stp/>
        <stp>##V3_BDHV12</stp>
        <stp>RECFFORS Index</stp>
        <stp>PR005</stp>
        <stp>-60CQ</stp>
        <stp>2018/3/14</stp>
        <stp>[BI_REITN_1_nsme0bl5.xlsx]ReferenceData!R258C6</stp>
        <stp>Per=CQ</stp>
        <stp>Dts=H</stp>
        <stp>Dir=H</stp>
        <stp>Points=60</stp>
        <stp>Sort=R</stp>
        <stp>Days=A</stp>
        <stp>Fill=B</stp>
        <stp>FX=USD</stp>
        <tr r="F258" s="3"/>
      </tp>
      <tp t="s">
        <v>#N/A Authorization</v>
        <stp/>
        <stp>##V3_BDHV12</stp>
        <stp>RECFNOMH Index</stp>
        <stp>PR005</stp>
        <stp>-60CQ</stp>
        <stp>2018/3/14</stp>
        <stp>[BI_REITN_1_nsme0bl5.xlsx]ReferenceData!R279C6</stp>
        <stp>Per=CQ</stp>
        <stp>Dts=H</stp>
        <stp>Dir=H</stp>
        <stp>Points=60</stp>
        <stp>Sort=R</stp>
        <stp>Days=A</stp>
        <stp>Fill=B</stp>
        <stp>FX=USD</stp>
        <tr r="F279" s="3"/>
      </tp>
      <tp t="s">
        <v>#N/A Authorization</v>
        <stp/>
        <stp>##V3_BDHV12</stp>
        <stp>RECFFOMH Index</stp>
        <stp>PR005</stp>
        <stp>-60CQ</stp>
        <stp>2018/3/14</stp>
        <stp>[BI_REITN_1_nsme0bl5.xlsx]ReferenceData!R260C6</stp>
        <stp>Per=CQ</stp>
        <stp>Dts=H</stp>
        <stp>Dir=H</stp>
        <stp>Points=60</stp>
        <stp>Sort=R</stp>
        <stp>Days=A</stp>
        <stp>Fill=B</stp>
        <stp>FX=USD</stp>
        <tr r="F260" s="3"/>
      </tp>
      <tp t="s">
        <v>#N/A Authorization</v>
        <stp/>
        <stp>##V3_BDHV12</stp>
        <stp>RECFFOLR Index</stp>
        <stp>PR005</stp>
        <stp>-60CQ</stp>
        <stp>2018/3/14</stp>
        <stp>[BI_REITN_1_nsme0bl5.xlsx]ReferenceData!R263C6</stp>
        <stp>Per=CQ</stp>
        <stp>Dts=H</stp>
        <stp>Dir=H</stp>
        <stp>Points=60</stp>
        <stp>Sort=R</stp>
        <stp>Days=A</stp>
        <stp>Fill=B</stp>
        <stp>FX=USD</stp>
        <tr r="F263" s="3"/>
      </tp>
      <tp t="s">
        <v>#N/A Authorization</v>
        <stp/>
        <stp>##V3_BDHV12</stp>
        <stp>RECFNOLR Index</stp>
        <stp>PR005</stp>
        <stp>-60CQ</stp>
        <stp>2018/3/14</stp>
        <stp>[BI_REITN_1_nsme0bl5.xlsx]ReferenceData!R282C6</stp>
        <stp>Per=CQ</stp>
        <stp>Dts=H</stp>
        <stp>Dir=H</stp>
        <stp>Points=60</stp>
        <stp>Sort=R</stp>
        <stp>Days=A</stp>
        <stp>Fill=B</stp>
        <stp>FX=USD</stp>
        <tr r="F282" s="3"/>
      </tp>
      <tp t="s">
        <v>#N/A Authorization</v>
        <stp/>
        <stp>##V3_BDHV12</stp>
        <stp>RECFNOOF Index</stp>
        <stp>PR005</stp>
        <stp>-60CQ</stp>
        <stp>2018/3/14</stp>
        <stp>[BI_REITN_1_nsme0bl5.xlsx]ReferenceData!R271C6</stp>
        <stp>Per=CQ</stp>
        <stp>Dts=H</stp>
        <stp>Dir=H</stp>
        <stp>Points=60</stp>
        <stp>Sort=R</stp>
        <stp>Days=A</stp>
        <stp>Fill=B</stp>
        <stp>FX=USD</stp>
        <tr r="F271" s="3"/>
      </tp>
      <tp t="s">
        <v>#N/A Authorization</v>
        <stp/>
        <stp>##V3_BDHV12</stp>
        <stp>RECFFOOF Index</stp>
        <stp>PR005</stp>
        <stp>-60CQ</stp>
        <stp>2018/3/14</stp>
        <stp>[BI_REITN_1_nsme0bl5.xlsx]ReferenceData!R252C6</stp>
        <stp>Per=CQ</stp>
        <stp>Dts=H</stp>
        <stp>Dir=H</stp>
        <stp>Points=60</stp>
        <stp>Sort=R</stp>
        <stp>Days=A</stp>
        <stp>Fill=B</stp>
        <stp>FX=USD</stp>
        <tr r="F252" s="3"/>
      </tp>
      <tp t="s">
        <v>#N/A Authorization</v>
        <stp/>
        <stp>##V3_BDHV12</stp>
        <stp>RECFNOIN Index</stp>
        <stp>PR005</stp>
        <stp>-60CQ</stp>
        <stp>2018/3/14</stp>
        <stp>[BI_REITN_1_nsme0bl5.xlsx]ReferenceData!R272C6</stp>
        <stp>Per=CQ</stp>
        <stp>Dts=H</stp>
        <stp>Dir=H</stp>
        <stp>Points=60</stp>
        <stp>Sort=R</stp>
        <stp>Days=A</stp>
        <stp>Fill=B</stp>
        <stp>FX=USD</stp>
        <tr r="F272" s="3"/>
      </tp>
      <tp t="s">
        <v>#N/A Authorization</v>
        <stp/>
        <stp>##V3_BDHV12</stp>
        <stp>RECFFOIN Index</stp>
        <stp>PR005</stp>
        <stp>-60CQ</stp>
        <stp>2018/3/14</stp>
        <stp>[BI_REITN_1_nsme0bl5.xlsx]ReferenceData!R253C6</stp>
        <stp>Per=CQ</stp>
        <stp>Dts=H</stp>
        <stp>Dir=H</stp>
        <stp>Points=60</stp>
        <stp>Sort=R</stp>
        <stp>Days=A</stp>
        <stp>Fill=B</stp>
        <stp>FX=USD</stp>
        <tr r="F253" s="3"/>
      </tp>
      <tp t="s">
        <v>#N/A Authorization</v>
        <stp/>
        <stp>##V3_BDHV12</stp>
        <stp>RECFFOHC Index</stp>
        <stp>PR005</stp>
        <stp>-60CQ</stp>
        <stp>2018/3/14</stp>
        <stp>[BI_REITN_1_nsme0bl5.xlsx]ReferenceData!R265C6</stp>
        <stp>Per=CQ</stp>
        <stp>Dts=H</stp>
        <stp>Dir=H</stp>
        <stp>Points=60</stp>
        <stp>Sort=R</stp>
        <stp>Days=A</stp>
        <stp>Fill=B</stp>
        <stp>FX=USD</stp>
        <tr r="F265" s="3"/>
      </tp>
      <tp t="s">
        <v>#N/A Authorization</v>
        <stp/>
        <stp>##V3_BDHV12</stp>
        <stp>RECFNOHC Index</stp>
        <stp>PR005</stp>
        <stp>-60CQ</stp>
        <stp>2018/3/14</stp>
        <stp>[BI_REITN_1_nsme0bl5.xlsx]ReferenceData!R284C6</stp>
        <stp>Per=CQ</stp>
        <stp>Dts=H</stp>
        <stp>Dir=H</stp>
        <stp>Points=60</stp>
        <stp>Sort=R</stp>
        <stp>Days=A</stp>
        <stp>Fill=B</stp>
        <stp>FX=USD</stp>
        <tr r="F284" s="3"/>
      </tp>
      <tp t="s">
        <v>#N/A Authorization</v>
        <stp/>
        <stp>##V3_BDHV12</stp>
        <stp>RECFFOEQ Index</stp>
        <stp>PR005</stp>
        <stp>-60CQ</stp>
        <stp>2018/3/14</stp>
        <stp>[BI_REITN_1_nsme0bl5.xlsx]ReferenceData!R251C6</stp>
        <stp>Per=CQ</stp>
        <stp>Dts=H</stp>
        <stp>Dir=H</stp>
        <stp>Points=60</stp>
        <stp>Sort=R</stp>
        <stp>Days=A</stp>
        <stp>Fill=B</stp>
        <stp>FX=USD</stp>
        <tr r="F251" s="3"/>
      </tp>
      <tp t="s">
        <v>#N/A Authorization</v>
        <stp/>
        <stp>##V3_BDHV12</stp>
        <stp>RECFNOEQ Index</stp>
        <stp>PR005</stp>
        <stp>-60CQ</stp>
        <stp>2018/3/14</stp>
        <stp>[BI_REITN_1_nsme0bl5.xlsx]ReferenceData!R270C6</stp>
        <stp>Per=CQ</stp>
        <stp>Dts=H</stp>
        <stp>Dir=H</stp>
        <stp>Points=60</stp>
        <stp>Sort=R</stp>
        <stp>Days=A</stp>
        <stp>Fill=B</stp>
        <stp>FX=USD</stp>
        <tr r="F270" s="3"/>
      </tp>
      <tp t="s">
        <v>#N/A Authorization</v>
        <stp/>
        <stp>##V3_BDHV12</stp>
        <stp>RECFFODC Index</stp>
        <stp>PR005</stp>
        <stp>-60CQ</stp>
        <stp>2018/3/14</stp>
        <stp>[BI_REITN_1_nsme0bl5.xlsx]ReferenceData!R266C6</stp>
        <stp>Per=CQ</stp>
        <stp>Dts=H</stp>
        <stp>Dir=H</stp>
        <stp>Points=60</stp>
        <stp>Sort=R</stp>
        <stp>Days=A</stp>
        <stp>Fill=B</stp>
        <stp>FX=USD</stp>
        <tr r="F266" s="3"/>
      </tp>
      <tp t="s">
        <v>#N/A Authorization</v>
        <stp/>
        <stp>##V3_BDHV12</stp>
        <stp>RECFNODC Index</stp>
        <stp>PR005</stp>
        <stp>-60CQ</stp>
        <stp>2018/3/14</stp>
        <stp>[BI_REITN_1_nsme0bl5.xlsx]ReferenceData!R286C6</stp>
        <stp>Per=CQ</stp>
        <stp>Dts=H</stp>
        <stp>Dir=H</stp>
        <stp>Points=60</stp>
        <stp>Sort=R</stp>
        <stp>Days=A</stp>
        <stp>Fill=B</stp>
        <stp>FX=USD</stp>
        <tr r="F286" s="3"/>
      </tp>
      <tp t="s">
        <v>#N/A Authorization</v>
        <stp/>
        <stp>##V3_BDHV12</stp>
        <stp>RECFFODV Index</stp>
        <stp>PR005</stp>
        <stp>-60CQ</stp>
        <stp>2018/3/14</stp>
        <stp>[BI_REITN_1_nsme0bl5.xlsx]ReferenceData!R262C6</stp>
        <stp>Per=CQ</stp>
        <stp>Dts=H</stp>
        <stp>Dir=H</stp>
        <stp>Points=60</stp>
        <stp>Sort=R</stp>
        <stp>Days=A</stp>
        <stp>Fill=B</stp>
        <stp>FX=USD</stp>
        <tr r="F262" s="3"/>
      </tp>
      <tp t="s">
        <v>#N/A Authorization</v>
        <stp/>
        <stp>##V3_BDHV12</stp>
        <stp>RECFNODV Index</stp>
        <stp>PR005</stp>
        <stp>-60CQ</stp>
        <stp>2018/3/14</stp>
        <stp>[BI_REITN_1_nsme0bl5.xlsx]ReferenceData!R281C6</stp>
        <stp>Per=CQ</stp>
        <stp>Dts=H</stp>
        <stp>Dir=H</stp>
        <stp>Points=60</stp>
        <stp>Sort=R</stp>
        <stp>Days=A</stp>
        <stp>Fill=B</stp>
        <stp>FX=USD</stp>
        <tr r="F281" s="3"/>
      </tp>
      <tp t="s">
        <v>#N/A Authorization</v>
        <stp/>
        <stp>##V3_BDHV12</stp>
        <stp>RECFNOFS Index</stp>
        <stp>PR005</stp>
        <stp>-60CQ</stp>
        <stp>2018/3/14</stp>
        <stp>[BI_REITN_1_nsme0bl5.xlsx]ReferenceData!R276C6</stp>
        <stp>Per=CQ</stp>
        <stp>Dts=H</stp>
        <stp>Dir=H</stp>
        <stp>Points=60</stp>
        <stp>Sort=R</stp>
        <stp>Days=A</stp>
        <stp>Fill=B</stp>
        <stp>FX=USD</stp>
        <tr r="F276" s="3"/>
      </tp>
      <tp t="s">
        <v>#N/A Authorization</v>
        <stp/>
        <stp>##V3_BDHV12</stp>
        <stp>RECFFOFS Index</stp>
        <stp>PR005</stp>
        <stp>-60CQ</stp>
        <stp>2018/3/14</stp>
        <stp>[BI_REITN_1_nsme0bl5.xlsx]ReferenceData!R257C6</stp>
        <stp>Per=CQ</stp>
        <stp>Dts=H</stp>
        <stp>Dir=H</stp>
        <stp>Points=60</stp>
        <stp>Sort=R</stp>
        <stp>Days=A</stp>
        <stp>Fill=B</stp>
        <stp>FX=USD</stp>
        <tr r="F257" s="3"/>
      </tp>
      <tp t="s">
        <v>#N/A Authorization</v>
        <stp/>
        <stp>##V3_BDHV12</stp>
        <stp>RECFFOAP Index</stp>
        <stp>PR005</stp>
        <stp>-60CQ</stp>
        <stp>2018/3/14</stp>
        <stp>[BI_REITN_1_nsme0bl5.xlsx]ReferenceData!R259C6</stp>
        <stp>Per=CQ</stp>
        <stp>Dts=H</stp>
        <stp>Dir=H</stp>
        <stp>Points=60</stp>
        <stp>Sort=R</stp>
        <stp>Days=A</stp>
        <stp>Fill=B</stp>
        <stp>FX=USD</stp>
        <tr r="F259" s="3"/>
      </tp>
      <tp t="s">
        <v>#N/A Authorization</v>
        <stp/>
        <stp>##V3_BDHV12</stp>
        <stp>RECFNOAP Index</stp>
        <stp>PR005</stp>
        <stp>-60CQ</stp>
        <stp>2018/3/14</stp>
        <stp>[BI_REITN_1_nsme0bl5.xlsx]ReferenceData!R278C6</stp>
        <stp>Per=CQ</stp>
        <stp>Dts=H</stp>
        <stp>Dir=H</stp>
        <stp>Points=60</stp>
        <stp>Sort=R</stp>
        <stp>Days=A</stp>
        <stp>Fill=B</stp>
        <stp>FX=USD</stp>
        <tr r="F278" s="3"/>
      </tp>
      <tp t="s">
        <v>#N/A Authorization</v>
        <stp/>
        <stp>##V3_BDHV12</stp>
        <stp>RECFDSSC Index</stp>
        <stp>PR005</stp>
        <stp>-60CQ</stp>
        <stp>2018/3/14</stp>
        <stp>[BI_REITN_1_nsme0bl5.xlsx]ReferenceData!R207C6</stp>
        <stp>Per=CQ</stp>
        <stp>Dts=H</stp>
        <stp>Dir=H</stp>
        <stp>Points=60</stp>
        <stp>Sort=R</stp>
        <stp>Days=A</stp>
        <stp>Fill=B</stp>
        <stp>FX=USD</stp>
        <tr r="F207" s="3"/>
      </tp>
      <tp t="s">
        <v>#N/A Authorization</v>
        <stp/>
        <stp>##V3_BDHV12</stp>
        <stp>RECFSSSF Index</stp>
        <stp>PR005</stp>
        <stp>-60CQ</stp>
        <stp>2018/3/14</stp>
        <stp>[BI_REITN_1_nsme0bl5.xlsx]ReferenceData!R246C6</stp>
        <stp>Per=CQ</stp>
        <stp>Dts=H</stp>
        <stp>Dir=H</stp>
        <stp>Points=60</stp>
        <stp>Sort=R</stp>
        <stp>Days=A</stp>
        <stp>Fill=B</stp>
        <stp>FX=USD</stp>
        <tr r="F246" s="3"/>
      </tp>
      <tp t="s">
        <v>#N/A Authorization</v>
        <stp/>
        <stp>##V3_BDHV12</stp>
        <stp>RECFSSSC Index</stp>
        <stp>PR005</stp>
        <stp>-60CQ</stp>
        <stp>2018/3/14</stp>
        <stp>[BI_REITN_1_nsme0bl5.xlsx]ReferenceData!R241C6</stp>
        <stp>Per=CQ</stp>
        <stp>Dts=H</stp>
        <stp>Dir=H</stp>
        <stp>Points=60</stp>
        <stp>Sort=R</stp>
        <stp>Days=A</stp>
        <stp>Fill=B</stp>
        <stp>FX=USD</stp>
        <tr r="F241" s="3"/>
      </tp>
      <tp t="s">
        <v>#N/A Authorization</v>
        <stp/>
        <stp>##V3_BDHV12</stp>
        <stp>RECFDSSF Index</stp>
        <stp>PR005</stp>
        <stp>-60CQ</stp>
        <stp>2018/3/14</stp>
        <stp>[BI_REITN_1_nsme0bl5.xlsx]ReferenceData!R213C6</stp>
        <stp>Per=CQ</stp>
        <stp>Dts=H</stp>
        <stp>Dir=H</stp>
        <stp>Points=60</stp>
        <stp>Sort=R</stp>
        <stp>Days=A</stp>
        <stp>Fill=B</stp>
        <stp>FX=USD</stp>
        <tr r="F213" s="3"/>
      </tp>
      <tp t="s">
        <v>#N/A Authorization</v>
        <stp/>
        <stp>##V3_BDHV12</stp>
        <stp>RECFDSSP Index</stp>
        <stp>PR005</stp>
        <stp>-60CQ</stp>
        <stp>2018/3/14</stp>
        <stp>[BI_REITN_1_nsme0bl5.xlsx]ReferenceData!R219C6</stp>
        <stp>Per=CQ</stp>
        <stp>Dts=H</stp>
        <stp>Dir=H</stp>
        <stp>Points=60</stp>
        <stp>Sort=R</stp>
        <stp>Days=A</stp>
        <stp>Fill=B</stp>
        <stp>FX=USD</stp>
        <tr r="F219" s="3"/>
      </tp>
      <tp t="s">
        <v>#N/A Authorization</v>
        <stp/>
        <stp>##V3_BDHV12</stp>
        <stp>RECFDSSS Index</stp>
        <stp>PR005</stp>
        <stp>-60CQ</stp>
        <stp>2018/3/14</stp>
        <stp>[BI_REITN_1_nsme0bl5.xlsx]ReferenceData!R216C6</stp>
        <stp>Per=CQ</stp>
        <stp>Dts=H</stp>
        <stp>Dir=H</stp>
        <stp>Points=60</stp>
        <stp>Sort=R</stp>
        <stp>Days=A</stp>
        <stp>Fill=B</stp>
        <stp>FX=USD</stp>
        <tr r="F216" s="3"/>
      </tp>
      <tp t="s">
        <v>#N/A Authorization</v>
        <stp/>
        <stp>##V3_BDHV12</stp>
        <stp>RECFSSSS Index</stp>
        <stp>PR005</stp>
        <stp>-60CQ</stp>
        <stp>2018/3/14</stp>
        <stp>[BI_REITN_1_nsme0bl5.xlsx]ReferenceData!R248C6</stp>
        <stp>Per=CQ</stp>
        <stp>Dts=H</stp>
        <stp>Dir=H</stp>
        <stp>Points=60</stp>
        <stp>Sort=R</stp>
        <stp>Days=A</stp>
        <stp>Fill=B</stp>
        <stp>FX=USD</stp>
        <tr r="F248" s="3"/>
      </tp>
      <tp t="s">
        <v>#N/A Authorization</v>
        <stp/>
        <stp>##V3_BDHV12</stp>
        <stp>RECFSSRM Index</stp>
        <stp>PR005</stp>
        <stp>-60CQ</stp>
        <stp>2018/3/14</stp>
        <stp>[BI_REITN_1_nsme0bl5.xlsx]ReferenceData!R242C6</stp>
        <stp>Per=CQ</stp>
        <stp>Dts=H</stp>
        <stp>Dir=H</stp>
        <stp>Points=60</stp>
        <stp>Sort=R</stp>
        <stp>Days=A</stp>
        <stp>Fill=B</stp>
        <stp>FX=USD</stp>
        <tr r="F242" s="3"/>
      </tp>
      <tp t="s">
        <v>#N/A Authorization</v>
        <stp/>
        <stp>##V3_BDHV12</stp>
        <stp>RECFDSRM Index</stp>
        <stp>PR005</stp>
        <stp>-60CQ</stp>
        <stp>2018/3/14</stp>
        <stp>[BI_REITN_1_nsme0bl5.xlsx]ReferenceData!R208C6</stp>
        <stp>Per=CQ</stp>
        <stp>Dts=H</stp>
        <stp>Dir=H</stp>
        <stp>Points=60</stp>
        <stp>Sort=R</stp>
        <stp>Days=A</stp>
        <stp>Fill=B</stp>
        <stp>FX=USD</stp>
        <tr r="F208" s="3"/>
      </tp>
      <tp t="s">
        <v>#N/A Authorization</v>
        <stp/>
        <stp>##V3_BDHV12</stp>
        <stp>RECFSSRT Index</stp>
        <stp>PR005</stp>
        <stp>-60CQ</stp>
        <stp>2018/3/14</stp>
        <stp>[BI_REITN_1_nsme0bl5.xlsx]ReferenceData!R240C6</stp>
        <stp>Per=CQ</stp>
        <stp>Dts=H</stp>
        <stp>Dir=H</stp>
        <stp>Points=60</stp>
        <stp>Sort=R</stp>
        <stp>Days=A</stp>
        <stp>Fill=B</stp>
        <stp>FX=USD</stp>
        <tr r="F240" s="3"/>
      </tp>
      <tp t="s">
        <v>#N/A Authorization</v>
        <stp/>
        <stp>##V3_BDHV12</stp>
        <stp>RECFDSRS Index</stp>
        <stp>PR005</stp>
        <stp>-60CQ</stp>
        <stp>2018/3/14</stp>
        <stp>[BI_REITN_1_nsme0bl5.xlsx]ReferenceData!R210C6</stp>
        <stp>Per=CQ</stp>
        <stp>Dts=H</stp>
        <stp>Dir=H</stp>
        <stp>Points=60</stp>
        <stp>Sort=R</stp>
        <stp>Days=A</stp>
        <stp>Fill=B</stp>
        <stp>FX=USD</stp>
        <tr r="F210" s="3"/>
      </tp>
      <tp t="s">
        <v>#N/A Authorization</v>
        <stp/>
        <stp>##V3_BDHV12</stp>
        <stp>RECFDSRT Index</stp>
        <stp>PR005</stp>
        <stp>-60CQ</stp>
        <stp>2018/3/14</stp>
        <stp>[BI_REITN_1_nsme0bl5.xlsx]ReferenceData!R206C6</stp>
        <stp>Per=CQ</stp>
        <stp>Dts=H</stp>
        <stp>Dir=H</stp>
        <stp>Points=60</stp>
        <stp>Sort=R</stp>
        <stp>Days=A</stp>
        <stp>Fill=B</stp>
        <stp>FX=USD</stp>
        <tr r="F206" s="3"/>
      </tp>
      <tp t="s">
        <v>#N/A Authorization</v>
        <stp/>
        <stp>##V3_BDHV12</stp>
        <stp>RECFSSRS Index</stp>
        <stp>PR005</stp>
        <stp>-60CQ</stp>
        <stp>2018/3/14</stp>
        <stp>[BI_REITN_1_nsme0bl5.xlsx]ReferenceData!R243C6</stp>
        <stp>Per=CQ</stp>
        <stp>Dts=H</stp>
        <stp>Dir=H</stp>
        <stp>Points=60</stp>
        <stp>Sort=R</stp>
        <stp>Days=A</stp>
        <stp>Fill=B</stp>
        <stp>FX=USD</stp>
        <tr r="F243" s="3"/>
      </tp>
      <tp t="s">
        <v>#N/A Authorization</v>
        <stp/>
        <stp>##V3_BDHV12</stp>
        <stp>RECFDSMH Index</stp>
        <stp>PR005</stp>
        <stp>-60CQ</stp>
        <stp>2018/3/14</stp>
        <stp>[BI_REITN_1_nsme0bl5.xlsx]ReferenceData!R212C6</stp>
        <stp>Per=CQ</stp>
        <stp>Dts=H</stp>
        <stp>Dir=H</stp>
        <stp>Points=60</stp>
        <stp>Sort=R</stp>
        <stp>Days=A</stp>
        <stp>Fill=B</stp>
        <stp>FX=USD</stp>
        <tr r="F212" s="3"/>
      </tp>
      <tp t="s">
        <v>#N/A Authorization</v>
        <stp/>
        <stp>##V3_BDHV12</stp>
        <stp>RECFSSMH Index</stp>
        <stp>PR005</stp>
        <stp>-60CQ</stp>
        <stp>2018/3/14</stp>
        <stp>[BI_REITN_1_nsme0bl5.xlsx]ReferenceData!R245C6</stp>
        <stp>Per=CQ</stp>
        <stp>Dts=H</stp>
        <stp>Dir=H</stp>
        <stp>Points=60</stp>
        <stp>Sort=R</stp>
        <stp>Days=A</stp>
        <stp>Fill=B</stp>
        <stp>FX=USD</stp>
        <tr r="F245" s="3"/>
      </tp>
      <tp t="s">
        <v>#N/A Authorization</v>
        <stp/>
        <stp>##V3_BDHV12</stp>
        <stp>RECFDSLR Index</stp>
        <stp>PR005</stp>
        <stp>-60CQ</stp>
        <stp>2018/3/14</stp>
        <stp>[BI_REITN_1_nsme0bl5.xlsx]ReferenceData!R215C6</stp>
        <stp>Per=CQ</stp>
        <stp>Dts=H</stp>
        <stp>Dir=H</stp>
        <stp>Points=60</stp>
        <stp>Sort=R</stp>
        <stp>Days=A</stp>
        <stp>Fill=B</stp>
        <stp>FX=USD</stp>
        <tr r="F215" s="3"/>
      </tp>
      <tp t="s">
        <v>#N/A Authorization</v>
        <stp/>
        <stp>##V3_BDHV12</stp>
        <stp>RECFSSOF Index</stp>
        <stp>PR005</stp>
        <stp>-60CQ</stp>
        <stp>2018/3/14</stp>
        <stp>[BI_REITN_1_nsme0bl5.xlsx]ReferenceData!R238C6</stp>
        <stp>Per=CQ</stp>
        <stp>Dts=H</stp>
        <stp>Dir=H</stp>
        <stp>Points=60</stp>
        <stp>Sort=R</stp>
        <stp>Days=A</stp>
        <stp>Fill=B</stp>
        <stp>FX=USD</stp>
        <tr r="F238" s="3"/>
      </tp>
      <tp t="s">
        <v>#N/A Authorization</v>
        <stp/>
        <stp>##V3_BDHV12</stp>
        <stp>RECFDSOF Index</stp>
        <stp>PR005</stp>
        <stp>-60CQ</stp>
        <stp>2018/3/14</stp>
        <stp>[BI_REITN_1_nsme0bl5.xlsx]ReferenceData!R204C6</stp>
        <stp>Per=CQ</stp>
        <stp>Dts=H</stp>
        <stp>Dir=H</stp>
        <stp>Points=60</stp>
        <stp>Sort=R</stp>
        <stp>Days=A</stp>
        <stp>Fill=B</stp>
        <stp>FX=USD</stp>
        <tr r="F204" s="3"/>
      </tp>
      <tp t="s">
        <v>#N/A Authorization</v>
        <stp/>
        <stp>##V3_BDHV12</stp>
        <stp>RECFSSIN Index</stp>
        <stp>PR005</stp>
        <stp>-60CQ</stp>
        <stp>2018/3/14</stp>
        <stp>[BI_REITN_1_nsme0bl5.xlsx]ReferenceData!R239C6</stp>
        <stp>Per=CQ</stp>
        <stp>Dts=H</stp>
        <stp>Dir=H</stp>
        <stp>Points=60</stp>
        <stp>Sort=R</stp>
        <stp>Days=A</stp>
        <stp>Fill=B</stp>
        <stp>FX=USD</stp>
        <tr r="F239" s="3"/>
      </tp>
      <tp t="s">
        <v>#N/A Authorization</v>
        <stp/>
        <stp>##V3_BDHV12</stp>
        <stp>RECFDSIN Index</stp>
        <stp>PR005</stp>
        <stp>-60CQ</stp>
        <stp>2018/3/14</stp>
        <stp>[BI_REITN_1_nsme0bl5.xlsx]ReferenceData!R205C6</stp>
        <stp>Per=CQ</stp>
        <stp>Dts=H</stp>
        <stp>Dir=H</stp>
        <stp>Points=60</stp>
        <stp>Sort=R</stp>
        <stp>Days=A</stp>
        <stp>Fill=B</stp>
        <stp>FX=USD</stp>
        <tr r="F205" s="3"/>
      </tp>
      <tp t="s">
        <v>#N/A Authorization</v>
        <stp/>
        <stp>##V3_BDHV12</stp>
        <stp>RECFDSHC Index</stp>
        <stp>PR005</stp>
        <stp>-60CQ</stp>
        <stp>2018/3/14</stp>
        <stp>[BI_REITN_1_nsme0bl5.xlsx]ReferenceData!R217C6</stp>
        <stp>Per=CQ</stp>
        <stp>Dts=H</stp>
        <stp>Dir=H</stp>
        <stp>Points=60</stp>
        <stp>Sort=R</stp>
        <stp>Days=A</stp>
        <stp>Fill=B</stp>
        <stp>FX=USD</stp>
        <tr r="F217" s="3"/>
      </tp>
      <tp t="s">
        <v>#N/A Authorization</v>
        <stp/>
        <stp>##V3_BDHV12</stp>
        <stp>RECFSSHC Index</stp>
        <stp>PR005</stp>
        <stp>-60CQ</stp>
        <stp>2018/3/14</stp>
        <stp>[BI_REITN_1_nsme0bl5.xlsx]ReferenceData!R249C6</stp>
        <stp>Per=CQ</stp>
        <stp>Dts=H</stp>
        <stp>Dir=H</stp>
        <stp>Points=60</stp>
        <stp>Sort=R</stp>
        <stp>Days=A</stp>
        <stp>Fill=B</stp>
        <stp>FX=USD</stp>
        <tr r="F249" s="3"/>
      </tp>
      <tp t="s">
        <v>#N/A Authorization</v>
        <stp/>
        <stp>##V3_BDHV12</stp>
        <stp>RECFDSEQ Index</stp>
        <stp>PR005</stp>
        <stp>-60CQ</stp>
        <stp>2018/3/14</stp>
        <stp>[BI_REITN_1_nsme0bl5.xlsx]ReferenceData!R203C6</stp>
        <stp>Per=CQ</stp>
        <stp>Dts=H</stp>
        <stp>Dir=H</stp>
        <stp>Points=60</stp>
        <stp>Sort=R</stp>
        <stp>Days=A</stp>
        <stp>Fill=B</stp>
        <stp>FX=USD</stp>
        <tr r="F203" s="3"/>
      </tp>
      <tp t="s">
        <v>#N/A Authorization</v>
        <stp/>
        <stp>##V3_BDHV12</stp>
        <stp>RECFSSEQ Index</stp>
        <stp>PR005</stp>
        <stp>-60CQ</stp>
        <stp>2018/3/14</stp>
        <stp>[BI_REITN_1_nsme0bl5.xlsx]ReferenceData!R237C6</stp>
        <stp>Per=CQ</stp>
        <stp>Dts=H</stp>
        <stp>Dir=H</stp>
        <stp>Points=60</stp>
        <stp>Sort=R</stp>
        <stp>Days=A</stp>
        <stp>Fill=B</stp>
        <stp>FX=USD</stp>
        <tr r="F237" s="3"/>
      </tp>
      <tp t="s">
        <v>#N/A Authorization</v>
        <stp/>
        <stp>##V3_BDHV12</stp>
        <stp>RECFDSDC Index</stp>
        <stp>PR005</stp>
        <stp>-60CQ</stp>
        <stp>2018/3/14</stp>
        <stp>[BI_REITN_1_nsme0bl5.xlsx]ReferenceData!R218C6</stp>
        <stp>Per=CQ</stp>
        <stp>Dts=H</stp>
        <stp>Dir=H</stp>
        <stp>Points=60</stp>
        <stp>Sort=R</stp>
        <stp>Days=A</stp>
        <stp>Fill=B</stp>
        <stp>FX=USD</stp>
        <tr r="F218" s="3"/>
      </tp>
      <tp t="s">
        <v>#N/A Authorization</v>
        <stp/>
        <stp>##V3_BDHV12</stp>
        <stp>RECFSSDC Index</stp>
        <stp>PR005</stp>
        <stp>-60CQ</stp>
        <stp>2018/3/14</stp>
        <stp>[BI_REITN_1_nsme0bl5.xlsx]ReferenceData!R250C6</stp>
        <stp>Per=CQ</stp>
        <stp>Dts=H</stp>
        <stp>Dir=H</stp>
        <stp>Points=60</stp>
        <stp>Sort=R</stp>
        <stp>Days=A</stp>
        <stp>Fill=B</stp>
        <stp>FX=USD</stp>
        <tr r="F250" s="3"/>
      </tp>
      <tp t="s">
        <v>#N/A Authorization</v>
        <stp/>
        <stp>##V3_BDHV12</stp>
        <stp>RECFSSDV Index</stp>
        <stp>PR005</stp>
        <stp>-60CQ</stp>
        <stp>2018/3/14</stp>
        <stp>[BI_REITN_1_nsme0bl5.xlsx]ReferenceData!R247C6</stp>
        <stp>Per=CQ</stp>
        <stp>Dts=H</stp>
        <stp>Dir=H</stp>
        <stp>Points=60</stp>
        <stp>Sort=R</stp>
        <stp>Days=A</stp>
        <stp>Fill=B</stp>
        <stp>FX=USD</stp>
        <tr r="F247" s="3"/>
      </tp>
      <tp t="s">
        <v>#N/A Authorization</v>
        <stp/>
        <stp>##V3_BDHV12</stp>
        <stp>RECFDSDV Index</stp>
        <stp>PR005</stp>
        <stp>-60CQ</stp>
        <stp>2018/3/14</stp>
        <stp>[BI_REITN_1_nsme0bl5.xlsx]ReferenceData!R214C6</stp>
        <stp>Per=CQ</stp>
        <stp>Dts=H</stp>
        <stp>Dir=H</stp>
        <stp>Points=60</stp>
        <stp>Sort=R</stp>
        <stp>Days=A</stp>
        <stp>Fill=B</stp>
        <stp>FX=USD</stp>
        <tr r="F214" s="3"/>
      </tp>
      <tp t="s">
        <v>#N/A Authorization</v>
        <stp/>
        <stp>##V3_BDHV12</stp>
        <stp>RECFDSFS Index</stp>
        <stp>PR005</stp>
        <stp>-60CQ</stp>
        <stp>2018/3/14</stp>
        <stp>[BI_REITN_1_nsme0bl5.xlsx]ReferenceData!R209C6</stp>
        <stp>Per=CQ</stp>
        <stp>Dts=H</stp>
        <stp>Dir=H</stp>
        <stp>Points=60</stp>
        <stp>Sort=R</stp>
        <stp>Days=A</stp>
        <stp>Fill=B</stp>
        <stp>FX=USD</stp>
        <tr r="F209" s="3"/>
      </tp>
      <tp t="s">
        <v>#N/A Authorization</v>
        <stp/>
        <stp>##V3_BDHV12</stp>
        <stp>RECFDSAP Index</stp>
        <stp>PR005</stp>
        <stp>-60CQ</stp>
        <stp>2018/3/14</stp>
        <stp>[BI_REITN_1_nsme0bl5.xlsx]ReferenceData!R211C6</stp>
        <stp>Per=CQ</stp>
        <stp>Dts=H</stp>
        <stp>Dir=H</stp>
        <stp>Points=60</stp>
        <stp>Sort=R</stp>
        <stp>Days=A</stp>
        <stp>Fill=B</stp>
        <stp>FX=USD</stp>
        <tr r="F211" s="3"/>
      </tp>
      <tp t="s">
        <v>#N/A Authorization</v>
        <stp/>
        <stp>##V3_BDHV12</stp>
        <stp>RECFSSAP Index</stp>
        <stp>PR005</stp>
        <stp>-60CQ</stp>
        <stp>2018/3/14</stp>
        <stp>[BI_REITN_1_nsme0bl5.xlsx]ReferenceData!R244C6</stp>
        <stp>Per=CQ</stp>
        <stp>Dts=H</stp>
        <stp>Dir=H</stp>
        <stp>Points=60</stp>
        <stp>Sort=R</stp>
        <stp>Days=A</stp>
        <stp>Fill=B</stp>
        <stp>FX=USD</stp>
        <tr r="F244" s="3"/>
      </tp>
      <tp t="s">
        <v>#N/A Authorization</v>
        <stp/>
        <stp>##V3_BDHV12</stp>
        <stp>RECFAVPF Index</stp>
        <stp>PR005</stp>
        <stp>-60CQ</stp>
        <stp>2018/3/14</stp>
        <stp>[BI_REITN_1_nsme0bl5.xlsx]ReferenceData!R326C6</stp>
        <stp>Per=CQ</stp>
        <stp>Dts=H</stp>
        <stp>Dir=H</stp>
        <stp>Points=60</stp>
        <stp>Sort=R</stp>
        <stp>Days=A</stp>
        <stp>Fill=B</stp>
        <stp>FX=USD</stp>
        <tr r="F326" s="3"/>
      </tp>
      <tp t="s">
        <v>#N/A Authorization</v>
        <stp/>
        <stp>##V3_BDHV12</stp>
        <stp>RECFDVRS Index</stp>
        <stp>PR005</stp>
        <stp>-60CQ</stp>
        <stp>2018/3/14</stp>
        <stp>[BI_REITN_1_nsme0bl5.xlsx]ReferenceData!R314C6</stp>
        <stp>Per=CQ</stp>
        <stp>Dts=H</stp>
        <stp>Dir=H</stp>
        <stp>Points=60</stp>
        <stp>Sort=R</stp>
        <stp>Days=A</stp>
        <stp>Fill=B</stp>
        <stp>FX=USD</stp>
        <tr r="F314" s="3"/>
      </tp>
      <tp t="s">
        <v>#N/A Authorization</v>
        <stp/>
        <stp>##V3_BDHV12</stp>
        <stp>RECFDVRT Index</stp>
        <stp>PR005</stp>
        <stp>-60CQ</stp>
        <stp>2018/3/14</stp>
        <stp>[BI_REITN_1_nsme0bl5.xlsx]ReferenceData!R313C6</stp>
        <stp>Per=CQ</stp>
        <stp>Dts=H</stp>
        <stp>Dir=H</stp>
        <stp>Points=60</stp>
        <stp>Sort=R</stp>
        <stp>Days=A</stp>
        <stp>Fill=B</stp>
        <stp>FX=USD</stp>
        <tr r="F313" s="3"/>
      </tp>
      <tp t="s">
        <v>#N/A Authorization</v>
        <stp/>
        <stp>##V3_BDHV12</stp>
        <stp>RECFAVRT Index</stp>
        <stp>PR005</stp>
        <stp>-60CQ</stp>
        <stp>2018/3/14</stp>
        <stp>[BI_REITN_1_nsme0bl5.xlsx]ReferenceData!R323C6</stp>
        <stp>Per=CQ</stp>
        <stp>Dts=H</stp>
        <stp>Dir=H</stp>
        <stp>Points=60</stp>
        <stp>Sort=R</stp>
        <stp>Days=A</stp>
        <stp>Fill=B</stp>
        <stp>FX=USD</stp>
        <tr r="F323" s="3"/>
      </tp>
      <tp t="s">
        <v>#N/A Authorization</v>
        <stp/>
        <stp>##V3_BDHV12</stp>
        <stp>RECFAVSE Index</stp>
        <stp>PR005</stp>
        <stp>-60CQ</stp>
        <stp>2018/3/14</stp>
        <stp>[BI_REITN_1_nsme0bl5.xlsx]ReferenceData!R329C6</stp>
        <stp>Per=CQ</stp>
        <stp>Dts=H</stp>
        <stp>Dir=H</stp>
        <stp>Points=60</stp>
        <stp>Sort=R</stp>
        <stp>Days=A</stp>
        <stp>Fill=B</stp>
        <stp>FX=USD</stp>
        <tr r="F329" s="3"/>
      </tp>
      <tp t="s">
        <v>#N/A Authorization</v>
        <stp/>
        <stp>##V3_BDHV12</stp>
        <stp>RECFDVSP Index</stp>
        <stp>PR005</stp>
        <stp>-60CQ</stp>
        <stp>2018/3/14</stp>
        <stp>[BI_REITN_1_nsme0bl5.xlsx]ReferenceData!R320C6</stp>
        <stp>Per=CQ</stp>
        <stp>Dts=H</stp>
        <stp>Dir=H</stp>
        <stp>Points=60</stp>
        <stp>Sort=R</stp>
        <stp>Days=A</stp>
        <stp>Fill=B</stp>
        <stp>FX=USD</stp>
        <tr r="F320" s="3"/>
      </tp>
      <tp t="s">
        <v>#N/A Authorization</v>
        <stp/>
        <stp>##V3_BDHV12</stp>
        <stp>RECFDVSS Index</stp>
        <stp>PR005</stp>
        <stp>-60CQ</stp>
        <stp>2018/3/14</stp>
        <stp>[BI_REITN_1_nsme0bl5.xlsx]ReferenceData!R317C6</stp>
        <stp>Per=CQ</stp>
        <stp>Dts=H</stp>
        <stp>Dir=H</stp>
        <stp>Points=60</stp>
        <stp>Sort=R</stp>
        <stp>Days=A</stp>
        <stp>Fill=B</stp>
        <stp>FX=USD</stp>
        <tr r="F317" s="3"/>
      </tp>
      <tp t="s">
        <v>#N/A Authorization</v>
        <stp/>
        <stp>##V3_BDHV12</stp>
        <stp>RECFDVLR Index</stp>
        <stp>PR005</stp>
        <stp>-60CQ</stp>
        <stp>2018/3/14</stp>
        <stp>[BI_REITN_1_nsme0bl5.xlsx]ReferenceData!R316C6</stp>
        <stp>Per=CQ</stp>
        <stp>Dts=H</stp>
        <stp>Dir=H</stp>
        <stp>Points=60</stp>
        <stp>Sort=R</stp>
        <stp>Days=A</stp>
        <stp>Fill=B</stp>
        <stp>FX=USD</stp>
        <tr r="F316" s="3"/>
      </tp>
      <tp t="s">
        <v>#N/A Authorization</v>
        <stp/>
        <stp>##V3_BDHV12</stp>
        <stp>RECFAVOF Index</stp>
        <stp>PR005</stp>
        <stp>-60CQ</stp>
        <stp>2018/3/14</stp>
        <stp>[BI_REITN_1_nsme0bl5.xlsx]ReferenceData!R325C6</stp>
        <stp>Per=CQ</stp>
        <stp>Dts=H</stp>
        <stp>Dir=H</stp>
        <stp>Points=60</stp>
        <stp>Sort=R</stp>
        <stp>Days=A</stp>
        <stp>Fill=B</stp>
        <stp>FX=USD</stp>
        <tr r="F325" s="3"/>
      </tp>
      <tp t="s">
        <v>#N/A Authorization</v>
        <stp/>
        <stp>##V3_BDHV12</stp>
        <stp>RECFDVOF Index</stp>
        <stp>PR005</stp>
        <stp>-60CQ</stp>
        <stp>2018/3/14</stp>
        <stp>[BI_REITN_1_nsme0bl5.xlsx]ReferenceData!R311C6</stp>
        <stp>Per=CQ</stp>
        <stp>Dts=H</stp>
        <stp>Dir=H</stp>
        <stp>Points=60</stp>
        <stp>Sort=R</stp>
        <stp>Days=A</stp>
        <stp>Fill=B</stp>
        <stp>FX=USD</stp>
        <tr r="F311" s="3"/>
      </tp>
      <tp t="s">
        <v>#N/A Authorization</v>
        <stp/>
        <stp>##V3_BDHV12</stp>
        <stp>RECFDVHC Index</stp>
        <stp>PR005</stp>
        <stp>-60CQ</stp>
        <stp>2018/3/14</stp>
        <stp>[BI_REITN_1_nsme0bl5.xlsx]ReferenceData!R318C6</stp>
        <stp>Per=CQ</stp>
        <stp>Dts=H</stp>
        <stp>Dir=H</stp>
        <stp>Points=60</stp>
        <stp>Sort=R</stp>
        <stp>Days=A</stp>
        <stp>Fill=B</stp>
        <stp>FX=USD</stp>
        <tr r="F318" s="3"/>
      </tp>
      <tp t="s">
        <v>#N/A Authorization</v>
        <stp/>
        <stp>##V3_BDHV12</stp>
        <stp>RECFAVIE Index</stp>
        <stp>PR005</stp>
        <stp>-60CQ</stp>
        <stp>2018/3/14</stp>
        <stp>[BI_REITN_1_nsme0bl5.xlsx]ReferenceData!R330C6</stp>
        <stp>Per=CQ</stp>
        <stp>Dts=H</stp>
        <stp>Dir=H</stp>
        <stp>Points=60</stp>
        <stp>Sort=R</stp>
        <stp>Days=A</stp>
        <stp>Fill=B</stp>
        <stp>FX=USD</stp>
        <tr r="F330" s="3"/>
      </tp>
      <tp t="s">
        <v>#N/A Authorization</v>
        <stp/>
        <stp>##V3_BDHV12</stp>
        <stp>RECFAVIN Index</stp>
        <stp>PR005</stp>
        <stp>-60CQ</stp>
        <stp>2018/3/14</stp>
        <stp>[BI_REITN_1_nsme0bl5.xlsx]ReferenceData!R324C6</stp>
        <stp>Per=CQ</stp>
        <stp>Dts=H</stp>
        <stp>Dir=H</stp>
        <stp>Points=60</stp>
        <stp>Sort=R</stp>
        <stp>Days=A</stp>
        <stp>Fill=B</stp>
        <stp>FX=USD</stp>
        <tr r="F324" s="3"/>
      </tp>
      <tp t="s">
        <v>#N/A Authorization</v>
        <stp/>
        <stp>##V3_BDHV12</stp>
        <stp>RECFDVIN Index</stp>
        <stp>PR005</stp>
        <stp>-60CQ</stp>
        <stp>2018/3/14</stp>
        <stp>[BI_REITN_1_nsme0bl5.xlsx]ReferenceData!R312C6</stp>
        <stp>Per=CQ</stp>
        <stp>Dts=H</stp>
        <stp>Dir=H</stp>
        <stp>Points=60</stp>
        <stp>Sort=R</stp>
        <stp>Days=A</stp>
        <stp>Fill=B</stp>
        <stp>FX=USD</stp>
        <tr r="F312" s="3"/>
      </tp>
      <tp t="s">
        <v>#N/A Authorization</v>
        <stp/>
        <stp>##V3_BDHV12</stp>
        <stp>RECFAVDB Index</stp>
        <stp>PR005</stp>
        <stp>-60CQ</stp>
        <stp>2018/3/14</stp>
        <stp>[BI_REITN_1_nsme0bl5.xlsx]ReferenceData!R327C6</stp>
        <stp>Per=CQ</stp>
        <stp>Dts=H</stp>
        <stp>Dir=H</stp>
        <stp>Points=60</stp>
        <stp>Sort=R</stp>
        <stp>Days=A</stp>
        <stp>Fill=B</stp>
        <stp>FX=USD</stp>
        <tr r="F327" s="3"/>
      </tp>
      <tp t="s">
        <v>#N/A Authorization</v>
        <stp/>
        <stp>##V3_BDHV12</stp>
        <stp>RECFDVDC Index</stp>
        <stp>PR005</stp>
        <stp>-60CQ</stp>
        <stp>2018/3/14</stp>
        <stp>[BI_REITN_1_nsme0bl5.xlsx]ReferenceData!R319C6</stp>
        <stp>Per=CQ</stp>
        <stp>Dts=H</stp>
        <stp>Dir=H</stp>
        <stp>Points=60</stp>
        <stp>Sort=R</stp>
        <stp>Days=A</stp>
        <stp>Fill=B</stp>
        <stp>FX=USD</stp>
        <tr r="F319" s="3"/>
      </tp>
      <tp t="s">
        <v>#N/A Authorization</v>
        <stp/>
        <stp>##V3_BDHV12</stp>
        <stp>RECFAVDM Index</stp>
        <stp>PR005</stp>
        <stp>-60CQ</stp>
        <stp>2018/3/14</stp>
        <stp>[BI_REITN_1_nsme0bl5.xlsx]ReferenceData!R328C6</stp>
        <stp>Per=CQ</stp>
        <stp>Dts=H</stp>
        <stp>Dir=H</stp>
        <stp>Points=60</stp>
        <stp>Sort=R</stp>
        <stp>Days=A</stp>
        <stp>Fill=B</stp>
        <stp>FX=USD</stp>
        <tr r="F328" s="3"/>
      </tp>
      <tp t="s">
        <v>#N/A Authorization</v>
        <stp/>
        <stp>##V3_BDHV12</stp>
        <stp>RECFDVDV Index</stp>
        <stp>PR005</stp>
        <stp>-60CQ</stp>
        <stp>2018/3/14</stp>
        <stp>[BI_REITN_1_nsme0bl5.xlsx]ReferenceData!R315C6</stp>
        <stp>Per=CQ</stp>
        <stp>Dts=H</stp>
        <stp>Dir=H</stp>
        <stp>Points=60</stp>
        <stp>Sort=R</stp>
        <stp>Days=A</stp>
        <stp>Fill=B</stp>
        <stp>FX=USD</stp>
        <tr r="F315" s="3"/>
      </tp>
      <tp t="s">
        <v>#N/A Authorization</v>
        <stp/>
        <stp>##V3_BDHV12</stp>
        <stp>RECFDVEQ Index</stp>
        <stp>PR005</stp>
        <stp>-60CQ</stp>
        <stp>2018/3/14</stp>
        <stp>[BI_REITN_1_nsme0bl5.xlsx]ReferenceData!R310C6</stp>
        <stp>Per=CQ</stp>
        <stp>Dts=H</stp>
        <stp>Dir=H</stp>
        <stp>Points=60</stp>
        <stp>Sort=R</stp>
        <stp>Days=A</stp>
        <stp>Fill=B</stp>
        <stp>FX=USD</stp>
        <tr r="F310" s="3"/>
      </tp>
      <tp t="s">
        <v>#N/A Authorization</v>
        <stp/>
        <stp>##V3_BDHV12</stp>
        <stp>RECFAVEQ Index</stp>
        <stp>PR005</stp>
        <stp>-60CQ</stp>
        <stp>2018/3/14</stp>
        <stp>[BI_REITN_1_nsme0bl5.xlsx]ReferenceData!R321C6</stp>
        <stp>Per=CQ</stp>
        <stp>Dts=H</stp>
        <stp>Dir=H</stp>
        <stp>Points=60</stp>
        <stp>Sort=R</stp>
        <stp>Days=A</stp>
        <stp>Fill=B</stp>
        <stp>FX=USD</stp>
        <tr r="F321" s="3"/>
      </tp>
      <tp t="s">
        <v>#N/A Authorization</v>
        <stp/>
        <stp>##V3_BDHV12</stp>
        <stp>RECFAVAP Index</stp>
        <stp>PR005</stp>
        <stp>-60CQ</stp>
        <stp>2018/3/14</stp>
        <stp>[BI_REITN_1_nsme0bl5.xlsx]ReferenceData!R322C6</stp>
        <stp>Per=CQ</stp>
        <stp>Dts=H</stp>
        <stp>Dir=H</stp>
        <stp>Points=60</stp>
        <stp>Sort=R</stp>
        <stp>Days=A</stp>
        <stp>Fill=B</stp>
        <stp>FX=USD</stp>
        <tr r="F322" s="3"/>
      </tp>
      <tp t="s">
        <v>#N/A Authorization</v>
        <stp/>
        <stp>##V3_BDHV12</stp>
        <stp>RECFAVCR Index</stp>
        <stp>PR005</stp>
        <stp>-60CQ</stp>
        <stp>2018/3/14</stp>
        <stp>[BI_REITN_1_nsme0bl5.xlsx]ReferenceData!R334C6</stp>
        <stp>Per=CQ</stp>
        <stp>Dts=H</stp>
        <stp>Dir=H</stp>
        <stp>Points=60</stp>
        <stp>Sort=R</stp>
        <stp>Days=A</stp>
        <stp>Fill=B</stp>
        <stp>FX=USD</stp>
        <tr r="F334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M167"/>
  <sheetViews>
    <sheetView tabSelected="1" topLeftCell="AX1" workbookViewId="0"/>
  </sheetViews>
  <sheetFormatPr defaultRowHeight="13.5"/>
  <cols>
    <col min="1" max="1" width="56.375" customWidth="1"/>
    <col min="2" max="2" width="15.75" customWidth="1"/>
    <col min="3" max="65" width="9.125" bestFit="1" customWidth="1"/>
  </cols>
  <sheetData>
    <row r="1" spans="1:65" ht="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</row>
    <row r="2" spans="1:65">
      <c r="A2" t="str">
        <f>IFERROR(IF(0=LEN(ReferenceData!$A$2),"",ReferenceData!$A$2),"")</f>
        <v>简述</v>
      </c>
      <c r="B2" t="str">
        <f>IFERROR(IF(0=LEN(ReferenceData!$B$2),"",ReferenceData!$B$2),"")</f>
        <v>代码</v>
      </c>
      <c r="C2" t="str">
        <f>IFERROR(IF(0=LEN(ReferenceData!$C$2),"",ReferenceData!$C$2),"")</f>
        <v>栏目ID</v>
      </c>
      <c r="D2" t="str">
        <f>IFERROR(IF(0=LEN(ReferenceData!$D$2),"",ReferenceData!$D$2),"")</f>
        <v>栏目助记符</v>
      </c>
      <c r="E2" t="str">
        <f>IFERROR(IF(0=LEN(ReferenceData!$E$2),"",ReferenceData!$E$2),"")</f>
        <v>数据状态</v>
      </c>
      <c r="F2" t="str">
        <f>IFERROR(IF(0=LEN(ReferenceData!$F$2),"",ReferenceData!$F$2),"")</f>
        <v>2017 Q4</v>
      </c>
      <c r="G2" t="str">
        <f>IFERROR(IF(0=LEN(ReferenceData!$G$2),"",ReferenceData!$G$2),"")</f>
        <v>2017 Q3</v>
      </c>
      <c r="H2" t="str">
        <f>IFERROR(IF(0=LEN(ReferenceData!$H$2),"",ReferenceData!$H$2),"")</f>
        <v>2017 Q2</v>
      </c>
      <c r="I2" t="str">
        <f>IFERROR(IF(0=LEN(ReferenceData!$I$2),"",ReferenceData!$I$2),"")</f>
        <v>2017 Q1</v>
      </c>
      <c r="J2" t="str">
        <f>IFERROR(IF(0=LEN(ReferenceData!$J$2),"",ReferenceData!$J$2),"")</f>
        <v>2016 Q4</v>
      </c>
      <c r="K2" t="str">
        <f>IFERROR(IF(0=LEN(ReferenceData!$K$2),"",ReferenceData!$K$2),"")</f>
        <v>2016 Q3</v>
      </c>
      <c r="L2" t="str">
        <f>IFERROR(IF(0=LEN(ReferenceData!$L$2),"",ReferenceData!$L$2),"")</f>
        <v>2016 Q2</v>
      </c>
      <c r="M2" t="str">
        <f>IFERROR(IF(0=LEN(ReferenceData!$M$2),"",ReferenceData!$M$2),"")</f>
        <v>2016 Q1</v>
      </c>
      <c r="N2" t="str">
        <f>IFERROR(IF(0=LEN(ReferenceData!$N$2),"",ReferenceData!$N$2),"")</f>
        <v>2015 Q4</v>
      </c>
      <c r="O2" t="str">
        <f>IFERROR(IF(0=LEN(ReferenceData!$O$2),"",ReferenceData!$O$2),"")</f>
        <v>2015 Q3</v>
      </c>
      <c r="P2" t="str">
        <f>IFERROR(IF(0=LEN(ReferenceData!$P$2),"",ReferenceData!$P$2),"")</f>
        <v>2015 Q2</v>
      </c>
      <c r="Q2" t="str">
        <f>IFERROR(IF(0=LEN(ReferenceData!$Q$2),"",ReferenceData!$Q$2),"")</f>
        <v>2015 Q1</v>
      </c>
      <c r="R2" t="str">
        <f>IFERROR(IF(0=LEN(ReferenceData!$R$2),"",ReferenceData!$R$2),"")</f>
        <v>2014 Q4</v>
      </c>
      <c r="S2" t="str">
        <f>IFERROR(IF(0=LEN(ReferenceData!$S$2),"",ReferenceData!$S$2),"")</f>
        <v>2014 Q3</v>
      </c>
      <c r="T2" t="str">
        <f>IFERROR(IF(0=LEN(ReferenceData!$T$2),"",ReferenceData!$T$2),"")</f>
        <v>2014 Q2</v>
      </c>
      <c r="U2" t="str">
        <f>IFERROR(IF(0=LEN(ReferenceData!$U$2),"",ReferenceData!$U$2),"")</f>
        <v>2014 Q1</v>
      </c>
      <c r="V2" t="str">
        <f>IFERROR(IF(0=LEN(ReferenceData!$V$2),"",ReferenceData!$V$2),"")</f>
        <v>2013 Q4</v>
      </c>
      <c r="W2" t="str">
        <f>IFERROR(IF(0=LEN(ReferenceData!$W$2),"",ReferenceData!$W$2),"")</f>
        <v>2013 Q3</v>
      </c>
      <c r="X2" t="str">
        <f>IFERROR(IF(0=LEN(ReferenceData!$X$2),"",ReferenceData!$X$2),"")</f>
        <v>2013 Q2</v>
      </c>
      <c r="Y2" t="str">
        <f>IFERROR(IF(0=LEN(ReferenceData!$Y$2),"",ReferenceData!$Y$2),"")</f>
        <v>2013 Q1</v>
      </c>
      <c r="Z2" t="str">
        <f>IFERROR(IF(0=LEN(ReferenceData!$Z$2),"",ReferenceData!$Z$2),"")</f>
        <v>2012 Q4</v>
      </c>
      <c r="AA2" t="str">
        <f>IFERROR(IF(0=LEN(ReferenceData!$AA$2),"",ReferenceData!$AA$2),"")</f>
        <v>2012 Q3</v>
      </c>
      <c r="AB2" t="str">
        <f>IFERROR(IF(0=LEN(ReferenceData!$AB$2),"",ReferenceData!$AB$2),"")</f>
        <v>2012 Q2</v>
      </c>
      <c r="AC2" t="str">
        <f>IFERROR(IF(0=LEN(ReferenceData!$AC$2),"",ReferenceData!$AC$2),"")</f>
        <v>2012 Q1</v>
      </c>
      <c r="AD2" t="str">
        <f>IFERROR(IF(0=LEN(ReferenceData!$AD$2),"",ReferenceData!$AD$2),"")</f>
        <v>2011 Q4</v>
      </c>
      <c r="AE2" t="str">
        <f>IFERROR(IF(0=LEN(ReferenceData!$AE$2),"",ReferenceData!$AE$2),"")</f>
        <v>2011 Q3</v>
      </c>
      <c r="AF2" t="str">
        <f>IFERROR(IF(0=LEN(ReferenceData!$AF$2),"",ReferenceData!$AF$2),"")</f>
        <v>2011 Q2</v>
      </c>
      <c r="AG2" t="str">
        <f>IFERROR(IF(0=LEN(ReferenceData!$AG$2),"",ReferenceData!$AG$2),"")</f>
        <v>2011 Q1</v>
      </c>
      <c r="AH2" t="str">
        <f>IFERROR(IF(0=LEN(ReferenceData!$AH$2),"",ReferenceData!$AH$2),"")</f>
        <v>2010 Q4</v>
      </c>
      <c r="AI2" t="str">
        <f>IFERROR(IF(0=LEN(ReferenceData!$AI$2),"",ReferenceData!$AI$2),"")</f>
        <v>2010 Q3</v>
      </c>
      <c r="AJ2" t="str">
        <f>IFERROR(IF(0=LEN(ReferenceData!$AJ$2),"",ReferenceData!$AJ$2),"")</f>
        <v>2010 Q2</v>
      </c>
      <c r="AK2" t="str">
        <f>IFERROR(IF(0=LEN(ReferenceData!$AK$2),"",ReferenceData!$AK$2),"")</f>
        <v>2010 Q1</v>
      </c>
      <c r="AL2" t="str">
        <f>IFERROR(IF(0=LEN(ReferenceData!$AL$2),"",ReferenceData!$AL$2),"")</f>
        <v>2009 Q4</v>
      </c>
      <c r="AM2" t="str">
        <f>IFERROR(IF(0=LEN(ReferenceData!$AM$2),"",ReferenceData!$AM$2),"")</f>
        <v>2009 Q3</v>
      </c>
      <c r="AN2" t="str">
        <f>IFERROR(IF(0=LEN(ReferenceData!$AN$2),"",ReferenceData!$AN$2),"")</f>
        <v>2009 Q2</v>
      </c>
      <c r="AO2" t="str">
        <f>IFERROR(IF(0=LEN(ReferenceData!$AO$2),"",ReferenceData!$AO$2),"")</f>
        <v>2009 Q1</v>
      </c>
      <c r="AP2" t="str">
        <f>IFERROR(IF(0=LEN(ReferenceData!$AP$2),"",ReferenceData!$AP$2),"")</f>
        <v>2008 Q4</v>
      </c>
      <c r="AQ2" t="str">
        <f>IFERROR(IF(0=LEN(ReferenceData!$AQ$2),"",ReferenceData!$AQ$2),"")</f>
        <v>2008 Q3</v>
      </c>
      <c r="AR2" t="str">
        <f>IFERROR(IF(0=LEN(ReferenceData!$AR$2),"",ReferenceData!$AR$2),"")</f>
        <v>2008 Q2</v>
      </c>
      <c r="AS2" t="str">
        <f>IFERROR(IF(0=LEN(ReferenceData!$AS$2),"",ReferenceData!$AS$2),"")</f>
        <v>2008 Q1</v>
      </c>
      <c r="AT2" t="str">
        <f>IFERROR(IF(0=LEN(ReferenceData!$AT$2),"",ReferenceData!$AT$2),"")</f>
        <v>2007 Q4</v>
      </c>
      <c r="AU2" t="str">
        <f>IFERROR(IF(0=LEN(ReferenceData!$AU$2),"",ReferenceData!$AU$2),"")</f>
        <v>2007 Q3</v>
      </c>
      <c r="AV2" t="str">
        <f>IFERROR(IF(0=LEN(ReferenceData!$AV$2),"",ReferenceData!$AV$2),"")</f>
        <v>2007 Q2</v>
      </c>
      <c r="AW2" t="str">
        <f>IFERROR(IF(0=LEN(ReferenceData!$AW$2),"",ReferenceData!$AW$2),"")</f>
        <v>2007 Q1</v>
      </c>
      <c r="AX2" t="str">
        <f>IFERROR(IF(0=LEN(ReferenceData!$AX$2),"",ReferenceData!$AX$2),"")</f>
        <v>2006 Q4</v>
      </c>
      <c r="AY2" t="str">
        <f>IFERROR(IF(0=LEN(ReferenceData!$AY$2),"",ReferenceData!$AY$2),"")</f>
        <v>2006 Q3</v>
      </c>
      <c r="AZ2" t="str">
        <f>IFERROR(IF(0=LEN(ReferenceData!$AZ$2),"",ReferenceData!$AZ$2),"")</f>
        <v>2006 Q2</v>
      </c>
      <c r="BA2" t="str">
        <f>IFERROR(IF(0=LEN(ReferenceData!$BA$2),"",ReferenceData!$BA$2),"")</f>
        <v>2006 Q1</v>
      </c>
      <c r="BB2" t="str">
        <f>IFERROR(IF(0=LEN(ReferenceData!$BB$2),"",ReferenceData!$BB$2),"")</f>
        <v>2005 Q4</v>
      </c>
      <c r="BC2" t="str">
        <f>IFERROR(IF(0=LEN(ReferenceData!$BC$2),"",ReferenceData!$BC$2),"")</f>
        <v>2005 Q3</v>
      </c>
      <c r="BD2" t="str">
        <f>IFERROR(IF(0=LEN(ReferenceData!$BD$2),"",ReferenceData!$BD$2),"")</f>
        <v>2005 Q2</v>
      </c>
      <c r="BE2" t="str">
        <f>IFERROR(IF(0=LEN(ReferenceData!$BE$2),"",ReferenceData!$BE$2),"")</f>
        <v>2005 Q1</v>
      </c>
      <c r="BF2" t="str">
        <f>IFERROR(IF(0=LEN(ReferenceData!$BF$2),"",ReferenceData!$BF$2),"")</f>
        <v>2004 Q4</v>
      </c>
      <c r="BG2" t="str">
        <f>IFERROR(IF(0=LEN(ReferenceData!$BG$2),"",ReferenceData!$BG$2),"")</f>
        <v>2004 Q3</v>
      </c>
      <c r="BH2" t="str">
        <f>IFERROR(IF(0=LEN(ReferenceData!$BH$2),"",ReferenceData!$BH$2),"")</f>
        <v>2004 Q2</v>
      </c>
      <c r="BI2" t="str">
        <f>IFERROR(IF(0=LEN(ReferenceData!$BI$2),"",ReferenceData!$BI$2),"")</f>
        <v>2004 Q1</v>
      </c>
      <c r="BJ2" t="str">
        <f>IFERROR(IF(0=LEN(ReferenceData!$BJ$2),"",ReferenceData!$BJ$2),"")</f>
        <v>2003 Q4</v>
      </c>
      <c r="BK2" t="str">
        <f>IFERROR(IF(0=LEN(ReferenceData!$BK$2),"",ReferenceData!$BK$2),"")</f>
        <v>2003 Q3</v>
      </c>
      <c r="BL2" t="str">
        <f>IFERROR(IF(0=LEN(ReferenceData!$BL$2),"",ReferenceData!$BL$2),"")</f>
        <v>2003 Q2</v>
      </c>
      <c r="BM2" t="str">
        <f>IFERROR(IF(0=LEN(ReferenceData!$BM$2),"",ReferenceData!$BM$2),"")</f>
        <v>2003 Q1</v>
      </c>
    </row>
    <row r="3" spans="1:65">
      <c r="A3" t="str">
        <f>IFERROR(IF(0=LEN(ReferenceData!$A$3),"",ReferenceData!$A$3),"")</f>
        <v>NAREIT T-Tracker数据</v>
      </c>
      <c r="B3" t="str">
        <f>IFERROR(IF(0=LEN(ReferenceData!$B$3),"",ReferenceData!$B$3),"")</f>
        <v/>
      </c>
      <c r="C3" t="str">
        <f>IFERROR(IF(0=LEN(ReferenceData!$C$3),"",ReferenceData!$C$3),"")</f>
        <v/>
      </c>
      <c r="D3" t="str">
        <f>IFERROR(IF(0=LEN(ReferenceData!$D$3),"",ReferenceData!$D$3),"")</f>
        <v/>
      </c>
      <c r="E3" t="str">
        <f>IFERROR(IF(0=LEN(ReferenceData!$E$3),"",ReferenceData!$E$3),"")</f>
        <v>标题</v>
      </c>
      <c r="F3" t="str">
        <f>IFERROR(IF(0=LEN(ReferenceData!$F$3),"",ReferenceData!$F$3),"")</f>
        <v/>
      </c>
      <c r="G3" t="str">
        <f>IFERROR(IF(0=LEN(ReferenceData!$G$3),"",ReferenceData!$G$3),"")</f>
        <v/>
      </c>
      <c r="H3" t="str">
        <f>IFERROR(IF(0=LEN(ReferenceData!$H$3),"",ReferenceData!$H$3),"")</f>
        <v/>
      </c>
      <c r="I3" t="str">
        <f>IFERROR(IF(0=LEN(ReferenceData!$I$3),"",ReferenceData!$I$3),"")</f>
        <v/>
      </c>
      <c r="J3" t="str">
        <f>IFERROR(IF(0=LEN(ReferenceData!$J$3),"",ReferenceData!$J$3),"")</f>
        <v/>
      </c>
      <c r="K3" t="str">
        <f>IFERROR(IF(0=LEN(ReferenceData!$K$3),"",ReferenceData!$K$3),"")</f>
        <v/>
      </c>
      <c r="L3" t="str">
        <f>IFERROR(IF(0=LEN(ReferenceData!$L$3),"",ReferenceData!$L$3),"")</f>
        <v/>
      </c>
      <c r="M3" t="str">
        <f>IFERROR(IF(0=LEN(ReferenceData!$M$3),"",ReferenceData!$M$3),"")</f>
        <v/>
      </c>
      <c r="N3" t="str">
        <f>IFERROR(IF(0=LEN(ReferenceData!$N$3),"",ReferenceData!$N$3),"")</f>
        <v/>
      </c>
      <c r="O3" t="str">
        <f>IFERROR(IF(0=LEN(ReferenceData!$O$3),"",ReferenceData!$O$3),"")</f>
        <v/>
      </c>
      <c r="P3" t="str">
        <f>IFERROR(IF(0=LEN(ReferenceData!$P$3),"",ReferenceData!$P$3),"")</f>
        <v/>
      </c>
      <c r="Q3" t="str">
        <f>IFERROR(IF(0=LEN(ReferenceData!$Q$3),"",ReferenceData!$Q$3),"")</f>
        <v/>
      </c>
      <c r="R3" t="str">
        <f>IFERROR(IF(0=LEN(ReferenceData!$R$3),"",ReferenceData!$R$3),"")</f>
        <v/>
      </c>
      <c r="S3" t="str">
        <f>IFERROR(IF(0=LEN(ReferenceData!$S$3),"",ReferenceData!$S$3),"")</f>
        <v/>
      </c>
      <c r="T3" t="str">
        <f>IFERROR(IF(0=LEN(ReferenceData!$T$3),"",ReferenceData!$T$3),"")</f>
        <v/>
      </c>
      <c r="U3" t="str">
        <f>IFERROR(IF(0=LEN(ReferenceData!$U$3),"",ReferenceData!$U$3),"")</f>
        <v/>
      </c>
      <c r="V3" t="str">
        <f>IFERROR(IF(0=LEN(ReferenceData!$V$3),"",ReferenceData!$V$3),"")</f>
        <v/>
      </c>
      <c r="W3" t="str">
        <f>IFERROR(IF(0=LEN(ReferenceData!$W$3),"",ReferenceData!$W$3),"")</f>
        <v/>
      </c>
      <c r="X3" t="str">
        <f>IFERROR(IF(0=LEN(ReferenceData!$X$3),"",ReferenceData!$X$3),"")</f>
        <v/>
      </c>
      <c r="Y3" t="str">
        <f>IFERROR(IF(0=LEN(ReferenceData!$Y$3),"",ReferenceData!$Y$3),"")</f>
        <v/>
      </c>
      <c r="Z3" t="str">
        <f>IFERROR(IF(0=LEN(ReferenceData!$Z$3),"",ReferenceData!$Z$3),"")</f>
        <v/>
      </c>
      <c r="AA3" t="str">
        <f>IFERROR(IF(0=LEN(ReferenceData!$AA$3),"",ReferenceData!$AA$3),"")</f>
        <v/>
      </c>
      <c r="AB3" t="str">
        <f>IFERROR(IF(0=LEN(ReferenceData!$AB$3),"",ReferenceData!$AB$3),"")</f>
        <v/>
      </c>
      <c r="AC3" t="str">
        <f>IFERROR(IF(0=LEN(ReferenceData!$AC$3),"",ReferenceData!$AC$3),"")</f>
        <v/>
      </c>
      <c r="AD3" t="str">
        <f>IFERROR(IF(0=LEN(ReferenceData!$AD$3),"",ReferenceData!$AD$3),"")</f>
        <v/>
      </c>
      <c r="AE3" t="str">
        <f>IFERROR(IF(0=LEN(ReferenceData!$AE$3),"",ReferenceData!$AE$3),"")</f>
        <v/>
      </c>
      <c r="AF3" t="str">
        <f>IFERROR(IF(0=LEN(ReferenceData!$AF$3),"",ReferenceData!$AF$3),"")</f>
        <v/>
      </c>
      <c r="AG3" t="str">
        <f>IFERROR(IF(0=LEN(ReferenceData!$AG$3),"",ReferenceData!$AG$3),"")</f>
        <v/>
      </c>
      <c r="AH3" t="str">
        <f>IFERROR(IF(0=LEN(ReferenceData!$AH$3),"",ReferenceData!$AH$3),"")</f>
        <v/>
      </c>
      <c r="AI3" t="str">
        <f>IFERROR(IF(0=LEN(ReferenceData!$AI$3),"",ReferenceData!$AI$3),"")</f>
        <v/>
      </c>
      <c r="AJ3" t="str">
        <f>IFERROR(IF(0=LEN(ReferenceData!$AJ$3),"",ReferenceData!$AJ$3),"")</f>
        <v/>
      </c>
      <c r="AK3" t="str">
        <f>IFERROR(IF(0=LEN(ReferenceData!$AK$3),"",ReferenceData!$AK$3),"")</f>
        <v/>
      </c>
      <c r="AL3" t="str">
        <f>IFERROR(IF(0=LEN(ReferenceData!$AL$3),"",ReferenceData!$AL$3),"")</f>
        <v/>
      </c>
      <c r="AM3" t="str">
        <f>IFERROR(IF(0=LEN(ReferenceData!$AM$3),"",ReferenceData!$AM$3),"")</f>
        <v/>
      </c>
      <c r="AN3" t="str">
        <f>IFERROR(IF(0=LEN(ReferenceData!$AN$3),"",ReferenceData!$AN$3),"")</f>
        <v/>
      </c>
      <c r="AO3" t="str">
        <f>IFERROR(IF(0=LEN(ReferenceData!$AO$3),"",ReferenceData!$AO$3),"")</f>
        <v/>
      </c>
      <c r="AP3" t="str">
        <f>IFERROR(IF(0=LEN(ReferenceData!$AP$3),"",ReferenceData!$AP$3),"")</f>
        <v/>
      </c>
      <c r="AQ3" t="str">
        <f>IFERROR(IF(0=LEN(ReferenceData!$AQ$3),"",ReferenceData!$AQ$3),"")</f>
        <v/>
      </c>
      <c r="AR3" t="str">
        <f>IFERROR(IF(0=LEN(ReferenceData!$AR$3),"",ReferenceData!$AR$3),"")</f>
        <v/>
      </c>
      <c r="AS3" t="str">
        <f>IFERROR(IF(0=LEN(ReferenceData!$AS$3),"",ReferenceData!$AS$3),"")</f>
        <v/>
      </c>
      <c r="AT3" t="str">
        <f>IFERROR(IF(0=LEN(ReferenceData!$AT$3),"",ReferenceData!$AT$3),"")</f>
        <v/>
      </c>
      <c r="AU3" t="str">
        <f>IFERROR(IF(0=LEN(ReferenceData!$AU$3),"",ReferenceData!$AU$3),"")</f>
        <v/>
      </c>
      <c r="AV3" t="str">
        <f>IFERROR(IF(0=LEN(ReferenceData!$AV$3),"",ReferenceData!$AV$3),"")</f>
        <v/>
      </c>
      <c r="AW3" t="str">
        <f>IFERROR(IF(0=LEN(ReferenceData!$AW$3),"",ReferenceData!$AW$3),"")</f>
        <v/>
      </c>
      <c r="AX3" t="str">
        <f>IFERROR(IF(0=LEN(ReferenceData!$AX$3),"",ReferenceData!$AX$3),"")</f>
        <v/>
      </c>
      <c r="AY3" t="str">
        <f>IFERROR(IF(0=LEN(ReferenceData!$AY$3),"",ReferenceData!$AY$3),"")</f>
        <v/>
      </c>
      <c r="AZ3" t="str">
        <f>IFERROR(IF(0=LEN(ReferenceData!$AZ$3),"",ReferenceData!$AZ$3),"")</f>
        <v/>
      </c>
      <c r="BA3" t="str">
        <f>IFERROR(IF(0=LEN(ReferenceData!$BA$3),"",ReferenceData!$BA$3),"")</f>
        <v/>
      </c>
      <c r="BB3" t="str">
        <f>IFERROR(IF(0=LEN(ReferenceData!$BB$3),"",ReferenceData!$BB$3),"")</f>
        <v/>
      </c>
      <c r="BC3" t="str">
        <f>IFERROR(IF(0=LEN(ReferenceData!$BC$3),"",ReferenceData!$BC$3),"")</f>
        <v/>
      </c>
      <c r="BD3" t="str">
        <f>IFERROR(IF(0=LEN(ReferenceData!$BD$3),"",ReferenceData!$BD$3),"")</f>
        <v/>
      </c>
      <c r="BE3" t="str">
        <f>IFERROR(IF(0=LEN(ReferenceData!$BE$3),"",ReferenceData!$BE$3),"")</f>
        <v/>
      </c>
      <c r="BF3" t="str">
        <f>IFERROR(IF(0=LEN(ReferenceData!$BF$3),"",ReferenceData!$BF$3),"")</f>
        <v/>
      </c>
      <c r="BG3" t="str">
        <f>IFERROR(IF(0=LEN(ReferenceData!$BG$3),"",ReferenceData!$BG$3),"")</f>
        <v/>
      </c>
      <c r="BH3" t="str">
        <f>IFERROR(IF(0=LEN(ReferenceData!$BH$3),"",ReferenceData!$BH$3),"")</f>
        <v/>
      </c>
      <c r="BI3" t="str">
        <f>IFERROR(IF(0=LEN(ReferenceData!$BI$3),"",ReferenceData!$BI$3),"")</f>
        <v/>
      </c>
      <c r="BJ3" t="str">
        <f>IFERROR(IF(0=LEN(ReferenceData!$BJ$3),"",ReferenceData!$BJ$3),"")</f>
        <v/>
      </c>
      <c r="BK3" t="str">
        <f>IFERROR(IF(0=LEN(ReferenceData!$BK$3),"",ReferenceData!$BK$3),"")</f>
        <v/>
      </c>
      <c r="BL3" t="str">
        <f>IFERROR(IF(0=LEN(ReferenceData!$BL$3),"",ReferenceData!$BL$3),"")</f>
        <v/>
      </c>
      <c r="BM3" t="str">
        <f>IFERROR(IF(0=LEN(ReferenceData!$BM$3),"",ReferenceData!$BM$3),"")</f>
        <v/>
      </c>
    </row>
    <row r="4" spans="1:65">
      <c r="A4" t="str">
        <f>IFERROR(IF(0=LEN(ReferenceData!$A$4),"",ReferenceData!$A$4),"")</f>
        <v>同店净营业利润增长-所有房地产投资信托</v>
      </c>
      <c r="B4" t="str">
        <f>IFERROR(IF(0=LEN(ReferenceData!$B$4),"",ReferenceData!$B$4),"")</f>
        <v>RECFSSEQ Index</v>
      </c>
      <c r="C4" t="str">
        <f>IFERROR(IF(0=LEN(ReferenceData!$C$4),"",ReferenceData!$C$4),"")</f>
        <v>PR005</v>
      </c>
      <c r="D4" t="str">
        <f>IFERROR(IF(0=LEN(ReferenceData!$D$4),"",ReferenceData!$D$4),"")</f>
        <v>PX_LAST</v>
      </c>
      <c r="E4" t="str">
        <f>IFERROR(IF(0=LEN(ReferenceData!$E$4),"",ReferenceData!$E$4),"")</f>
        <v>动态</v>
      </c>
      <c r="F4">
        <f ca="1">IFERROR(IF(0=LEN(ReferenceData!$F$4),"",ReferenceData!$F$4),"")</f>
        <v>2.6229813360000001</v>
      </c>
      <c r="G4">
        <f ca="1">IFERROR(IF(0=LEN(ReferenceData!$G$4),"",ReferenceData!$G$4),"")</f>
        <v>3.1617802510000002</v>
      </c>
      <c r="H4">
        <f ca="1">IFERROR(IF(0=LEN(ReferenceData!$H$4),"",ReferenceData!$H$4),"")</f>
        <v>3.334464981</v>
      </c>
      <c r="I4">
        <f ca="1">IFERROR(IF(0=LEN(ReferenceData!$I$4),"",ReferenceData!$I$4),"")</f>
        <v>3.758343784</v>
      </c>
      <c r="J4">
        <f ca="1">IFERROR(IF(0=LEN(ReferenceData!$J$4),"",ReferenceData!$J$4),"")</f>
        <v>3.6171939439999998</v>
      </c>
      <c r="K4">
        <f ca="1">IFERROR(IF(0=LEN(ReferenceData!$K$4),"",ReferenceData!$K$4),"")</f>
        <v>3.3787914360000002</v>
      </c>
      <c r="L4">
        <f ca="1">IFERROR(IF(0=LEN(ReferenceData!$L$4),"",ReferenceData!$L$4),"")</f>
        <v>4.2949610759999999</v>
      </c>
      <c r="M4">
        <f ca="1">IFERROR(IF(0=LEN(ReferenceData!$M$4),"",ReferenceData!$M$4),"")</f>
        <v>4.9115743949999997</v>
      </c>
      <c r="N4">
        <f ca="1">IFERROR(IF(0=LEN(ReferenceData!$N$4),"",ReferenceData!$N$4),"")</f>
        <v>3.979463806</v>
      </c>
      <c r="O4">
        <f ca="1">IFERROR(IF(0=LEN(ReferenceData!$O$4),"",ReferenceData!$O$4),"")</f>
        <v>4.0304957220000004</v>
      </c>
      <c r="P4">
        <f ca="1">IFERROR(IF(0=LEN(ReferenceData!$P$4),"",ReferenceData!$P$4),"")</f>
        <v>3.9431976010000001</v>
      </c>
      <c r="Q4">
        <f ca="1">IFERROR(IF(0=LEN(ReferenceData!$Q$4),"",ReferenceData!$Q$4),"")</f>
        <v>4.2645275969999998</v>
      </c>
      <c r="R4">
        <f ca="1">IFERROR(IF(0=LEN(ReferenceData!$R$4),"",ReferenceData!$R$4),"")</f>
        <v>4.3543460129999998</v>
      </c>
      <c r="S4">
        <f ca="1">IFERROR(IF(0=LEN(ReferenceData!$S$4),"",ReferenceData!$S$4),"")</f>
        <v>4.7463108729999997</v>
      </c>
      <c r="T4">
        <f ca="1">IFERROR(IF(0=LEN(ReferenceData!$T$4),"",ReferenceData!$T$4),"")</f>
        <v>4.2445900840000004</v>
      </c>
      <c r="U4">
        <f ca="1">IFERROR(IF(0=LEN(ReferenceData!$U$4),"",ReferenceData!$U$4),"")</f>
        <v>3.1393070829999998</v>
      </c>
      <c r="V4">
        <f ca="1">IFERROR(IF(0=LEN(ReferenceData!$V$4),"",ReferenceData!$V$4),"")</f>
        <v>4.0948690110000001</v>
      </c>
      <c r="W4">
        <f ca="1">IFERROR(IF(0=LEN(ReferenceData!$W$4),"",ReferenceData!$W$4),"")</f>
        <v>3.8149080199999998</v>
      </c>
      <c r="X4">
        <f ca="1">IFERROR(IF(0=LEN(ReferenceData!$X$4),"",ReferenceData!$X$4),"")</f>
        <v>4.3060645910000002</v>
      </c>
      <c r="Y4">
        <f ca="1">IFERROR(IF(0=LEN(ReferenceData!$Y$4),"",ReferenceData!$Y$4),"")</f>
        <v>3.7238998579999998</v>
      </c>
      <c r="Z4">
        <f ca="1">IFERROR(IF(0=LEN(ReferenceData!$Z$4),"",ReferenceData!$Z$4),"")</f>
        <v>3.722601804</v>
      </c>
      <c r="AA4">
        <f ca="1">IFERROR(IF(0=LEN(ReferenceData!$AA$4),"",ReferenceData!$AA$4),"")</f>
        <v>3.6654540739999999</v>
      </c>
      <c r="AB4">
        <f ca="1">IFERROR(IF(0=LEN(ReferenceData!$AB$4),"",ReferenceData!$AB$4),"")</f>
        <v>3.7160148190000002</v>
      </c>
      <c r="AC4">
        <f ca="1">IFERROR(IF(0=LEN(ReferenceData!$AC$4),"",ReferenceData!$AC$4),"")</f>
        <v>4.3394197060000002</v>
      </c>
      <c r="AD4">
        <f ca="1">IFERROR(IF(0=LEN(ReferenceData!$AD$4),"",ReferenceData!$AD$4),"")</f>
        <v>2.640585991</v>
      </c>
      <c r="AE4">
        <f ca="1">IFERROR(IF(0=LEN(ReferenceData!$AE$4),"",ReferenceData!$AE$4),"")</f>
        <v>3.2521407369999999</v>
      </c>
      <c r="AF4">
        <f ca="1">IFERROR(IF(0=LEN(ReferenceData!$AF$4),"",ReferenceData!$AF$4),"")</f>
        <v>3.034893018</v>
      </c>
      <c r="AG4">
        <f ca="1">IFERROR(IF(0=LEN(ReferenceData!$AG$4),"",ReferenceData!$AG$4),"")</f>
        <v>2.0877535630000001</v>
      </c>
      <c r="AH4">
        <f ca="1">IFERROR(IF(0=LEN(ReferenceData!$AH$4),"",ReferenceData!$AH$4),"")</f>
        <v>2.282598272</v>
      </c>
      <c r="AI4">
        <f ca="1">IFERROR(IF(0=LEN(ReferenceData!$AI$4),"",ReferenceData!$AI$4),"")</f>
        <v>0.37155680499999999</v>
      </c>
      <c r="AJ4">
        <f ca="1">IFERROR(IF(0=LEN(ReferenceData!$AJ$4),"",ReferenceData!$AJ$4),"")</f>
        <v>-0.98557966900000005</v>
      </c>
      <c r="AK4">
        <f ca="1">IFERROR(IF(0=LEN(ReferenceData!$AK$4),"",ReferenceData!$AK$4),"")</f>
        <v>-1.792255537</v>
      </c>
      <c r="AL4">
        <f ca="1">IFERROR(IF(0=LEN(ReferenceData!$AL$4),"",ReferenceData!$AL$4),"")</f>
        <v>-2.2136347669999998</v>
      </c>
      <c r="AM4">
        <f ca="1">IFERROR(IF(0=LEN(ReferenceData!$AM$4),"",ReferenceData!$AM$4),"")</f>
        <v>-1.78370864</v>
      </c>
      <c r="AN4">
        <f ca="1">IFERROR(IF(0=LEN(ReferenceData!$AN$4),"",ReferenceData!$AN$4),"")</f>
        <v>-0.62939406899999994</v>
      </c>
      <c r="AO4">
        <f ca="1">IFERROR(IF(0=LEN(ReferenceData!$AO$4),"",ReferenceData!$AO$4),"")</f>
        <v>0.47814743100000001</v>
      </c>
      <c r="AP4">
        <f ca="1">IFERROR(IF(0=LEN(ReferenceData!$AP$4),"",ReferenceData!$AP$4),"")</f>
        <v>1.887011067</v>
      </c>
      <c r="AQ4">
        <f ca="1">IFERROR(IF(0=LEN(ReferenceData!$AQ$4),"",ReferenceData!$AQ$4),"")</f>
        <v>2.0880887819999998</v>
      </c>
      <c r="AR4">
        <f ca="1">IFERROR(IF(0=LEN(ReferenceData!$AR$4),"",ReferenceData!$AR$4),"")</f>
        <v>3.5208816989999998</v>
      </c>
      <c r="AS4">
        <f ca="1">IFERROR(IF(0=LEN(ReferenceData!$AS$4),"",ReferenceData!$AS$4),"")</f>
        <v>3.4283491480000001</v>
      </c>
      <c r="AT4">
        <f ca="1">IFERROR(IF(0=LEN(ReferenceData!$AT$4),"",ReferenceData!$AT$4),"")</f>
        <v>3.8561807579999998</v>
      </c>
      <c r="AU4">
        <f ca="1">IFERROR(IF(0=LEN(ReferenceData!$AU$4),"",ReferenceData!$AU$4),"")</f>
        <v>4.4528776060000004</v>
      </c>
      <c r="AV4">
        <f ca="1">IFERROR(IF(0=LEN(ReferenceData!$AV$4),"",ReferenceData!$AV$4),"")</f>
        <v>3.785760255</v>
      </c>
      <c r="AW4">
        <f ca="1">IFERROR(IF(0=LEN(ReferenceData!$AW$4),"",ReferenceData!$AW$4),"")</f>
        <v>3.4905949230000002</v>
      </c>
      <c r="AX4">
        <f ca="1">IFERROR(IF(0=LEN(ReferenceData!$AX$4),"",ReferenceData!$AX$4),"")</f>
        <v>5.8287816059999997</v>
      </c>
      <c r="AY4">
        <f ca="1">IFERROR(IF(0=LEN(ReferenceData!$AY$4),"",ReferenceData!$AY$4),"")</f>
        <v>4.1446884060000002</v>
      </c>
      <c r="AZ4">
        <f ca="1">IFERROR(IF(0=LEN(ReferenceData!$AZ$4),"",ReferenceData!$AZ$4),"")</f>
        <v>4.1103668520000003</v>
      </c>
      <c r="BA4">
        <f ca="1">IFERROR(IF(0=LEN(ReferenceData!$BA$4),"",ReferenceData!$BA$4),"")</f>
        <v>3.3813683170000002</v>
      </c>
      <c r="BB4">
        <f ca="1">IFERROR(IF(0=LEN(ReferenceData!$BB$4),"",ReferenceData!$BB$4),"")</f>
        <v>2.6381630660000002</v>
      </c>
      <c r="BC4">
        <f ca="1">IFERROR(IF(0=LEN(ReferenceData!$BC$4),"",ReferenceData!$BC$4),"")</f>
        <v>2.373553121</v>
      </c>
      <c r="BD4">
        <f ca="1">IFERROR(IF(0=LEN(ReferenceData!$BD$4),"",ReferenceData!$BD$4),"")</f>
        <v>2.424832699</v>
      </c>
      <c r="BE4">
        <f ca="1">IFERROR(IF(0=LEN(ReferenceData!$BE$4),"",ReferenceData!$BE$4),"")</f>
        <v>1.7338812029999999</v>
      </c>
      <c r="BF4">
        <f ca="1">IFERROR(IF(0=LEN(ReferenceData!$BF$4),"",ReferenceData!$BF$4),"")</f>
        <v>0.82930904000000005</v>
      </c>
      <c r="BG4">
        <f ca="1">IFERROR(IF(0=LEN(ReferenceData!$BG$4),"",ReferenceData!$BG$4),"")</f>
        <v>-1.8044101E-2</v>
      </c>
      <c r="BH4">
        <f ca="1">IFERROR(IF(0=LEN(ReferenceData!$BH$4),"",ReferenceData!$BH$4),"")</f>
        <v>0.63878490399999999</v>
      </c>
      <c r="BI4">
        <f ca="1">IFERROR(IF(0=LEN(ReferenceData!$BI$4),"",ReferenceData!$BI$4),"")</f>
        <v>-0.55985417599999998</v>
      </c>
      <c r="BJ4">
        <f ca="1">IFERROR(IF(0=LEN(ReferenceData!$BJ$4),"",ReferenceData!$BJ$4),"")</f>
        <v>-1.9997330099999999</v>
      </c>
      <c r="BK4">
        <f ca="1">IFERROR(IF(0=LEN(ReferenceData!$BK$4),"",ReferenceData!$BK$4),"")</f>
        <v>-3.0148551920000002</v>
      </c>
      <c r="BL4">
        <f ca="1">IFERROR(IF(0=LEN(ReferenceData!$BL$4),"",ReferenceData!$BL$4),"")</f>
        <v>-3.6444737210000002</v>
      </c>
      <c r="BM4">
        <f ca="1">IFERROR(IF(0=LEN(ReferenceData!$BM$4),"",ReferenceData!$BM$4),"")</f>
        <v>-4.7949334290000003</v>
      </c>
    </row>
    <row r="5" spans="1:65">
      <c r="A5" t="str">
        <f>IFERROR(IF(0=LEN(ReferenceData!$A$5),"",ReferenceData!$A$5),"")</f>
        <v xml:space="preserve">    Office REITs</v>
      </c>
      <c r="B5" t="str">
        <f>IFERROR(IF(0=LEN(ReferenceData!$B$5),"",ReferenceData!$B$5),"")</f>
        <v>RECFSSOF Index</v>
      </c>
      <c r="C5" t="str">
        <f>IFERROR(IF(0=LEN(ReferenceData!$C$5),"",ReferenceData!$C$5),"")</f>
        <v>PR005</v>
      </c>
      <c r="D5" t="str">
        <f>IFERROR(IF(0=LEN(ReferenceData!$D$5),"",ReferenceData!$D$5),"")</f>
        <v>PX_LAST</v>
      </c>
      <c r="E5" t="str">
        <f>IFERROR(IF(0=LEN(ReferenceData!$E$5),"",ReferenceData!$E$5),"")</f>
        <v>动态</v>
      </c>
      <c r="F5">
        <f ca="1">IFERROR(IF(0=LEN(ReferenceData!$F$5),"",ReferenceData!$F$5),"")</f>
        <v>2.7746050960000002</v>
      </c>
      <c r="G5">
        <f ca="1">IFERROR(IF(0=LEN(ReferenceData!$G$5),"",ReferenceData!$G$5),"")</f>
        <v>3.9324572789999999</v>
      </c>
      <c r="H5">
        <f ca="1">IFERROR(IF(0=LEN(ReferenceData!$H$5),"",ReferenceData!$H$5),"")</f>
        <v>3.4931212149999999</v>
      </c>
      <c r="I5">
        <f ca="1">IFERROR(IF(0=LEN(ReferenceData!$I$5),"",ReferenceData!$I$5),"")</f>
        <v>4.0421379809999998</v>
      </c>
      <c r="J5">
        <f ca="1">IFERROR(IF(0=LEN(ReferenceData!$J$5),"",ReferenceData!$J$5),"")</f>
        <v>3.6513449250000001</v>
      </c>
      <c r="K5">
        <f ca="1">IFERROR(IF(0=LEN(ReferenceData!$K$5),"",ReferenceData!$K$5),"")</f>
        <v>1.768250871</v>
      </c>
      <c r="L5">
        <f ca="1">IFERROR(IF(0=LEN(ReferenceData!$L$5),"",ReferenceData!$L$5),"")</f>
        <v>3.4183047110000002</v>
      </c>
      <c r="M5">
        <f ca="1">IFERROR(IF(0=LEN(ReferenceData!$M$5),"",ReferenceData!$M$5),"")</f>
        <v>5.1420110780000003</v>
      </c>
      <c r="N5">
        <f ca="1">IFERROR(IF(0=LEN(ReferenceData!$N$5),"",ReferenceData!$N$5),"")</f>
        <v>3.0909832339999999</v>
      </c>
      <c r="O5">
        <f ca="1">IFERROR(IF(0=LEN(ReferenceData!$O$5),"",ReferenceData!$O$5),"")</f>
        <v>2.2892894899999998</v>
      </c>
      <c r="P5">
        <f ca="1">IFERROR(IF(0=LEN(ReferenceData!$P$5),"",ReferenceData!$P$5),"")</f>
        <v>2.2801274290000002</v>
      </c>
      <c r="Q5">
        <f ca="1">IFERROR(IF(0=LEN(ReferenceData!$Q$5),"",ReferenceData!$Q$5),"")</f>
        <v>3.7487305430000002</v>
      </c>
      <c r="R5">
        <f ca="1">IFERROR(IF(0=LEN(ReferenceData!$R$5),"",ReferenceData!$R$5),"")</f>
        <v>4.1550428100000003</v>
      </c>
      <c r="S5">
        <f ca="1">IFERROR(IF(0=LEN(ReferenceData!$S$5),"",ReferenceData!$S$5),"")</f>
        <v>4.305784075</v>
      </c>
      <c r="T5">
        <f ca="1">IFERROR(IF(0=LEN(ReferenceData!$T$5),"",ReferenceData!$T$5),"")</f>
        <v>3.228060938</v>
      </c>
      <c r="U5">
        <f ca="1">IFERROR(IF(0=LEN(ReferenceData!$U$5),"",ReferenceData!$U$5),"")</f>
        <v>0.19823532899999999</v>
      </c>
      <c r="V5">
        <f ca="1">IFERROR(IF(0=LEN(ReferenceData!$V$5),"",ReferenceData!$V$5),"")</f>
        <v>3.1782030479999999</v>
      </c>
      <c r="W5">
        <f ca="1">IFERROR(IF(0=LEN(ReferenceData!$W$5),"",ReferenceData!$W$5),"")</f>
        <v>2.2074521620000001</v>
      </c>
      <c r="X5">
        <f ca="1">IFERROR(IF(0=LEN(ReferenceData!$X$5),"",ReferenceData!$X$5),"")</f>
        <v>3.518876369</v>
      </c>
      <c r="Y5">
        <f ca="1">IFERROR(IF(0=LEN(ReferenceData!$Y$5),"",ReferenceData!$Y$5),"")</f>
        <v>2.4214955630000001</v>
      </c>
      <c r="Z5">
        <f ca="1">IFERROR(IF(0=LEN(ReferenceData!$Z$5),"",ReferenceData!$Z$5),"")</f>
        <v>1.9639135109999999</v>
      </c>
      <c r="AA5">
        <f ca="1">IFERROR(IF(0=LEN(ReferenceData!$AA$5),"",ReferenceData!$AA$5),"")</f>
        <v>0.35070816199999999</v>
      </c>
      <c r="AB5">
        <f ca="1">IFERROR(IF(0=LEN(ReferenceData!$AB$5),"",ReferenceData!$AB$5),"")</f>
        <v>0.36322233100000001</v>
      </c>
      <c r="AC5">
        <f ca="1">IFERROR(IF(0=LEN(ReferenceData!$AC$5),"",ReferenceData!$AC$5),"")</f>
        <v>2.2847710010000002</v>
      </c>
      <c r="AD5">
        <f ca="1">IFERROR(IF(0=LEN(ReferenceData!$AD$5),"",ReferenceData!$AD$5),"")</f>
        <v>-0.90233592200000001</v>
      </c>
      <c r="AE5">
        <f ca="1">IFERROR(IF(0=LEN(ReferenceData!$AE$5),"",ReferenceData!$AE$5),"")</f>
        <v>0.928442879</v>
      </c>
      <c r="AF5">
        <f ca="1">IFERROR(IF(0=LEN(ReferenceData!$AF$5),"",ReferenceData!$AF$5),"")</f>
        <v>1.037064607</v>
      </c>
      <c r="AG5">
        <f ca="1">IFERROR(IF(0=LEN(ReferenceData!$AG$5),"",ReferenceData!$AG$5),"")</f>
        <v>-1.402062892</v>
      </c>
      <c r="AH5">
        <f ca="1">IFERROR(IF(0=LEN(ReferenceData!$AH$5),"",ReferenceData!$AH$5),"")</f>
        <v>-0.24291204999999999</v>
      </c>
      <c r="AI5">
        <f ca="1">IFERROR(IF(0=LEN(ReferenceData!$AI$5),"",ReferenceData!$AI$5),"")</f>
        <v>-2.32614075</v>
      </c>
      <c r="AJ5">
        <f ca="1">IFERROR(IF(0=LEN(ReferenceData!$AJ$5),"",ReferenceData!$AJ$5),"")</f>
        <v>-3.150922913</v>
      </c>
      <c r="AK5">
        <f ca="1">IFERROR(IF(0=LEN(ReferenceData!$AK$5),"",ReferenceData!$AK$5),"")</f>
        <v>-2.0340888879999999</v>
      </c>
      <c r="AL5">
        <f ca="1">IFERROR(IF(0=LEN(ReferenceData!$AL$5),"",ReferenceData!$AL$5),"")</f>
        <v>-1.5235137679999999</v>
      </c>
      <c r="AM5">
        <f ca="1">IFERROR(IF(0=LEN(ReferenceData!$AM$5),"",ReferenceData!$AM$5),"")</f>
        <v>-0.31767884899999999</v>
      </c>
      <c r="AN5">
        <f ca="1">IFERROR(IF(0=LEN(ReferenceData!$AN$5),"",ReferenceData!$AN$5),"")</f>
        <v>0.86619610899999999</v>
      </c>
      <c r="AO5">
        <f ca="1">IFERROR(IF(0=LEN(ReferenceData!$AO$5),"",ReferenceData!$AO$5),"")</f>
        <v>0.68224250099999995</v>
      </c>
      <c r="AP5">
        <f ca="1">IFERROR(IF(0=LEN(ReferenceData!$AP$5),"",ReferenceData!$AP$5),"")</f>
        <v>2.0367696460000002</v>
      </c>
      <c r="AQ5">
        <f ca="1">IFERROR(IF(0=LEN(ReferenceData!$AQ$5),"",ReferenceData!$AQ$5),"")</f>
        <v>2.6129088720000002</v>
      </c>
      <c r="AR5">
        <f ca="1">IFERROR(IF(0=LEN(ReferenceData!$AR$5),"",ReferenceData!$AR$5),"")</f>
        <v>3.5182341610000001</v>
      </c>
      <c r="AS5">
        <f ca="1">IFERROR(IF(0=LEN(ReferenceData!$AS$5),"",ReferenceData!$AS$5),"")</f>
        <v>4.2738464829999998</v>
      </c>
      <c r="AT5">
        <f ca="1">IFERROR(IF(0=LEN(ReferenceData!$AT$5),"",ReferenceData!$AT$5),"")</f>
        <v>0.12632320799999999</v>
      </c>
      <c r="AU5">
        <f ca="1">IFERROR(IF(0=LEN(ReferenceData!$AU$5),"",ReferenceData!$AU$5),"")</f>
        <v>2.6272893009999998</v>
      </c>
      <c r="AV5">
        <f ca="1">IFERROR(IF(0=LEN(ReferenceData!$AV$5),"",ReferenceData!$AV$5),"")</f>
        <v>2.8399634069999999</v>
      </c>
      <c r="AW5">
        <f ca="1">IFERROR(IF(0=LEN(ReferenceData!$AW$5),"",ReferenceData!$AW$5),"")</f>
        <v>2.7100113010000002</v>
      </c>
      <c r="AX5">
        <f ca="1">IFERROR(IF(0=LEN(ReferenceData!$AX$5),"",ReferenceData!$AX$5),"")</f>
        <v>6.5462735399999996</v>
      </c>
      <c r="AY5">
        <f ca="1">IFERROR(IF(0=LEN(ReferenceData!$AY$5),"",ReferenceData!$AY$5),"")</f>
        <v>2.115952396</v>
      </c>
      <c r="AZ5">
        <f ca="1">IFERROR(IF(0=LEN(ReferenceData!$AZ$5),"",ReferenceData!$AZ$5),"")</f>
        <v>0.81067504899999998</v>
      </c>
      <c r="BA5">
        <f ca="1">IFERROR(IF(0=LEN(ReferenceData!$BA$5),"",ReferenceData!$BA$5),"")</f>
        <v>-2.758033035</v>
      </c>
      <c r="BB5">
        <f ca="1">IFERROR(IF(0=LEN(ReferenceData!$BB$5),"",ReferenceData!$BB$5),"")</f>
        <v>-1.863088436</v>
      </c>
      <c r="BC5">
        <f ca="1">IFERROR(IF(0=LEN(ReferenceData!$BC$5),"",ReferenceData!$BC$5),"")</f>
        <v>-0.99029466700000002</v>
      </c>
      <c r="BD5">
        <f ca="1">IFERROR(IF(0=LEN(ReferenceData!$BD$5),"",ReferenceData!$BD$5),"")</f>
        <v>0.47314734800000002</v>
      </c>
      <c r="BE5">
        <f ca="1">IFERROR(IF(0=LEN(ReferenceData!$BE$5),"",ReferenceData!$BE$5),"")</f>
        <v>-2.7932083999999999E-2</v>
      </c>
      <c r="BF5">
        <f ca="1">IFERROR(IF(0=LEN(ReferenceData!$BF$5),"",ReferenceData!$BF$5),"")</f>
        <v>-1.5236284600000001</v>
      </c>
      <c r="BG5">
        <f ca="1">IFERROR(IF(0=LEN(ReferenceData!$BG$5),"",ReferenceData!$BG$5),"")</f>
        <v>-2.3343811319999999</v>
      </c>
      <c r="BH5">
        <f ca="1">IFERROR(IF(0=LEN(ReferenceData!$BH$5),"",ReferenceData!$BH$5),"")</f>
        <v>0.78361712699999997</v>
      </c>
      <c r="BI5">
        <f ca="1">IFERROR(IF(0=LEN(ReferenceData!$BI$5),"",ReferenceData!$BI$5),"")</f>
        <v>-2.6129890310000001</v>
      </c>
      <c r="BJ5">
        <f ca="1">IFERROR(IF(0=LEN(ReferenceData!$BJ$5),"",ReferenceData!$BJ$5),"")</f>
        <v>-3.824413925</v>
      </c>
      <c r="BK5">
        <f ca="1">IFERROR(IF(0=LEN(ReferenceData!$BK$5),"",ReferenceData!$BK$5),"")</f>
        <v>-4.0463486389999996</v>
      </c>
      <c r="BL5">
        <f ca="1">IFERROR(IF(0=LEN(ReferenceData!$BL$5),"",ReferenceData!$BL$5),"")</f>
        <v>-4.4274497420000003</v>
      </c>
      <c r="BM5">
        <f ca="1">IFERROR(IF(0=LEN(ReferenceData!$BM$5),"",ReferenceData!$BM$5),"")</f>
        <v>-4.9431923409999996</v>
      </c>
    </row>
    <row r="6" spans="1:65">
      <c r="A6" t="str">
        <f>IFERROR(IF(0=LEN(ReferenceData!$A$6),"",ReferenceData!$A$6),"")</f>
        <v xml:space="preserve">    Industrial REITs</v>
      </c>
      <c r="B6" t="str">
        <f>IFERROR(IF(0=LEN(ReferenceData!$B$6),"",ReferenceData!$B$6),"")</f>
        <v>RECFSSIN Index</v>
      </c>
      <c r="C6" t="str">
        <f>IFERROR(IF(0=LEN(ReferenceData!$C$6),"",ReferenceData!$C$6),"")</f>
        <v>PR005</v>
      </c>
      <c r="D6" t="str">
        <f>IFERROR(IF(0=LEN(ReferenceData!$D$6),"",ReferenceData!$D$6),"")</f>
        <v>PX_LAST</v>
      </c>
      <c r="E6" t="str">
        <f>IFERROR(IF(0=LEN(ReferenceData!$E$6),"",ReferenceData!$E$6),"")</f>
        <v>动态</v>
      </c>
      <c r="F6">
        <f ca="1">IFERROR(IF(0=LEN(ReferenceData!$F$6),"",ReferenceData!$F$6),"")</f>
        <v>4.2232023449999998</v>
      </c>
      <c r="G6">
        <f ca="1">IFERROR(IF(0=LEN(ReferenceData!$G$6),"",ReferenceData!$G$6),"")</f>
        <v>4.5914524400000003</v>
      </c>
      <c r="H6">
        <f ca="1">IFERROR(IF(0=LEN(ReferenceData!$H$6),"",ReferenceData!$H$6),"")</f>
        <v>5.2246744510000003</v>
      </c>
      <c r="I6">
        <f ca="1">IFERROR(IF(0=LEN(ReferenceData!$I$6),"",ReferenceData!$I$6),"")</f>
        <v>5.9196263160000004</v>
      </c>
      <c r="J6">
        <f ca="1">IFERROR(IF(0=LEN(ReferenceData!$J$6),"",ReferenceData!$J$6),"")</f>
        <v>4.1192869859999997</v>
      </c>
      <c r="K6">
        <f ca="1">IFERROR(IF(0=LEN(ReferenceData!$K$6),"",ReferenceData!$K$6),"")</f>
        <v>4.8630891629999997</v>
      </c>
      <c r="L6">
        <f ca="1">IFERROR(IF(0=LEN(ReferenceData!$L$6),"",ReferenceData!$L$6),"")</f>
        <v>4.0092662529999998</v>
      </c>
      <c r="M6">
        <f ca="1">IFERROR(IF(0=LEN(ReferenceData!$M$6),"",ReferenceData!$M$6),"")</f>
        <v>5.0211329449999997</v>
      </c>
      <c r="N6">
        <f ca="1">IFERROR(IF(0=LEN(ReferenceData!$N$6),"",ReferenceData!$N$6),"")</f>
        <v>3.5387011080000002</v>
      </c>
      <c r="O6">
        <f ca="1">IFERROR(IF(0=LEN(ReferenceData!$O$6),"",ReferenceData!$O$6),"")</f>
        <v>3.529305608</v>
      </c>
      <c r="P6">
        <f ca="1">IFERROR(IF(0=LEN(ReferenceData!$P$6),"",ReferenceData!$P$6),"")</f>
        <v>4.581026949</v>
      </c>
      <c r="Q6">
        <f ca="1">IFERROR(IF(0=LEN(ReferenceData!$Q$6),"",ReferenceData!$Q$6),"")</f>
        <v>4.199312194</v>
      </c>
      <c r="R6">
        <f ca="1">IFERROR(IF(0=LEN(ReferenceData!$R$6),"",ReferenceData!$R$6),"")</f>
        <v>4.0052269269999998</v>
      </c>
      <c r="S6">
        <f ca="1">IFERROR(IF(0=LEN(ReferenceData!$S$6),"",ReferenceData!$S$6),"")</f>
        <v>3.7679753599999999</v>
      </c>
      <c r="T6">
        <f ca="1">IFERROR(IF(0=LEN(ReferenceData!$T$6),"",ReferenceData!$T$6),"")</f>
        <v>3.7806882910000001</v>
      </c>
      <c r="U6">
        <f ca="1">IFERROR(IF(0=LEN(ReferenceData!$U$6),"",ReferenceData!$U$6),"")</f>
        <v>2.5392217430000001</v>
      </c>
      <c r="V6">
        <f ca="1">IFERROR(IF(0=LEN(ReferenceData!$V$6),"",ReferenceData!$V$6),"")</f>
        <v>2.3733777439999999</v>
      </c>
      <c r="W6">
        <f ca="1">IFERROR(IF(0=LEN(ReferenceData!$W$6),"",ReferenceData!$W$6),"")</f>
        <v>2.0714796170000001</v>
      </c>
      <c r="X6">
        <f ca="1">IFERROR(IF(0=LEN(ReferenceData!$X$6),"",ReferenceData!$X$6),"")</f>
        <v>1.4403236210000001</v>
      </c>
      <c r="Y6">
        <f ca="1">IFERROR(IF(0=LEN(ReferenceData!$Y$6),"",ReferenceData!$Y$6),"")</f>
        <v>1.1843059300000001</v>
      </c>
      <c r="Z6">
        <f ca="1">IFERROR(IF(0=LEN(ReferenceData!$Z$6),"",ReferenceData!$Z$6),"")</f>
        <v>0.94784504999999997</v>
      </c>
      <c r="AA6">
        <f ca="1">IFERROR(IF(0=LEN(ReferenceData!$AA$6),"",ReferenceData!$AA$6),"")</f>
        <v>1.9782950969999999</v>
      </c>
      <c r="AB6">
        <f ca="1">IFERROR(IF(0=LEN(ReferenceData!$AB$6),"",ReferenceData!$AB$6),"")</f>
        <v>1.198740519</v>
      </c>
      <c r="AC6">
        <f ca="1">IFERROR(IF(0=LEN(ReferenceData!$AC$6),"",ReferenceData!$AC$6),"")</f>
        <v>2.4098687970000001</v>
      </c>
      <c r="AD6">
        <f ca="1">IFERROR(IF(0=LEN(ReferenceData!$AD$6),"",ReferenceData!$AD$6),"")</f>
        <v>1.3152475939999999</v>
      </c>
      <c r="AE6">
        <f ca="1">IFERROR(IF(0=LEN(ReferenceData!$AE$6),"",ReferenceData!$AE$6),"")</f>
        <v>0.112182613</v>
      </c>
      <c r="AF6">
        <f ca="1">IFERROR(IF(0=LEN(ReferenceData!$AF$6),"",ReferenceData!$AF$6),"")</f>
        <v>1.7166853909999999</v>
      </c>
      <c r="AG6">
        <f ca="1">IFERROR(IF(0=LEN(ReferenceData!$AG$6),"",ReferenceData!$AG$6),"")</f>
        <v>0.58642748</v>
      </c>
      <c r="AH6">
        <f ca="1">IFERROR(IF(0=LEN(ReferenceData!$AH$6),"",ReferenceData!$AH$6),"")</f>
        <v>-0.1166934</v>
      </c>
      <c r="AI6">
        <f ca="1">IFERROR(IF(0=LEN(ReferenceData!$AI$6),"",ReferenceData!$AI$6),"")</f>
        <v>-0.81710332699999999</v>
      </c>
      <c r="AJ6">
        <f ca="1">IFERROR(IF(0=LEN(ReferenceData!$AJ$6),"",ReferenceData!$AJ$6),"")</f>
        <v>-3.0890687200000002</v>
      </c>
      <c r="AK6">
        <f ca="1">IFERROR(IF(0=LEN(ReferenceData!$AK$6),"",ReferenceData!$AK$6),"")</f>
        <v>-4.1914401950000002</v>
      </c>
      <c r="AL6">
        <f ca="1">IFERROR(IF(0=LEN(ReferenceData!$AL$6),"",ReferenceData!$AL$6),"")</f>
        <v>-4.3847540479999996</v>
      </c>
      <c r="AM6">
        <f ca="1">IFERROR(IF(0=LEN(ReferenceData!$AM$6),"",ReferenceData!$AM$6),"")</f>
        <v>-3.1949803729999999</v>
      </c>
      <c r="AN6">
        <f ca="1">IFERROR(IF(0=LEN(ReferenceData!$AN$6),"",ReferenceData!$AN$6),"")</f>
        <v>-0.15071026100000001</v>
      </c>
      <c r="AO6">
        <f ca="1">IFERROR(IF(0=LEN(ReferenceData!$AO$6),"",ReferenceData!$AO$6),"")</f>
        <v>-9.8631295999999993E-2</v>
      </c>
      <c r="AP6">
        <f ca="1">IFERROR(IF(0=LEN(ReferenceData!$AP$6),"",ReferenceData!$AP$6),"")</f>
        <v>1.336035259</v>
      </c>
      <c r="AQ6">
        <f ca="1">IFERROR(IF(0=LEN(ReferenceData!$AQ$6),"",ReferenceData!$AQ$6),"")</f>
        <v>1.6495429669999999</v>
      </c>
      <c r="AR6">
        <f ca="1">IFERROR(IF(0=LEN(ReferenceData!$AR$6),"",ReferenceData!$AR$6),"")</f>
        <v>1.254120951</v>
      </c>
      <c r="AS6">
        <f ca="1">IFERROR(IF(0=LEN(ReferenceData!$AS$6),"",ReferenceData!$AS$6),"")</f>
        <v>2.4589530559999999</v>
      </c>
      <c r="AT6">
        <f ca="1">IFERROR(IF(0=LEN(ReferenceData!$AT$6),"",ReferenceData!$AT$6),"")</f>
        <v>2.2913001450000001</v>
      </c>
      <c r="AU6">
        <f ca="1">IFERROR(IF(0=LEN(ReferenceData!$AU$6),"",ReferenceData!$AU$6),"")</f>
        <v>3.7437109159999999</v>
      </c>
      <c r="AV6">
        <f ca="1">IFERROR(IF(0=LEN(ReferenceData!$AV$6),"",ReferenceData!$AV$6),"")</f>
        <v>3.98259045</v>
      </c>
      <c r="AW6">
        <f ca="1">IFERROR(IF(0=LEN(ReferenceData!$AW$6),"",ReferenceData!$AW$6),"")</f>
        <v>4.3746742550000004</v>
      </c>
      <c r="AX6">
        <f ca="1">IFERROR(IF(0=LEN(ReferenceData!$AX$6),"",ReferenceData!$AX$6),"")</f>
        <v>4.6154109400000003</v>
      </c>
      <c r="AY6">
        <f ca="1">IFERROR(IF(0=LEN(ReferenceData!$AY$6),"",ReferenceData!$AY$6),"")</f>
        <v>4.8839512359999997</v>
      </c>
      <c r="AZ6">
        <f ca="1">IFERROR(IF(0=LEN(ReferenceData!$AZ$6),"",ReferenceData!$AZ$6),"")</f>
        <v>1.5879165200000001</v>
      </c>
      <c r="BA6">
        <f ca="1">IFERROR(IF(0=LEN(ReferenceData!$BA$6),"",ReferenceData!$BA$6),"")</f>
        <v>0.14132600300000001</v>
      </c>
      <c r="BB6">
        <f ca="1">IFERROR(IF(0=LEN(ReferenceData!$BB$6),"",ReferenceData!$BB$6),"")</f>
        <v>-1.674189232</v>
      </c>
      <c r="BC6">
        <f ca="1">IFERROR(IF(0=LEN(ReferenceData!$BC$6),"",ReferenceData!$BC$6),"")</f>
        <v>53.110821250000001</v>
      </c>
      <c r="BD6">
        <f ca="1">IFERROR(IF(0=LEN(ReferenceData!$BD$6),"",ReferenceData!$BD$6),"")</f>
        <v>51.194759359999999</v>
      </c>
      <c r="BE6">
        <f ca="1">IFERROR(IF(0=LEN(ReferenceData!$BE$6),"",ReferenceData!$BE$6),"")</f>
        <v>50.150699250000002</v>
      </c>
      <c r="BF6">
        <f ca="1">IFERROR(IF(0=LEN(ReferenceData!$BF$6),"",ReferenceData!$BF$6),"")</f>
        <v>53.586337329999999</v>
      </c>
      <c r="BG6">
        <f ca="1">IFERROR(IF(0=LEN(ReferenceData!$BG$6),"",ReferenceData!$BG$6),"")</f>
        <v>53.956815720000002</v>
      </c>
      <c r="BH6">
        <f ca="1">IFERROR(IF(0=LEN(ReferenceData!$BH$6),"",ReferenceData!$BH$6),"")</f>
        <v>48.828673520000002</v>
      </c>
      <c r="BI6">
        <f ca="1">IFERROR(IF(0=LEN(ReferenceData!$BI$6),"",ReferenceData!$BI$6),"")</f>
        <v>47.931184129999998</v>
      </c>
      <c r="BJ6">
        <f ca="1">IFERROR(IF(0=LEN(ReferenceData!$BJ$6),"",ReferenceData!$BJ$6),"")</f>
        <v>81.150911140000005</v>
      </c>
      <c r="BK6">
        <f ca="1">IFERROR(IF(0=LEN(ReferenceData!$BK$6),"",ReferenceData!$BK$6),"")</f>
        <v>74.608031019999999</v>
      </c>
      <c r="BL6">
        <f ca="1">IFERROR(IF(0=LEN(ReferenceData!$BL$6),"",ReferenceData!$BL$6),"")</f>
        <v>76.05672045</v>
      </c>
      <c r="BM6">
        <f ca="1">IFERROR(IF(0=LEN(ReferenceData!$BM$6),"",ReferenceData!$BM$6),"")</f>
        <v>72.650276500000004</v>
      </c>
    </row>
    <row r="7" spans="1:65">
      <c r="A7" t="str">
        <f>IFERROR(IF(0=LEN(ReferenceData!$A$7),"",ReferenceData!$A$7),"")</f>
        <v xml:space="preserve">    Retail REITs</v>
      </c>
      <c r="B7" t="str">
        <f>IFERROR(IF(0=LEN(ReferenceData!$B$7),"",ReferenceData!$B$7),"")</f>
        <v>RECFSSRT Index</v>
      </c>
      <c r="C7" t="str">
        <f>IFERROR(IF(0=LEN(ReferenceData!$C$7),"",ReferenceData!$C$7),"")</f>
        <v>PR005</v>
      </c>
      <c r="D7" t="str">
        <f>IFERROR(IF(0=LEN(ReferenceData!$D$7),"",ReferenceData!$D$7),"")</f>
        <v>PX_LAST</v>
      </c>
      <c r="E7" t="str">
        <f>IFERROR(IF(0=LEN(ReferenceData!$E$7),"",ReferenceData!$E$7),"")</f>
        <v>动态</v>
      </c>
      <c r="F7">
        <f ca="1">IFERROR(IF(0=LEN(ReferenceData!$F$7),"",ReferenceData!$F$7),"")</f>
        <v>1.4449237239999999</v>
      </c>
      <c r="G7">
        <f ca="1">IFERROR(IF(0=LEN(ReferenceData!$G$7),"",ReferenceData!$G$7),"")</f>
        <v>1.752543695</v>
      </c>
      <c r="H7">
        <f ca="1">IFERROR(IF(0=LEN(ReferenceData!$H$7),"",ReferenceData!$H$7),"")</f>
        <v>2.30663141</v>
      </c>
      <c r="I7">
        <f ca="1">IFERROR(IF(0=LEN(ReferenceData!$I$7),"",ReferenceData!$I$7),"")</f>
        <v>2.5844137030000001</v>
      </c>
      <c r="J7">
        <f ca="1">IFERROR(IF(0=LEN(ReferenceData!$J$7),"",ReferenceData!$J$7),"")</f>
        <v>3.0597791230000002</v>
      </c>
      <c r="K7">
        <f ca="1">IFERROR(IF(0=LEN(ReferenceData!$K$7),"",ReferenceData!$K$7),"")</f>
        <v>2.7756256029999999</v>
      </c>
      <c r="L7">
        <f ca="1">IFERROR(IF(0=LEN(ReferenceData!$L$7),"",ReferenceData!$L$7),"")</f>
        <v>3.6629825469999999</v>
      </c>
      <c r="M7">
        <f ca="1">IFERROR(IF(0=LEN(ReferenceData!$M$7),"",ReferenceData!$M$7),"")</f>
        <v>4.319163219</v>
      </c>
      <c r="N7">
        <f ca="1">IFERROR(IF(0=LEN(ReferenceData!$N$7),"",ReferenceData!$N$7),"")</f>
        <v>3.6255916199999998</v>
      </c>
      <c r="O7">
        <f ca="1">IFERROR(IF(0=LEN(ReferenceData!$O$7),"",ReferenceData!$O$7),"")</f>
        <v>3.780663375</v>
      </c>
      <c r="P7">
        <f ca="1">IFERROR(IF(0=LEN(ReferenceData!$P$7),"",ReferenceData!$P$7),"")</f>
        <v>3.2090535180000002</v>
      </c>
      <c r="Q7">
        <f ca="1">IFERROR(IF(0=LEN(ReferenceData!$Q$7),"",ReferenceData!$Q$7),"")</f>
        <v>3.3394780050000001</v>
      </c>
      <c r="R7">
        <f ca="1">IFERROR(IF(0=LEN(ReferenceData!$R$7),"",ReferenceData!$R$7),"")</f>
        <v>3.5194505650000001</v>
      </c>
      <c r="S7">
        <f ca="1">IFERROR(IF(0=LEN(ReferenceData!$S$7),"",ReferenceData!$S$7),"")</f>
        <v>4.3071235510000001</v>
      </c>
      <c r="T7">
        <f ca="1">IFERROR(IF(0=LEN(ReferenceData!$T$7),"",ReferenceData!$T$7),"")</f>
        <v>4.3644086619999998</v>
      </c>
      <c r="U7">
        <f ca="1">IFERROR(IF(0=LEN(ReferenceData!$U$7),"",ReferenceData!$U$7),"")</f>
        <v>3.319382251</v>
      </c>
      <c r="V7">
        <f ca="1">IFERROR(IF(0=LEN(ReferenceData!$V$7),"",ReferenceData!$V$7),"")</f>
        <v>4.3769789650000002</v>
      </c>
      <c r="W7">
        <f ca="1">IFERROR(IF(0=LEN(ReferenceData!$W$7),"",ReferenceData!$W$7),"")</f>
        <v>4.2337802629999999</v>
      </c>
      <c r="X7">
        <f ca="1">IFERROR(IF(0=LEN(ReferenceData!$X$7),"",ReferenceData!$X$7),"")</f>
        <v>4.7639184849999996</v>
      </c>
      <c r="Y7">
        <f ca="1">IFERROR(IF(0=LEN(ReferenceData!$Y$7),"",ReferenceData!$Y$7),"")</f>
        <v>4.1223311699999998</v>
      </c>
      <c r="Z7">
        <f ca="1">IFERROR(IF(0=LEN(ReferenceData!$Z$7),"",ReferenceData!$Z$7),"")</f>
        <v>3.4772871429999999</v>
      </c>
      <c r="AA7">
        <f ca="1">IFERROR(IF(0=LEN(ReferenceData!$AA$7),"",ReferenceData!$AA$7),"")</f>
        <v>3.4854259129999998</v>
      </c>
      <c r="AB7">
        <f ca="1">IFERROR(IF(0=LEN(ReferenceData!$AB$7),"",ReferenceData!$AB$7),"")</f>
        <v>4.1657154170000004</v>
      </c>
      <c r="AC7">
        <f ca="1">IFERROR(IF(0=LEN(ReferenceData!$AC$7),"",ReferenceData!$AC$7),"")</f>
        <v>4.2113566579999997</v>
      </c>
      <c r="AD7">
        <f ca="1">IFERROR(IF(0=LEN(ReferenceData!$AD$7),"",ReferenceData!$AD$7),"")</f>
        <v>2.3795707570000002</v>
      </c>
      <c r="AE7">
        <f ca="1">IFERROR(IF(0=LEN(ReferenceData!$AE$7),"",ReferenceData!$AE$7),"")</f>
        <v>3.4137804570000001</v>
      </c>
      <c r="AF7">
        <f ca="1">IFERROR(IF(0=LEN(ReferenceData!$AF$7),"",ReferenceData!$AF$7),"")</f>
        <v>2.6023762210000001</v>
      </c>
      <c r="AG7">
        <f ca="1">IFERROR(IF(0=LEN(ReferenceData!$AG$7),"",ReferenceData!$AG$7),"")</f>
        <v>1.589813575</v>
      </c>
      <c r="AH7">
        <f ca="1">IFERROR(IF(0=LEN(ReferenceData!$AH$7),"",ReferenceData!$AH$7),"")</f>
        <v>2.948481761</v>
      </c>
      <c r="AI7">
        <f ca="1">IFERROR(IF(0=LEN(ReferenceData!$AI$7),"",ReferenceData!$AI$7),"")</f>
        <v>1.216903262</v>
      </c>
      <c r="AJ7">
        <f ca="1">IFERROR(IF(0=LEN(ReferenceData!$AJ$7),"",ReferenceData!$AJ$7),"")</f>
        <v>0.55776144900000002</v>
      </c>
      <c r="AK7">
        <f ca="1">IFERROR(IF(0=LEN(ReferenceData!$AK$7),"",ReferenceData!$AK$7),"")</f>
        <v>0.21366911399999999</v>
      </c>
      <c r="AL7">
        <f ca="1">IFERROR(IF(0=LEN(ReferenceData!$AL$7),"",ReferenceData!$AL$7),"")</f>
        <v>-0.77741539599999998</v>
      </c>
      <c r="AM7">
        <f ca="1">IFERROR(IF(0=LEN(ReferenceData!$AM$7),"",ReferenceData!$AM$7),"")</f>
        <v>-1.576363534</v>
      </c>
      <c r="AN7">
        <f ca="1">IFERROR(IF(0=LEN(ReferenceData!$AN$7),"",ReferenceData!$AN$7),"")</f>
        <v>-1.6646313429999999</v>
      </c>
      <c r="AO7">
        <f ca="1">IFERROR(IF(0=LEN(ReferenceData!$AO$7),"",ReferenceData!$AO$7),"")</f>
        <v>0.445168444</v>
      </c>
      <c r="AP7">
        <f ca="1">IFERROR(IF(0=LEN(ReferenceData!$AP$7),"",ReferenceData!$AP$7),"")</f>
        <v>1.109212104</v>
      </c>
      <c r="AQ7">
        <f ca="1">IFERROR(IF(0=LEN(ReferenceData!$AQ$7),"",ReferenceData!$AQ$7),"")</f>
        <v>1.188942876</v>
      </c>
      <c r="AR7">
        <f ca="1">IFERROR(IF(0=LEN(ReferenceData!$AR$7),"",ReferenceData!$AR$7),"")</f>
        <v>3.21670816</v>
      </c>
      <c r="AS7">
        <f ca="1">IFERROR(IF(0=LEN(ReferenceData!$AS$7),"",ReferenceData!$AS$7),"")</f>
        <v>3.193604954</v>
      </c>
      <c r="AT7">
        <f ca="1">IFERROR(IF(0=LEN(ReferenceData!$AT$7),"",ReferenceData!$AT$7),"")</f>
        <v>4.7776030020000002</v>
      </c>
      <c r="AU7">
        <f ca="1">IFERROR(IF(0=LEN(ReferenceData!$AU$7),"",ReferenceData!$AU$7),"")</f>
        <v>4.8769748100000001</v>
      </c>
      <c r="AV7">
        <f ca="1">IFERROR(IF(0=LEN(ReferenceData!$AV$7),"",ReferenceData!$AV$7),"")</f>
        <v>3.2102229439999999</v>
      </c>
      <c r="AW7">
        <f ca="1">IFERROR(IF(0=LEN(ReferenceData!$AW$7),"",ReferenceData!$AW$7),"")</f>
        <v>1.7625836859999999</v>
      </c>
      <c r="AX7">
        <f ca="1">IFERROR(IF(0=LEN(ReferenceData!$AX$7),"",ReferenceData!$AX$7),"")</f>
        <v>5.3436708020000001</v>
      </c>
      <c r="AY7">
        <f ca="1">IFERROR(IF(0=LEN(ReferenceData!$AY$7),"",ReferenceData!$AY$7),"")</f>
        <v>3.1907658759999999</v>
      </c>
      <c r="AZ7">
        <f ca="1">IFERROR(IF(0=LEN(ReferenceData!$AZ$7),"",ReferenceData!$AZ$7),"")</f>
        <v>4.0709357600000002</v>
      </c>
      <c r="BA7">
        <f ca="1">IFERROR(IF(0=LEN(ReferenceData!$BA$7),"",ReferenceData!$BA$7),"")</f>
        <v>5.5734294259999997</v>
      </c>
      <c r="BB7">
        <f ca="1">IFERROR(IF(0=LEN(ReferenceData!$BB$7),"",ReferenceData!$BB$7),"")</f>
        <v>3.4763167720000001</v>
      </c>
      <c r="BC7">
        <f ca="1">IFERROR(IF(0=LEN(ReferenceData!$BC$7),"",ReferenceData!$BC$7),"")</f>
        <v>3.817675774</v>
      </c>
      <c r="BD7">
        <f ca="1">IFERROR(IF(0=LEN(ReferenceData!$BD$7),"",ReferenceData!$BD$7),"")</f>
        <v>4.1182799829999999</v>
      </c>
      <c r="BE7">
        <f ca="1">IFERROR(IF(0=LEN(ReferenceData!$BE$7),"",ReferenceData!$BE$7),"")</f>
        <v>3.7378570390000001</v>
      </c>
      <c r="BF7">
        <f ca="1">IFERROR(IF(0=LEN(ReferenceData!$BF$7),"",ReferenceData!$BF$7),"")</f>
        <v>3.4268802310000002</v>
      </c>
      <c r="BG7">
        <f ca="1">IFERROR(IF(0=LEN(ReferenceData!$BG$7),"",ReferenceData!$BG$7),"")</f>
        <v>2.7996816600000001</v>
      </c>
      <c r="BH7">
        <f ca="1">IFERROR(IF(0=LEN(ReferenceData!$BH$7),"",ReferenceData!$BH$7),"")</f>
        <v>2.2133062469999998</v>
      </c>
      <c r="BI7">
        <f ca="1">IFERROR(IF(0=LEN(ReferenceData!$BI$7),"",ReferenceData!$BI$7),"")</f>
        <v>2.2130026790000001</v>
      </c>
      <c r="BJ7">
        <f ca="1">IFERROR(IF(0=LEN(ReferenceData!$BJ$7),"",ReferenceData!$BJ$7),"")</f>
        <v>1.8902457429999999</v>
      </c>
      <c r="BK7">
        <f ca="1">IFERROR(IF(0=LEN(ReferenceData!$BK$7),"",ReferenceData!$BK$7),"")</f>
        <v>1.623434848</v>
      </c>
      <c r="BL7">
        <f ca="1">IFERROR(IF(0=LEN(ReferenceData!$BL$7),"",ReferenceData!$BL$7),"")</f>
        <v>2.1945651509999999</v>
      </c>
      <c r="BM7">
        <f ca="1">IFERROR(IF(0=LEN(ReferenceData!$BM$7),"",ReferenceData!$BM$7),"")</f>
        <v>1.8718136160000001</v>
      </c>
    </row>
    <row r="8" spans="1:65">
      <c r="A8" t="str">
        <f>IFERROR(IF(0=LEN(ReferenceData!$A$8),"",ReferenceData!$A$8),"")</f>
        <v xml:space="preserve">    Shopping Center REITs</v>
      </c>
      <c r="B8" t="str">
        <f>IFERROR(IF(0=LEN(ReferenceData!$B$8),"",ReferenceData!$B$8),"")</f>
        <v>RECFSSSC Index</v>
      </c>
      <c r="C8" t="str">
        <f>IFERROR(IF(0=LEN(ReferenceData!$C$8),"",ReferenceData!$C$8),"")</f>
        <v>PR005</v>
      </c>
      <c r="D8" t="str">
        <f>IFERROR(IF(0=LEN(ReferenceData!$D$8),"",ReferenceData!$D$8),"")</f>
        <v>PX_LAST</v>
      </c>
      <c r="E8" t="str">
        <f>IFERROR(IF(0=LEN(ReferenceData!$E$8),"",ReferenceData!$E$8),"")</f>
        <v>动态</v>
      </c>
      <c r="F8">
        <f ca="1">IFERROR(IF(0=LEN(ReferenceData!$F$8),"",ReferenceData!$F$8),"")</f>
        <v>1.9495590410000001</v>
      </c>
      <c r="G8">
        <f ca="1">IFERROR(IF(0=LEN(ReferenceData!$G$8),"",ReferenceData!$G$8),"")</f>
        <v>2.1703271040000001</v>
      </c>
      <c r="H8">
        <f ca="1">IFERROR(IF(0=LEN(ReferenceData!$H$8),"",ReferenceData!$H$8),"")</f>
        <v>1.3124411220000001</v>
      </c>
      <c r="I8">
        <f ca="1">IFERROR(IF(0=LEN(ReferenceData!$I$8),"",ReferenceData!$I$8),"")</f>
        <v>2.2725923309999998</v>
      </c>
      <c r="J8">
        <f ca="1">IFERROR(IF(0=LEN(ReferenceData!$J$8),"",ReferenceData!$J$8),"")</f>
        <v>2.510907547</v>
      </c>
      <c r="K8">
        <f ca="1">IFERROR(IF(0=LEN(ReferenceData!$K$8),"",ReferenceData!$K$8),"")</f>
        <v>2.7205614140000001</v>
      </c>
      <c r="L8">
        <f ca="1">IFERROR(IF(0=LEN(ReferenceData!$L$8),"",ReferenceData!$L$8),"")</f>
        <v>3.3186341389999998</v>
      </c>
      <c r="M8">
        <f ca="1">IFERROR(IF(0=LEN(ReferenceData!$M$8),"",ReferenceData!$M$8),"")</f>
        <v>3.0609345920000002</v>
      </c>
      <c r="N8">
        <f ca="1">IFERROR(IF(0=LEN(ReferenceData!$N$8),"",ReferenceData!$N$8),"")</f>
        <v>3.0564384449999999</v>
      </c>
      <c r="O8">
        <f ca="1">IFERROR(IF(0=LEN(ReferenceData!$O$8),"",ReferenceData!$O$8),"")</f>
        <v>3.0518973150000002</v>
      </c>
      <c r="P8">
        <f ca="1">IFERROR(IF(0=LEN(ReferenceData!$P$8),"",ReferenceData!$P$8),"")</f>
        <v>3.310111306</v>
      </c>
      <c r="Q8">
        <f ca="1">IFERROR(IF(0=LEN(ReferenceData!$Q$8),"",ReferenceData!$Q$8),"")</f>
        <v>3.243395923</v>
      </c>
      <c r="R8">
        <f ca="1">IFERROR(IF(0=LEN(ReferenceData!$R$8),"",ReferenceData!$R$8),"")</f>
        <v>3.2379506849999999</v>
      </c>
      <c r="S8">
        <f ca="1">IFERROR(IF(0=LEN(ReferenceData!$S$8),"",ReferenceData!$S$8),"")</f>
        <v>3.1812348890000002</v>
      </c>
      <c r="T8">
        <f ca="1">IFERROR(IF(0=LEN(ReferenceData!$T$8),"",ReferenceData!$T$8),"")</f>
        <v>3.3121266980000001</v>
      </c>
      <c r="U8">
        <f ca="1">IFERROR(IF(0=LEN(ReferenceData!$U$8),"",ReferenceData!$U$8),"")</f>
        <v>2.9586672379999999</v>
      </c>
      <c r="V8">
        <f ca="1">IFERROR(IF(0=LEN(ReferenceData!$V$8),"",ReferenceData!$V$8),"")</f>
        <v>3.4716781069999998</v>
      </c>
      <c r="W8">
        <f ca="1">IFERROR(IF(0=LEN(ReferenceData!$W$8),"",ReferenceData!$W$8),"")</f>
        <v>3.4146116289999999</v>
      </c>
      <c r="X8">
        <f ca="1">IFERROR(IF(0=LEN(ReferenceData!$X$8),"",ReferenceData!$X$8),"")</f>
        <v>3.6250220679999998</v>
      </c>
      <c r="Y8">
        <f ca="1">IFERROR(IF(0=LEN(ReferenceData!$Y$8),"",ReferenceData!$Y$8),"")</f>
        <v>3.4888504899999999</v>
      </c>
      <c r="Z8">
        <f ca="1">IFERROR(IF(0=LEN(ReferenceData!$Z$8),"",ReferenceData!$Z$8),"")</f>
        <v>3.2198732809999999</v>
      </c>
      <c r="AA8">
        <f ca="1">IFERROR(IF(0=LEN(ReferenceData!$AA$8),"",ReferenceData!$AA$8),"")</f>
        <v>3.0400402560000002</v>
      </c>
      <c r="AB8">
        <f ca="1">IFERROR(IF(0=LEN(ReferenceData!$AB$8),"",ReferenceData!$AB$8),"")</f>
        <v>2.8729517960000002</v>
      </c>
      <c r="AC8">
        <f ca="1">IFERROR(IF(0=LEN(ReferenceData!$AC$8),"",ReferenceData!$AC$8),"")</f>
        <v>2.8847575139999999</v>
      </c>
      <c r="AD8">
        <f ca="1">IFERROR(IF(0=LEN(ReferenceData!$AD$8),"",ReferenceData!$AD$8),"")</f>
        <v>2.0807095609999999</v>
      </c>
      <c r="AE8">
        <f ca="1">IFERROR(IF(0=LEN(ReferenceData!$AE$8),"",ReferenceData!$AE$8),"")</f>
        <v>2.4223469739999999</v>
      </c>
      <c r="AF8">
        <f ca="1">IFERROR(IF(0=LEN(ReferenceData!$AF$8),"",ReferenceData!$AF$8),"")</f>
        <v>2.2197013700000001</v>
      </c>
      <c r="AG8">
        <f ca="1">IFERROR(IF(0=LEN(ReferenceData!$AG$8),"",ReferenceData!$AG$8),"")</f>
        <v>1.2067644360000001</v>
      </c>
      <c r="AH8">
        <f ca="1">IFERROR(IF(0=LEN(ReferenceData!$AH$8),"",ReferenceData!$AH$8),"")</f>
        <v>1.5138833599999999</v>
      </c>
      <c r="AI8">
        <f ca="1">IFERROR(IF(0=LEN(ReferenceData!$AI$8),"",ReferenceData!$AI$8),"")</f>
        <v>-3.3555748000000003E-2</v>
      </c>
      <c r="AJ8">
        <f ca="1">IFERROR(IF(0=LEN(ReferenceData!$AJ$8),"",ReferenceData!$AJ$8),"")</f>
        <v>0.77072688</v>
      </c>
      <c r="AK8">
        <f ca="1">IFERROR(IF(0=LEN(ReferenceData!$AK$8),"",ReferenceData!$AK$8),"")</f>
        <v>-2.6346541569999999</v>
      </c>
      <c r="AL8">
        <f ca="1">IFERROR(IF(0=LEN(ReferenceData!$AL$8),"",ReferenceData!$AL$8),"")</f>
        <v>-3.190921806</v>
      </c>
      <c r="AM8">
        <f ca="1">IFERROR(IF(0=LEN(ReferenceData!$AM$8),"",ReferenceData!$AM$8),"")</f>
        <v>-4.1766297330000004</v>
      </c>
      <c r="AN8">
        <f ca="1">IFERROR(IF(0=LEN(ReferenceData!$AN$8),"",ReferenceData!$AN$8),"")</f>
        <v>-5.9347808290000001</v>
      </c>
      <c r="AO8">
        <f ca="1">IFERROR(IF(0=LEN(ReferenceData!$AO$8),"",ReferenceData!$AO$8),"")</f>
        <v>-2.2889856210000001</v>
      </c>
      <c r="AP8">
        <f ca="1">IFERROR(IF(0=LEN(ReferenceData!$AP$8),"",ReferenceData!$AP$8),"")</f>
        <v>-1.876377795</v>
      </c>
      <c r="AQ8">
        <f ca="1">IFERROR(IF(0=LEN(ReferenceData!$AQ$8),"",ReferenceData!$AQ$8),"")</f>
        <v>0.49652900300000002</v>
      </c>
      <c r="AR8">
        <f ca="1">IFERROR(IF(0=LEN(ReferenceData!$AR$8),"",ReferenceData!$AR$8),"")</f>
        <v>-0.26510386699999999</v>
      </c>
      <c r="AS8">
        <f ca="1">IFERROR(IF(0=LEN(ReferenceData!$AS$8),"",ReferenceData!$AS$8),"")</f>
        <v>1.5044988180000001</v>
      </c>
      <c r="AT8">
        <f ca="1">IFERROR(IF(0=LEN(ReferenceData!$AT$8),"",ReferenceData!$AT$8),"")</f>
        <v>2.9489370629999998</v>
      </c>
      <c r="AU8">
        <f ca="1">IFERROR(IF(0=LEN(ReferenceData!$AU$8),"",ReferenceData!$AU$8),"")</f>
        <v>1.992868021</v>
      </c>
      <c r="AV8">
        <f ca="1">IFERROR(IF(0=LEN(ReferenceData!$AV$8),"",ReferenceData!$AV$8),"")</f>
        <v>1.8493860040000001</v>
      </c>
      <c r="AW8">
        <f ca="1">IFERROR(IF(0=LEN(ReferenceData!$AW$8),"",ReferenceData!$AW$8),"")</f>
        <v>2.3993587299999999</v>
      </c>
      <c r="AX8">
        <f ca="1">IFERROR(IF(0=LEN(ReferenceData!$AX$8),"",ReferenceData!$AX$8),"")</f>
        <v>2.0712587220000001</v>
      </c>
      <c r="AY8">
        <f ca="1">IFERROR(IF(0=LEN(ReferenceData!$AY$8),"",ReferenceData!$AY$8),"")</f>
        <v>3.4613518230000002</v>
      </c>
      <c r="AZ8">
        <f ca="1">IFERROR(IF(0=LEN(ReferenceData!$AZ$8),"",ReferenceData!$AZ$8),"")</f>
        <v>1.4530914770000001</v>
      </c>
      <c r="BA8">
        <f ca="1">IFERROR(IF(0=LEN(ReferenceData!$BA$8),"",ReferenceData!$BA$8),"")</f>
        <v>2.2409797239999998</v>
      </c>
      <c r="BB8">
        <f ca="1">IFERROR(IF(0=LEN(ReferenceData!$BB$8),"",ReferenceData!$BB$8),"")</f>
        <v>2.0681945220000002</v>
      </c>
      <c r="BC8">
        <f ca="1">IFERROR(IF(0=LEN(ReferenceData!$BC$8),"",ReferenceData!$BC$8),"")</f>
        <v>2.325042759</v>
      </c>
      <c r="BD8">
        <f ca="1">IFERROR(IF(0=LEN(ReferenceData!$BD$8),"",ReferenceData!$BD$8),"")</f>
        <v>4.9093577530000001</v>
      </c>
      <c r="BE8">
        <f ca="1">IFERROR(IF(0=LEN(ReferenceData!$BE$8),"",ReferenceData!$BE$8),"")</f>
        <v>2.7043158979999999</v>
      </c>
      <c r="BF8">
        <f ca="1">IFERROR(IF(0=LEN(ReferenceData!$BF$8),"",ReferenceData!$BF$8),"")</f>
        <v>4.0274661949999997</v>
      </c>
      <c r="BG8">
        <f ca="1">IFERROR(IF(0=LEN(ReferenceData!$BG$8),"",ReferenceData!$BG$8),"")</f>
        <v>2.762317275</v>
      </c>
      <c r="BH8">
        <f ca="1">IFERROR(IF(0=LEN(ReferenceData!$BH$8),"",ReferenceData!$BH$8),"")</f>
        <v>3.931455814</v>
      </c>
      <c r="BI8">
        <f ca="1">IFERROR(IF(0=LEN(ReferenceData!$BI$8),"",ReferenceData!$BI$8),"")</f>
        <v>2.4355218179999998</v>
      </c>
      <c r="BJ8">
        <f ca="1">IFERROR(IF(0=LEN(ReferenceData!$BJ$8),"",ReferenceData!$BJ$8),"")</f>
        <v>1.0862043100000001</v>
      </c>
      <c r="BK8">
        <f ca="1">IFERROR(IF(0=LEN(ReferenceData!$BK$8),"",ReferenceData!$BK$8),"")</f>
        <v>0.76519733300000004</v>
      </c>
      <c r="BL8">
        <f ca="1">IFERROR(IF(0=LEN(ReferenceData!$BL$8),"",ReferenceData!$BL$8),"")</f>
        <v>-1.5904553109999999</v>
      </c>
      <c r="BM8">
        <f ca="1">IFERROR(IF(0=LEN(ReferenceData!$BM$8),"",ReferenceData!$BM$8),"")</f>
        <v>-0.89093292499999999</v>
      </c>
    </row>
    <row r="9" spans="1:65">
      <c r="A9" t="str">
        <f>IFERROR(IF(0=LEN(ReferenceData!$A$9),"",ReferenceData!$A$9),"")</f>
        <v xml:space="preserve">    Regional Mall REITs</v>
      </c>
      <c r="B9" t="str">
        <f>IFERROR(IF(0=LEN(ReferenceData!$B$9),"",ReferenceData!$B$9),"")</f>
        <v>RECFSSRM Index</v>
      </c>
      <c r="C9" t="str">
        <f>IFERROR(IF(0=LEN(ReferenceData!$C$9),"",ReferenceData!$C$9),"")</f>
        <v>PR005</v>
      </c>
      <c r="D9" t="str">
        <f>IFERROR(IF(0=LEN(ReferenceData!$D$9),"",ReferenceData!$D$9),"")</f>
        <v>PX_LAST</v>
      </c>
      <c r="E9" t="str">
        <f>IFERROR(IF(0=LEN(ReferenceData!$E$9),"",ReferenceData!$E$9),"")</f>
        <v>动态</v>
      </c>
      <c r="F9">
        <f ca="1">IFERROR(IF(0=LEN(ReferenceData!$F$9),"",ReferenceData!$F$9),"")</f>
        <v>1.2072308940000001</v>
      </c>
      <c r="G9">
        <f ca="1">IFERROR(IF(0=LEN(ReferenceData!$G$9),"",ReferenceData!$G$9),"")</f>
        <v>1.543248188</v>
      </c>
      <c r="H9">
        <f ca="1">IFERROR(IF(0=LEN(ReferenceData!$H$9),"",ReferenceData!$H$9),"")</f>
        <v>2.8134186579999998</v>
      </c>
      <c r="I9">
        <f ca="1">IFERROR(IF(0=LEN(ReferenceData!$I$9),"",ReferenceData!$I$9),"")</f>
        <v>2.7453567300000001</v>
      </c>
      <c r="J9">
        <f ca="1">IFERROR(IF(0=LEN(ReferenceData!$J$9),"",ReferenceData!$J$9),"")</f>
        <v>3.3113052280000002</v>
      </c>
      <c r="K9">
        <f ca="1">IFERROR(IF(0=LEN(ReferenceData!$K$9),"",ReferenceData!$K$9),"")</f>
        <v>2.8027791409999998</v>
      </c>
      <c r="L9">
        <f ca="1">IFERROR(IF(0=LEN(ReferenceData!$L$9),"",ReferenceData!$L$9),"")</f>
        <v>3.8351176570000001</v>
      </c>
      <c r="M9">
        <f ca="1">IFERROR(IF(0=LEN(ReferenceData!$M$9),"",ReferenceData!$M$9),"")</f>
        <v>4.9425153469999996</v>
      </c>
      <c r="N9">
        <f ca="1">IFERROR(IF(0=LEN(ReferenceData!$N$9),"",ReferenceData!$N$9),"")</f>
        <v>3.844795848</v>
      </c>
      <c r="O9">
        <f ca="1">IFERROR(IF(0=LEN(ReferenceData!$O$9),"",ReferenceData!$O$9),"")</f>
        <v>4.104652196</v>
      </c>
      <c r="P9">
        <f ca="1">IFERROR(IF(0=LEN(ReferenceData!$P$9),"",ReferenceData!$P$9),"")</f>
        <v>3.1642235990000001</v>
      </c>
      <c r="Q9">
        <f ca="1">IFERROR(IF(0=LEN(ReferenceData!$Q$9),"",ReferenceData!$Q$9),"")</f>
        <v>3.3824384850000002</v>
      </c>
      <c r="R9">
        <f ca="1">IFERROR(IF(0=LEN(ReferenceData!$R$9),"",ReferenceData!$R$9),"")</f>
        <v>3.62612282</v>
      </c>
      <c r="S9">
        <f ca="1">IFERROR(IF(0=LEN(ReferenceData!$S$9),"",ReferenceData!$S$9),"")</f>
        <v>4.7654180879999997</v>
      </c>
      <c r="T9">
        <f ca="1">IFERROR(IF(0=LEN(ReferenceData!$T$9),"",ReferenceData!$T$9),"")</f>
        <v>4.7941311840000003</v>
      </c>
      <c r="U9">
        <f ca="1">IFERROR(IF(0=LEN(ReferenceData!$U$9),"",ReferenceData!$U$9),"")</f>
        <v>3.4793715789999999</v>
      </c>
      <c r="V9">
        <f ca="1">IFERROR(IF(0=LEN(ReferenceData!$V$9),"",ReferenceData!$V$9),"")</f>
        <v>4.7393429549999997</v>
      </c>
      <c r="W9">
        <f ca="1">IFERROR(IF(0=LEN(ReferenceData!$W$9),"",ReferenceData!$W$9),"")</f>
        <v>4.5760282539999997</v>
      </c>
      <c r="X9">
        <f ca="1">IFERROR(IF(0=LEN(ReferenceData!$X$9),"",ReferenceData!$X$9),"")</f>
        <v>5.2462519070000004</v>
      </c>
      <c r="Y9">
        <f ca="1">IFERROR(IF(0=LEN(ReferenceData!$Y$9),"",ReferenceData!$Y$9),"")</f>
        <v>4.3845928199999999</v>
      </c>
      <c r="Z9">
        <f ca="1">IFERROR(IF(0=LEN(ReferenceData!$Z$9),"",ReferenceData!$Z$9),"")</f>
        <v>3.5708367640000001</v>
      </c>
      <c r="AA9">
        <f ca="1">IFERROR(IF(0=LEN(ReferenceData!$AA$9),"",ReferenceData!$AA$9),"")</f>
        <v>3.6638085130000002</v>
      </c>
      <c r="AB9">
        <f ca="1">IFERROR(IF(0=LEN(ReferenceData!$AB$9),"",ReferenceData!$AB$9),"")</f>
        <v>4.6866684650000003</v>
      </c>
      <c r="AC9">
        <f ca="1">IFERROR(IF(0=LEN(ReferenceData!$AC$9),"",ReferenceData!$AC$9),"")</f>
        <v>4.7619958660000004</v>
      </c>
      <c r="AD9">
        <f ca="1">IFERROR(IF(0=LEN(ReferenceData!$AD$9),"",ReferenceData!$AD$9),"")</f>
        <v>2.5103934479999999</v>
      </c>
      <c r="AE9">
        <f ca="1">IFERROR(IF(0=LEN(ReferenceData!$AE$9),"",ReferenceData!$AE$9),"")</f>
        <v>3.9195434210000002</v>
      </c>
      <c r="AF9">
        <f ca="1">IFERROR(IF(0=LEN(ReferenceData!$AF$9),"",ReferenceData!$AF$9),"")</f>
        <v>2.8017773109999999</v>
      </c>
      <c r="AG9">
        <f ca="1">IFERROR(IF(0=LEN(ReferenceData!$AG$9),"",ReferenceData!$AG$9),"")</f>
        <v>1.7765812080000001</v>
      </c>
      <c r="AH9">
        <f ca="1">IFERROR(IF(0=LEN(ReferenceData!$AH$9),"",ReferenceData!$AH$9),"")</f>
        <v>3.388621025</v>
      </c>
      <c r="AI9">
        <f ca="1">IFERROR(IF(0=LEN(ReferenceData!$AI$9),"",ReferenceData!$AI$9),"")</f>
        <v>1.6486670960000001</v>
      </c>
      <c r="AJ9">
        <f ca="1">IFERROR(IF(0=LEN(ReferenceData!$AJ$9),"",ReferenceData!$AJ$9),"")</f>
        <v>0.482823157</v>
      </c>
      <c r="AK9">
        <f ca="1">IFERROR(IF(0=LEN(ReferenceData!$AK$9),"",ReferenceData!$AK$9),"")</f>
        <v>1.1974967430000001</v>
      </c>
      <c r="AL9">
        <f ca="1">IFERROR(IF(0=LEN(ReferenceData!$AL$9),"",ReferenceData!$AL$9),"")</f>
        <v>-6.5953293999999996E-2</v>
      </c>
      <c r="AM9">
        <f ca="1">IFERROR(IF(0=LEN(ReferenceData!$AM$9),"",ReferenceData!$AM$9),"")</f>
        <v>-0.64067577600000003</v>
      </c>
      <c r="AN9">
        <f ca="1">IFERROR(IF(0=LEN(ReferenceData!$AN$9),"",ReferenceData!$AN$9),"")</f>
        <v>8.4155125999999997E-2</v>
      </c>
      <c r="AO9">
        <f ca="1">IFERROR(IF(0=LEN(ReferenceData!$AO$9),"",ReferenceData!$AO$9),"")</f>
        <v>1.5541768359999999</v>
      </c>
      <c r="AP9">
        <f ca="1">IFERROR(IF(0=LEN(ReferenceData!$AP$9),"",ReferenceData!$AP$9),"")</f>
        <v>1.495913965</v>
      </c>
      <c r="AQ9">
        <f ca="1">IFERROR(IF(0=LEN(ReferenceData!$AQ$9),"",ReferenceData!$AQ$9),"")</f>
        <v>1.2523418449999999</v>
      </c>
      <c r="AR9">
        <f ca="1">IFERROR(IF(0=LEN(ReferenceData!$AR$9),"",ReferenceData!$AR$9),"")</f>
        <v>3.54350779</v>
      </c>
      <c r="AS9">
        <f ca="1">IFERROR(IF(0=LEN(ReferenceData!$AS$9),"",ReferenceData!$AS$9),"")</f>
        <v>3.5082538630000002</v>
      </c>
      <c r="AT9">
        <f ca="1">IFERROR(IF(0=LEN(ReferenceData!$AT$9),"",ReferenceData!$AT$9),"")</f>
        <v>5.0686259119999999</v>
      </c>
      <c r="AU9">
        <f ca="1">IFERROR(IF(0=LEN(ReferenceData!$AU$9),"",ReferenceData!$AU$9),"")</f>
        <v>5.1347166</v>
      </c>
      <c r="AV9">
        <f ca="1">IFERROR(IF(0=LEN(ReferenceData!$AV$9),"",ReferenceData!$AV$9),"")</f>
        <v>3.3370209669999999</v>
      </c>
      <c r="AW9">
        <f ca="1">IFERROR(IF(0=LEN(ReferenceData!$AW$9),"",ReferenceData!$AW$9),"")</f>
        <v>1.6423867480000001</v>
      </c>
      <c r="AX9">
        <f ca="1">IFERROR(IF(0=LEN(ReferenceData!$AX$9),"",ReferenceData!$AX$9),"")</f>
        <v>5.6945319149999998</v>
      </c>
      <c r="AY9">
        <f ca="1">IFERROR(IF(0=LEN(ReferenceData!$AY$9),"",ReferenceData!$AY$9),"")</f>
        <v>3.1585006849999999</v>
      </c>
      <c r="AZ9">
        <f ca="1">IFERROR(IF(0=LEN(ReferenceData!$AZ$9),"",ReferenceData!$AZ$9),"")</f>
        <v>4.4947760179999996</v>
      </c>
      <c r="BA9">
        <f ca="1">IFERROR(IF(0=LEN(ReferenceData!$BA$9),"",ReferenceData!$BA$9),"")</f>
        <v>6.6227436739999996</v>
      </c>
      <c r="BB9">
        <f ca="1">IFERROR(IF(0=LEN(ReferenceData!$BB$9),"",ReferenceData!$BB$9),"")</f>
        <v>3.7445863309999998</v>
      </c>
      <c r="BC9">
        <f ca="1">IFERROR(IF(0=LEN(ReferenceData!$BC$9),"",ReferenceData!$BC$9),"")</f>
        <v>4.1259540499999998</v>
      </c>
      <c r="BD9">
        <f ca="1">IFERROR(IF(0=LEN(ReferenceData!$BD$9),"",ReferenceData!$BD$9),"")</f>
        <v>3.8970323969999998</v>
      </c>
      <c r="BE9">
        <f ca="1">IFERROR(IF(0=LEN(ReferenceData!$BE$9),"",ReferenceData!$BE$9),"")</f>
        <v>4.1273807690000002</v>
      </c>
      <c r="BF9">
        <f ca="1">IFERROR(IF(0=LEN(ReferenceData!$BF$9),"",ReferenceData!$BF$9),"")</f>
        <v>3.2761610289999998</v>
      </c>
      <c r="BG9">
        <f ca="1">IFERROR(IF(0=LEN(ReferenceData!$BG$9),"",ReferenceData!$BG$9),"")</f>
        <v>2.8107640439999999</v>
      </c>
      <c r="BH9">
        <f ca="1">IFERROR(IF(0=LEN(ReferenceData!$BH$9),"",ReferenceData!$BH$9),"")</f>
        <v>1.816830274</v>
      </c>
      <c r="BI9">
        <f ca="1">IFERROR(IF(0=LEN(ReferenceData!$BI$9),"",ReferenceData!$BI$9),"")</f>
        <v>2.1465799329999999</v>
      </c>
      <c r="BJ9">
        <f ca="1">IFERROR(IF(0=LEN(ReferenceData!$BJ$9),"",ReferenceData!$BJ$9),"")</f>
        <v>2.2547236659999998</v>
      </c>
      <c r="BK9">
        <f ca="1">IFERROR(IF(0=LEN(ReferenceData!$BK$9),"",ReferenceData!$BK$9),"")</f>
        <v>2.046926263</v>
      </c>
      <c r="BL9">
        <f ca="1">IFERROR(IF(0=LEN(ReferenceData!$BL$9),"",ReferenceData!$BL$9),"")</f>
        <v>4.4981132529999996</v>
      </c>
      <c r="BM9">
        <f ca="1">IFERROR(IF(0=LEN(ReferenceData!$BM$9),"",ReferenceData!$BM$9),"")</f>
        <v>3.3068008390000001</v>
      </c>
    </row>
    <row r="10" spans="1:65">
      <c r="A10" t="str">
        <f>IFERROR(IF(0=LEN(ReferenceData!$A$10),"",ReferenceData!$A$10),"")</f>
        <v xml:space="preserve">    Residential REITs</v>
      </c>
      <c r="B10" t="str">
        <f>IFERROR(IF(0=LEN(ReferenceData!$B$10),"",ReferenceData!$B$10),"")</f>
        <v>RECFSSRS Index</v>
      </c>
      <c r="C10" t="str">
        <f>IFERROR(IF(0=LEN(ReferenceData!$C$10),"",ReferenceData!$C$10),"")</f>
        <v>PR005</v>
      </c>
      <c r="D10" t="str">
        <f>IFERROR(IF(0=LEN(ReferenceData!$D$10),"",ReferenceData!$D$10),"")</f>
        <v>PX_LAST</v>
      </c>
      <c r="E10" t="str">
        <f>IFERROR(IF(0=LEN(ReferenceData!$E$10),"",ReferenceData!$E$10),"")</f>
        <v>动态</v>
      </c>
      <c r="F10">
        <f ca="1">IFERROR(IF(0=LEN(ReferenceData!$F$10),"",ReferenceData!$F$10),"")</f>
        <v>3.3462044870000001</v>
      </c>
      <c r="G10">
        <f ca="1">IFERROR(IF(0=LEN(ReferenceData!$G$10),"",ReferenceData!$G$10),"")</f>
        <v>3.5645333849999998</v>
      </c>
      <c r="H10">
        <f ca="1">IFERROR(IF(0=LEN(ReferenceData!$H$10),"",ReferenceData!$H$10),"")</f>
        <v>3.71620003</v>
      </c>
      <c r="I10">
        <f ca="1">IFERROR(IF(0=LEN(ReferenceData!$I$10),"",ReferenceData!$I$10),"")</f>
        <v>4.1112273540000004</v>
      </c>
      <c r="J10">
        <f ca="1">IFERROR(IF(0=LEN(ReferenceData!$J$10),"",ReferenceData!$J$10),"")</f>
        <v>4.9319453360000001</v>
      </c>
      <c r="K10">
        <f ca="1">IFERROR(IF(0=LEN(ReferenceData!$K$10),"",ReferenceData!$K$10),"")</f>
        <v>5.1163226990000004</v>
      </c>
      <c r="L10">
        <f ca="1">IFERROR(IF(0=LEN(ReferenceData!$L$10),"",ReferenceData!$L$10),"")</f>
        <v>5.6397030319999999</v>
      </c>
      <c r="M10">
        <f ca="1">IFERROR(IF(0=LEN(ReferenceData!$M$10),"",ReferenceData!$M$10),"")</f>
        <v>6.954329607</v>
      </c>
      <c r="N10">
        <f ca="1">IFERROR(IF(0=LEN(ReferenceData!$N$10),"",ReferenceData!$N$10),"")</f>
        <v>6.8374679739999999</v>
      </c>
      <c r="O10">
        <f ca="1">IFERROR(IF(0=LEN(ReferenceData!$O$10),"",ReferenceData!$O$10),"")</f>
        <v>6.4519201649999998</v>
      </c>
      <c r="P10">
        <f ca="1">IFERROR(IF(0=LEN(ReferenceData!$P$10),"",ReferenceData!$P$10),"")</f>
        <v>6.2017975950000004</v>
      </c>
      <c r="Q10">
        <f ca="1">IFERROR(IF(0=LEN(ReferenceData!$Q$10),"",ReferenceData!$Q$10),"")</f>
        <v>5.9172860580000002</v>
      </c>
      <c r="R10">
        <f ca="1">IFERROR(IF(0=LEN(ReferenceData!$R$10),"",ReferenceData!$R$10),"")</f>
        <v>5.2718136600000003</v>
      </c>
      <c r="S10">
        <f ca="1">IFERROR(IF(0=LEN(ReferenceData!$S$10),"",ReferenceData!$S$10),"")</f>
        <v>5.2277861559999996</v>
      </c>
      <c r="T10">
        <f ca="1">IFERROR(IF(0=LEN(ReferenceData!$T$10),"",ReferenceData!$T$10),"")</f>
        <v>4.4975832630000001</v>
      </c>
      <c r="U10">
        <f ca="1">IFERROR(IF(0=LEN(ReferenceData!$U$10),"",ReferenceData!$U$10),"")</f>
        <v>3.8404904289999999</v>
      </c>
      <c r="V10">
        <f ca="1">IFERROR(IF(0=LEN(ReferenceData!$V$10),"",ReferenceData!$V$10),"")</f>
        <v>4.3587436909999999</v>
      </c>
      <c r="W10">
        <f ca="1">IFERROR(IF(0=LEN(ReferenceData!$W$10),"",ReferenceData!$W$10),"")</f>
        <v>4.6716554969999997</v>
      </c>
      <c r="X10">
        <f ca="1">IFERROR(IF(0=LEN(ReferenceData!$X$10),"",ReferenceData!$X$10),"")</f>
        <v>5.321588502</v>
      </c>
      <c r="Y10">
        <f ca="1">IFERROR(IF(0=LEN(ReferenceData!$Y$10),"",ReferenceData!$Y$10),"")</f>
        <v>5.446350979</v>
      </c>
      <c r="Z10">
        <f ca="1">IFERROR(IF(0=LEN(ReferenceData!$Z$10),"",ReferenceData!$Z$10),"")</f>
        <v>6.3559575170000002</v>
      </c>
      <c r="AA10">
        <f ca="1">IFERROR(IF(0=LEN(ReferenceData!$AA$10),"",ReferenceData!$AA$10),"")</f>
        <v>7.2269304349999999</v>
      </c>
      <c r="AB10">
        <f ca="1">IFERROR(IF(0=LEN(ReferenceData!$AB$10),"",ReferenceData!$AB$10),"")</f>
        <v>6.9984410920000002</v>
      </c>
      <c r="AC10">
        <f ca="1">IFERROR(IF(0=LEN(ReferenceData!$AC$10),"",ReferenceData!$AC$10),"")</f>
        <v>7.79652776</v>
      </c>
      <c r="AD10">
        <f ca="1">IFERROR(IF(0=LEN(ReferenceData!$AD$10),"",ReferenceData!$AD$10),"")</f>
        <v>7.2653176730000002</v>
      </c>
      <c r="AE10">
        <f ca="1">IFERROR(IF(0=LEN(ReferenceData!$AE$10),"",ReferenceData!$AE$10),"")</f>
        <v>6.7821166750000001</v>
      </c>
      <c r="AF10">
        <f ca="1">IFERROR(IF(0=LEN(ReferenceData!$AF$10),"",ReferenceData!$AF$10),"")</f>
        <v>5.9587678449999997</v>
      </c>
      <c r="AG10">
        <f ca="1">IFERROR(IF(0=LEN(ReferenceData!$AG$10),"",ReferenceData!$AG$10),"")</f>
        <v>5.5835207630000001</v>
      </c>
      <c r="AH10">
        <f ca="1">IFERROR(IF(0=LEN(ReferenceData!$AH$10),"",ReferenceData!$AH$10),"")</f>
        <v>3.4122129399999999</v>
      </c>
      <c r="AI10">
        <f ca="1">IFERROR(IF(0=LEN(ReferenceData!$AI$10),"",ReferenceData!$AI$10),"")</f>
        <v>0.89761842199999997</v>
      </c>
      <c r="AJ10">
        <f ca="1">IFERROR(IF(0=LEN(ReferenceData!$AJ$10),"",ReferenceData!$AJ$10),"")</f>
        <v>-2.3419977489999999</v>
      </c>
      <c r="AK10">
        <f ca="1">IFERROR(IF(0=LEN(ReferenceData!$AK$10),"",ReferenceData!$AK$10),"")</f>
        <v>-5.0405734720000002</v>
      </c>
      <c r="AL10">
        <f ca="1">IFERROR(IF(0=LEN(ReferenceData!$AL$10),"",ReferenceData!$AL$10),"")</f>
        <v>-5.2728332929999997</v>
      </c>
      <c r="AM10">
        <f ca="1">IFERROR(IF(0=LEN(ReferenceData!$AM$10),"",ReferenceData!$AM$10),"")</f>
        <v>-4.3629292550000001</v>
      </c>
      <c r="AN10">
        <f ca="1">IFERROR(IF(0=LEN(ReferenceData!$AN$10),"",ReferenceData!$AN$10),"")</f>
        <v>-2.7178845049999998</v>
      </c>
      <c r="AO10">
        <f ca="1">IFERROR(IF(0=LEN(ReferenceData!$AO$10),"",ReferenceData!$AO$10),"")</f>
        <v>-0.46925983999999998</v>
      </c>
      <c r="AP10">
        <f ca="1">IFERROR(IF(0=LEN(ReferenceData!$AP$10),"",ReferenceData!$AP$10),"")</f>
        <v>1.974989203</v>
      </c>
      <c r="AQ10">
        <f ca="1">IFERROR(IF(0=LEN(ReferenceData!$AQ$10),"",ReferenceData!$AQ$10),"")</f>
        <v>2.631459736</v>
      </c>
      <c r="AR10">
        <f ca="1">IFERROR(IF(0=LEN(ReferenceData!$AR$10),"",ReferenceData!$AR$10),"")</f>
        <v>4.2600575809999999</v>
      </c>
      <c r="AS10">
        <f ca="1">IFERROR(IF(0=LEN(ReferenceData!$AS$10),"",ReferenceData!$AS$10),"")</f>
        <v>3.8066268129999998</v>
      </c>
      <c r="AT10">
        <f ca="1">IFERROR(IF(0=LEN(ReferenceData!$AT$10),"",ReferenceData!$AT$10),"")</f>
        <v>4.9565534250000001</v>
      </c>
      <c r="AU10">
        <f ca="1">IFERROR(IF(0=LEN(ReferenceData!$AU$10),"",ReferenceData!$AU$10),"")</f>
        <v>5.6298879450000001</v>
      </c>
      <c r="AV10">
        <f ca="1">IFERROR(IF(0=LEN(ReferenceData!$AV$10),"",ReferenceData!$AV$10),"")</f>
        <v>5.2716310130000004</v>
      </c>
      <c r="AW10">
        <f ca="1">IFERROR(IF(0=LEN(ReferenceData!$AW$10),"",ReferenceData!$AW$10),"")</f>
        <v>6.4298378270000001</v>
      </c>
      <c r="AX10">
        <f ca="1">IFERROR(IF(0=LEN(ReferenceData!$AX$10),"",ReferenceData!$AX$10),"")</f>
        <v>6.7653072759999997</v>
      </c>
      <c r="AY10">
        <f ca="1">IFERROR(IF(0=LEN(ReferenceData!$AY$10),"",ReferenceData!$AY$10),"")</f>
        <v>7.5311724760000001</v>
      </c>
      <c r="AZ10">
        <f ca="1">IFERROR(IF(0=LEN(ReferenceData!$AZ$10),"",ReferenceData!$AZ$10),"")</f>
        <v>8.0389464030000006</v>
      </c>
      <c r="BA10">
        <f ca="1">IFERROR(IF(0=LEN(ReferenceData!$BA$10),"",ReferenceData!$BA$10),"")</f>
        <v>7.1071261659999996</v>
      </c>
      <c r="BB10">
        <f ca="1">IFERROR(IF(0=LEN(ReferenceData!$BB$10),"",ReferenceData!$BB$10),"")</f>
        <v>6.7901785390000002</v>
      </c>
      <c r="BC10">
        <f ca="1">IFERROR(IF(0=LEN(ReferenceData!$BC$10),"",ReferenceData!$BC$10),"")</f>
        <v>4.4957354949999999</v>
      </c>
      <c r="BD10">
        <f ca="1">IFERROR(IF(0=LEN(ReferenceData!$BD$10),"",ReferenceData!$BD$10),"")</f>
        <v>2.8280751550000001</v>
      </c>
      <c r="BE10">
        <f ca="1">IFERROR(IF(0=LEN(ReferenceData!$BE$10),"",ReferenceData!$BE$10),"")</f>
        <v>1.4546739550000001</v>
      </c>
      <c r="BF10">
        <f ca="1">IFERROR(IF(0=LEN(ReferenceData!$BF$10),"",ReferenceData!$BF$10),"")</f>
        <v>0.31012634900000002</v>
      </c>
      <c r="BG10">
        <f ca="1">IFERROR(IF(0=LEN(ReferenceData!$BG$10),"",ReferenceData!$BG$10),"")</f>
        <v>-0.753548475</v>
      </c>
      <c r="BH10">
        <f ca="1">IFERROR(IF(0=LEN(ReferenceData!$BH$10),"",ReferenceData!$BH$10),"")</f>
        <v>-1.6327494259999999</v>
      </c>
      <c r="BI10">
        <f ca="1">IFERROR(IF(0=LEN(ReferenceData!$BI$10),"",ReferenceData!$BI$10),"")</f>
        <v>-1.6337791420000001</v>
      </c>
      <c r="BJ10">
        <f ca="1">IFERROR(IF(0=LEN(ReferenceData!$BJ$10),"",ReferenceData!$BJ$10),"")</f>
        <v>-3.5906114250000001</v>
      </c>
      <c r="BK10">
        <f ca="1">IFERROR(IF(0=LEN(ReferenceData!$BK$10),"",ReferenceData!$BK$10),"")</f>
        <v>-4.565061107</v>
      </c>
      <c r="BL10">
        <f ca="1">IFERROR(IF(0=LEN(ReferenceData!$BL$10),"",ReferenceData!$BL$10),"")</f>
        <v>-5.6301499770000003</v>
      </c>
      <c r="BM10">
        <f ca="1">IFERROR(IF(0=LEN(ReferenceData!$BM$10),"",ReferenceData!$BM$10),"")</f>
        <v>-7.7995528180000004</v>
      </c>
    </row>
    <row r="11" spans="1:65">
      <c r="A11" t="str">
        <f>IFERROR(IF(0=LEN(ReferenceData!$A$11),"",ReferenceData!$A$11),"")</f>
        <v xml:space="preserve">    Apartment REITs</v>
      </c>
      <c r="B11" t="str">
        <f>IFERROR(IF(0=LEN(ReferenceData!$B$11),"",ReferenceData!$B$11),"")</f>
        <v>RECFSSAP Index</v>
      </c>
      <c r="C11" t="str">
        <f>IFERROR(IF(0=LEN(ReferenceData!$C$11),"",ReferenceData!$C$11),"")</f>
        <v>PR005</v>
      </c>
      <c r="D11" t="str">
        <f>IFERROR(IF(0=LEN(ReferenceData!$D$11),"",ReferenceData!$D$11),"")</f>
        <v>PX_LAST</v>
      </c>
      <c r="E11" t="str">
        <f>IFERROR(IF(0=LEN(ReferenceData!$E$11),"",ReferenceData!$E$11),"")</f>
        <v>动态</v>
      </c>
      <c r="F11">
        <f ca="1">IFERROR(IF(0=LEN(ReferenceData!$F$11),"",ReferenceData!$F$11),"")</f>
        <v>2.6043458720000001</v>
      </c>
      <c r="G11">
        <f ca="1">IFERROR(IF(0=LEN(ReferenceData!$G$11),"",ReferenceData!$G$11),"")</f>
        <v>2.4537863799999999</v>
      </c>
      <c r="H11">
        <f ca="1">IFERROR(IF(0=LEN(ReferenceData!$H$11),"",ReferenceData!$H$11),"")</f>
        <v>2.8786365159999998</v>
      </c>
      <c r="I11">
        <f ca="1">IFERROR(IF(0=LEN(ReferenceData!$I$11),"",ReferenceData!$I$11),"")</f>
        <v>3.4220786360000002</v>
      </c>
      <c r="J11">
        <f ca="1">IFERROR(IF(0=LEN(ReferenceData!$J$11),"",ReferenceData!$J$11),"")</f>
        <v>3.8412199739999999</v>
      </c>
      <c r="K11">
        <f ca="1">IFERROR(IF(0=LEN(ReferenceData!$K$11),"",ReferenceData!$K$11),"")</f>
        <v>4.6233524910000003</v>
      </c>
      <c r="L11">
        <f ca="1">IFERROR(IF(0=LEN(ReferenceData!$L$11),"",ReferenceData!$L$11),"")</f>
        <v>5.1831028809999999</v>
      </c>
      <c r="M11">
        <f ca="1">IFERROR(IF(0=LEN(ReferenceData!$M$11),"",ReferenceData!$M$11),"")</f>
        <v>6.9612316280000002</v>
      </c>
      <c r="N11">
        <f ca="1">IFERROR(IF(0=LEN(ReferenceData!$N$11),"",ReferenceData!$N$11),"")</f>
        <v>6.6078547609999996</v>
      </c>
      <c r="O11">
        <f ca="1">IFERROR(IF(0=LEN(ReferenceData!$O$11),"",ReferenceData!$O$11),"")</f>
        <v>6.272656929</v>
      </c>
      <c r="P11">
        <f ca="1">IFERROR(IF(0=LEN(ReferenceData!$P$11),"",ReferenceData!$P$11),"")</f>
        <v>6.2475426470000004</v>
      </c>
      <c r="Q11">
        <f ca="1">IFERROR(IF(0=LEN(ReferenceData!$Q$11),"",ReferenceData!$Q$11),"")</f>
        <v>5.8289555740000001</v>
      </c>
      <c r="R11">
        <f ca="1">IFERROR(IF(0=LEN(ReferenceData!$R$11),"",ReferenceData!$R$11),"")</f>
        <v>5.2783519879999998</v>
      </c>
      <c r="S11">
        <f ca="1">IFERROR(IF(0=LEN(ReferenceData!$S$11),"",ReferenceData!$S$11),"")</f>
        <v>5.1101434240000003</v>
      </c>
      <c r="T11">
        <f ca="1">IFERROR(IF(0=LEN(ReferenceData!$T$11),"",ReferenceData!$T$11),"")</f>
        <v>4.3971214400000003</v>
      </c>
      <c r="U11">
        <f ca="1">IFERROR(IF(0=LEN(ReferenceData!$U$11),"",ReferenceData!$U$11),"")</f>
        <v>3.7003813619999999</v>
      </c>
      <c r="V11">
        <f ca="1">IFERROR(IF(0=LEN(ReferenceData!$V$11),"",ReferenceData!$V$11),"")</f>
        <v>4.3109157160000002</v>
      </c>
      <c r="W11">
        <f ca="1">IFERROR(IF(0=LEN(ReferenceData!$W$11),"",ReferenceData!$W$11),"")</f>
        <v>4.7654607579999997</v>
      </c>
      <c r="X11">
        <f ca="1">IFERROR(IF(0=LEN(ReferenceData!$X$11),"",ReferenceData!$X$11),"")</f>
        <v>5.5050350369999999</v>
      </c>
      <c r="Y11">
        <f ca="1">IFERROR(IF(0=LEN(ReferenceData!$Y$11),"",ReferenceData!$Y$11),"")</f>
        <v>5.6610013520000004</v>
      </c>
      <c r="Z11">
        <f ca="1">IFERROR(IF(0=LEN(ReferenceData!$Z$11),"",ReferenceData!$Z$11),"")</f>
        <v>6.7008074029999998</v>
      </c>
      <c r="AA11">
        <f ca="1">IFERROR(IF(0=LEN(ReferenceData!$AA$11),"",ReferenceData!$AA$11),"")</f>
        <v>7.6055373629999998</v>
      </c>
      <c r="AB11">
        <f ca="1">IFERROR(IF(0=LEN(ReferenceData!$AB$11),"",ReferenceData!$AB$11),"")</f>
        <v>7.2105337049999996</v>
      </c>
      <c r="AC11">
        <f ca="1">IFERROR(IF(0=LEN(ReferenceData!$AC$11),"",ReferenceData!$AC$11),"")</f>
        <v>8.2859923080000009</v>
      </c>
      <c r="AD11">
        <f ca="1">IFERROR(IF(0=LEN(ReferenceData!$AD$11),"",ReferenceData!$AD$11),"")</f>
        <v>7.7602358650000003</v>
      </c>
      <c r="AE11">
        <f ca="1">IFERROR(IF(0=LEN(ReferenceData!$AE$11),"",ReferenceData!$AE$11),"")</f>
        <v>7.0082794450000003</v>
      </c>
      <c r="AF11">
        <f ca="1">IFERROR(IF(0=LEN(ReferenceData!$AF$11),"",ReferenceData!$AF$11),"")</f>
        <v>6.1909277579999999</v>
      </c>
      <c r="AG11">
        <f ca="1">IFERROR(IF(0=LEN(ReferenceData!$AG$11),"",ReferenceData!$AG$11),"")</f>
        <v>5.910533118</v>
      </c>
      <c r="AH11">
        <f ca="1">IFERROR(IF(0=LEN(ReferenceData!$AH$11),"",ReferenceData!$AH$11),"")</f>
        <v>3.4210570630000001</v>
      </c>
      <c r="AI11">
        <f ca="1">IFERROR(IF(0=LEN(ReferenceData!$AI$11),"",ReferenceData!$AI$11),"")</f>
        <v>0.64830293299999997</v>
      </c>
      <c r="AJ11">
        <f ca="1">IFERROR(IF(0=LEN(ReferenceData!$AJ$11),"",ReferenceData!$AJ$11),"")</f>
        <v>-2.7277876060000001</v>
      </c>
      <c r="AK11">
        <f ca="1">IFERROR(IF(0=LEN(ReferenceData!$AK$11),"",ReferenceData!$AK$11),"")</f>
        <v>-5.6153801589999999</v>
      </c>
      <c r="AL11">
        <f ca="1">IFERROR(IF(0=LEN(ReferenceData!$AL$11),"",ReferenceData!$AL$11),"")</f>
        <v>-5.9562234780000001</v>
      </c>
      <c r="AM11">
        <f ca="1">IFERROR(IF(0=LEN(ReferenceData!$AM$11),"",ReferenceData!$AM$11),"")</f>
        <v>-5.0540186409999999</v>
      </c>
      <c r="AN11">
        <f ca="1">IFERROR(IF(0=LEN(ReferenceData!$AN$11),"",ReferenceData!$AN$11),"")</f>
        <v>-3.3686565900000001</v>
      </c>
      <c r="AO11">
        <f ca="1">IFERROR(IF(0=LEN(ReferenceData!$AO$11),"",ReferenceData!$AO$11),"")</f>
        <v>-0.79378130700000005</v>
      </c>
      <c r="AP11">
        <f ca="1">IFERROR(IF(0=LEN(ReferenceData!$AP$11),"",ReferenceData!$AP$11),"")</f>
        <v>1.8609920470000001</v>
      </c>
      <c r="AQ11">
        <f ca="1">IFERROR(IF(0=LEN(ReferenceData!$AQ$11),"",ReferenceData!$AQ$11),"")</f>
        <v>2.5697799180000001</v>
      </c>
      <c r="AR11">
        <f ca="1">IFERROR(IF(0=LEN(ReferenceData!$AR$11),"",ReferenceData!$AR$11),"")</f>
        <v>4.4338074970000001</v>
      </c>
      <c r="AS11">
        <f ca="1">IFERROR(IF(0=LEN(ReferenceData!$AS$11),"",ReferenceData!$AS$11),"")</f>
        <v>3.8521864099999998</v>
      </c>
      <c r="AT11">
        <f ca="1">IFERROR(IF(0=LEN(ReferenceData!$AT$11),"",ReferenceData!$AT$11),"")</f>
        <v>5.0587237030000001</v>
      </c>
      <c r="AU11">
        <f ca="1">IFERROR(IF(0=LEN(ReferenceData!$AU$11),"",ReferenceData!$AU$11),"")</f>
        <v>5.7462350840000003</v>
      </c>
      <c r="AV11">
        <f ca="1">IFERROR(IF(0=LEN(ReferenceData!$AV$11),"",ReferenceData!$AV$11),"")</f>
        <v>5.2134984859999998</v>
      </c>
      <c r="AW11">
        <f ca="1">IFERROR(IF(0=LEN(ReferenceData!$AW$11),"",ReferenceData!$AW$11),"")</f>
        <v>6.5175813380000003</v>
      </c>
      <c r="AX11">
        <f ca="1">IFERROR(IF(0=LEN(ReferenceData!$AX$11),"",ReferenceData!$AX$11),"")</f>
        <v>6.8905610380000004</v>
      </c>
      <c r="AY11">
        <f ca="1">IFERROR(IF(0=LEN(ReferenceData!$AY$11),"",ReferenceData!$AY$11),"")</f>
        <v>7.7267694770000004</v>
      </c>
      <c r="AZ11">
        <f ca="1">IFERROR(IF(0=LEN(ReferenceData!$AZ$11),"",ReferenceData!$AZ$11),"")</f>
        <v>8.3708922670000003</v>
      </c>
      <c r="BA11">
        <f ca="1">IFERROR(IF(0=LEN(ReferenceData!$BA$11),"",ReferenceData!$BA$11),"")</f>
        <v>7.3341756719999998</v>
      </c>
      <c r="BB11">
        <f ca="1">IFERROR(IF(0=LEN(ReferenceData!$BB$11),"",ReferenceData!$BB$11),"")</f>
        <v>6.6113562229999996</v>
      </c>
      <c r="BC11">
        <f ca="1">IFERROR(IF(0=LEN(ReferenceData!$BC$11),"",ReferenceData!$BC$11),"")</f>
        <v>4.4140333319999998</v>
      </c>
      <c r="BD11">
        <f ca="1">IFERROR(IF(0=LEN(ReferenceData!$BD$11),"",ReferenceData!$BD$11),"")</f>
        <v>2.976706622</v>
      </c>
      <c r="BE11">
        <f ca="1">IFERROR(IF(0=LEN(ReferenceData!$BE$11),"",ReferenceData!$BE$11),"")</f>
        <v>1.5592200620000001</v>
      </c>
      <c r="BF11">
        <f ca="1">IFERROR(IF(0=LEN(ReferenceData!$BF$11),"",ReferenceData!$BF$11),"")</f>
        <v>0.20350663899999999</v>
      </c>
      <c r="BG11">
        <f ca="1">IFERROR(IF(0=LEN(ReferenceData!$BG$11),"",ReferenceData!$BG$11),"")</f>
        <v>-0.77643376900000005</v>
      </c>
      <c r="BH11">
        <f ca="1">IFERROR(IF(0=LEN(ReferenceData!$BH$11),"",ReferenceData!$BH$11),"")</f>
        <v>-1.8822800630000001</v>
      </c>
      <c r="BI11">
        <f ca="1">IFERROR(IF(0=LEN(ReferenceData!$BI$11),"",ReferenceData!$BI$11),"")</f>
        <v>-2.0704315389999999</v>
      </c>
      <c r="BJ11">
        <f ca="1">IFERROR(IF(0=LEN(ReferenceData!$BJ$11),"",ReferenceData!$BJ$11),"")</f>
        <v>-3.881378437</v>
      </c>
      <c r="BK11">
        <f ca="1">IFERROR(IF(0=LEN(ReferenceData!$BK$11),"",ReferenceData!$BK$11),"")</f>
        <v>-4.9131365599999999</v>
      </c>
      <c r="BL11">
        <f ca="1">IFERROR(IF(0=LEN(ReferenceData!$BL$11),"",ReferenceData!$BL$11),"")</f>
        <v>-6.2663777170000001</v>
      </c>
      <c r="BM11">
        <f ca="1">IFERROR(IF(0=LEN(ReferenceData!$BM$11),"",ReferenceData!$BM$11),"")</f>
        <v>-8.6373337390000007</v>
      </c>
    </row>
    <row r="12" spans="1:65">
      <c r="A12" t="str">
        <f>IFERROR(IF(0=LEN(ReferenceData!$A$12),"",ReferenceData!$A$12),"")</f>
        <v xml:space="preserve">    Manufactured Home REITs</v>
      </c>
      <c r="B12" t="str">
        <f>IFERROR(IF(0=LEN(ReferenceData!$B$12),"",ReferenceData!$B$12),"")</f>
        <v>RECFSSMH Index</v>
      </c>
      <c r="C12" t="str">
        <f>IFERROR(IF(0=LEN(ReferenceData!$C$12),"",ReferenceData!$C$12),"")</f>
        <v>PR005</v>
      </c>
      <c r="D12" t="str">
        <f>IFERROR(IF(0=LEN(ReferenceData!$D$12),"",ReferenceData!$D$12),"")</f>
        <v>PX_LAST</v>
      </c>
      <c r="E12" t="str">
        <f>IFERROR(IF(0=LEN(ReferenceData!$E$12),"",ReferenceData!$E$12),"")</f>
        <v>动态</v>
      </c>
      <c r="F12">
        <f ca="1">IFERROR(IF(0=LEN(ReferenceData!$F$12),"",ReferenceData!$F$12),"")</f>
        <v>5.6712443669999999</v>
      </c>
      <c r="G12">
        <f ca="1">IFERROR(IF(0=LEN(ReferenceData!$G$12),"",ReferenceData!$G$12),"")</f>
        <v>7.1250470559999997</v>
      </c>
      <c r="H12">
        <f ca="1">IFERROR(IF(0=LEN(ReferenceData!$H$12),"",ReferenceData!$H$12),"")</f>
        <v>5.6727111399999997</v>
      </c>
      <c r="I12">
        <f ca="1">IFERROR(IF(0=LEN(ReferenceData!$I$12),"",ReferenceData!$I$12),"")</f>
        <v>5.3860161519999998</v>
      </c>
      <c r="J12">
        <f ca="1">IFERROR(IF(0=LEN(ReferenceData!$J$12),"",ReferenceData!$J$12),"")</f>
        <v>7.4271456479999998</v>
      </c>
      <c r="K12">
        <f ca="1">IFERROR(IF(0=LEN(ReferenceData!$K$12),"",ReferenceData!$K$12),"")</f>
        <v>6.3996180799999998</v>
      </c>
      <c r="L12">
        <f ca="1">IFERROR(IF(0=LEN(ReferenceData!$L$12),"",ReferenceData!$L$12),"")</f>
        <v>7.1072306110000003</v>
      </c>
      <c r="M12">
        <f ca="1">IFERROR(IF(0=LEN(ReferenceData!$M$12),"",ReferenceData!$M$12),"")</f>
        <v>6.5889405119999997</v>
      </c>
      <c r="N12">
        <f ca="1">IFERROR(IF(0=LEN(ReferenceData!$N$12),"",ReferenceData!$N$12),"")</f>
        <v>7.2013666560000003</v>
      </c>
      <c r="O12">
        <f ca="1">IFERROR(IF(0=LEN(ReferenceData!$O$12),"",ReferenceData!$O$12),"")</f>
        <v>6.9706906660000003</v>
      </c>
      <c r="P12">
        <f ca="1">IFERROR(IF(0=LEN(ReferenceData!$P$12),"",ReferenceData!$P$12),"")</f>
        <v>6.7661440419999996</v>
      </c>
      <c r="Q12">
        <f ca="1">IFERROR(IF(0=LEN(ReferenceData!$Q$12),"",ReferenceData!$Q$12),"")</f>
        <v>7.3580854090000001</v>
      </c>
      <c r="R12">
        <f ca="1">IFERROR(IF(0=LEN(ReferenceData!$R$12),"",ReferenceData!$R$12),"")</f>
        <v>5.2041535630000002</v>
      </c>
      <c r="S12">
        <f ca="1">IFERROR(IF(0=LEN(ReferenceData!$S$12),"",ReferenceData!$S$12),"")</f>
        <v>6.362169164</v>
      </c>
      <c r="T12">
        <f ca="1">IFERROR(IF(0=LEN(ReferenceData!$T$12),"",ReferenceData!$T$12),"")</f>
        <v>5.5034787610000002</v>
      </c>
      <c r="U12">
        <f ca="1">IFERROR(IF(0=LEN(ReferenceData!$U$12),"",ReferenceData!$U$12),"")</f>
        <v>5.0217492369999999</v>
      </c>
      <c r="V12">
        <f ca="1">IFERROR(IF(0=LEN(ReferenceData!$V$12),"",ReferenceData!$V$12),"")</f>
        <v>4.7999058550000004</v>
      </c>
      <c r="W12">
        <f ca="1">IFERROR(IF(0=LEN(ReferenceData!$W$12),"",ReferenceData!$W$12),"")</f>
        <v>3.8399371260000001</v>
      </c>
      <c r="X12">
        <f ca="1">IFERROR(IF(0=LEN(ReferenceData!$X$12),"",ReferenceData!$X$12),"")</f>
        <v>3.6416021519999999</v>
      </c>
      <c r="Y12">
        <f ca="1">IFERROR(IF(0=LEN(ReferenceData!$Y$12),"",ReferenceData!$Y$12),"")</f>
        <v>3.7173049539999998</v>
      </c>
      <c r="Z12">
        <f ca="1">IFERROR(IF(0=LEN(ReferenceData!$Z$12),"",ReferenceData!$Z$12),"")</f>
        <v>2.519552332</v>
      </c>
      <c r="AA12">
        <f ca="1">IFERROR(IF(0=LEN(ReferenceData!$AA$12),"",ReferenceData!$AA$12),"")</f>
        <v>3.1665556929999998</v>
      </c>
      <c r="AB12">
        <f ca="1">IFERROR(IF(0=LEN(ReferenceData!$AB$12),"",ReferenceData!$AB$12),"")</f>
        <v>4.6549543499999997</v>
      </c>
      <c r="AC12">
        <f ca="1">IFERROR(IF(0=LEN(ReferenceData!$AC$12),"",ReferenceData!$AC$12),"")</f>
        <v>3.157062544</v>
      </c>
      <c r="AD12">
        <f ca="1">IFERROR(IF(0=LEN(ReferenceData!$AD$12),"",ReferenceData!$AD$12),"")</f>
        <v>2.2642198480000002</v>
      </c>
      <c r="AE12">
        <f ca="1">IFERROR(IF(0=LEN(ReferenceData!$AE$12),"",ReferenceData!$AE$12),"")</f>
        <v>4.3254321100000004</v>
      </c>
      <c r="AF12">
        <f ca="1">IFERROR(IF(0=LEN(ReferenceData!$AF$12),"",ReferenceData!$AF$12),"")</f>
        <v>3.312751918</v>
      </c>
      <c r="AG12">
        <f ca="1">IFERROR(IF(0=LEN(ReferenceData!$AG$12),"",ReferenceData!$AG$12),"")</f>
        <v>2.3750488089999999</v>
      </c>
      <c r="AH12">
        <f ca="1">IFERROR(IF(0=LEN(ReferenceData!$AH$12),"",ReferenceData!$AH$12),"")</f>
        <v>3.3194050329999998</v>
      </c>
      <c r="AI12">
        <f ca="1">IFERROR(IF(0=LEN(ReferenceData!$AI$12),"",ReferenceData!$AI$12),"")</f>
        <v>3.701906256</v>
      </c>
      <c r="AJ12">
        <f ca="1">IFERROR(IF(0=LEN(ReferenceData!$AJ$12),"",ReferenceData!$AJ$12),"")</f>
        <v>2.1966216369999998</v>
      </c>
      <c r="AK12">
        <f ca="1">IFERROR(IF(0=LEN(ReferenceData!$AK$12),"",ReferenceData!$AK$12),"")</f>
        <v>0.82698392399999998</v>
      </c>
      <c r="AL12">
        <f ca="1">IFERROR(IF(0=LEN(ReferenceData!$AL$12),"",ReferenceData!$AL$12),"")</f>
        <v>2.319247098</v>
      </c>
      <c r="AM12">
        <f ca="1">IFERROR(IF(0=LEN(ReferenceData!$AM$12),"",ReferenceData!$AM$12),"")</f>
        <v>4.0603191650000001</v>
      </c>
      <c r="AN12">
        <f ca="1">IFERROR(IF(0=LEN(ReferenceData!$AN$12),"",ReferenceData!$AN$12),"")</f>
        <v>5.6038622919999996</v>
      </c>
      <c r="AO12">
        <f ca="1">IFERROR(IF(0=LEN(ReferenceData!$AO$12),"",ReferenceData!$AO$12),"")</f>
        <v>2.9638721380000002</v>
      </c>
      <c r="AP12">
        <f ca="1">IFERROR(IF(0=LEN(ReferenceData!$AP$12),"",ReferenceData!$AP$12),"")</f>
        <v>3.2571984660000002</v>
      </c>
      <c r="AQ12">
        <f ca="1">IFERROR(IF(0=LEN(ReferenceData!$AQ$12),"",ReferenceData!$AQ$12),"")</f>
        <v>3.3145570499999999</v>
      </c>
      <c r="AR12">
        <f ca="1">IFERROR(IF(0=LEN(ReferenceData!$AR$12),"",ReferenceData!$AR$12),"")</f>
        <v>2.2789695509999999</v>
      </c>
      <c r="AS12">
        <f ca="1">IFERROR(IF(0=LEN(ReferenceData!$AS$12),"",ReferenceData!$AS$12),"")</f>
        <v>3.346392426</v>
      </c>
      <c r="AT12">
        <f ca="1">IFERROR(IF(0=LEN(ReferenceData!$AT$12),"",ReferenceData!$AT$12),"")</f>
        <v>3.840411783</v>
      </c>
      <c r="AU12">
        <f ca="1">IFERROR(IF(0=LEN(ReferenceData!$AU$12),"",ReferenceData!$AU$12),"")</f>
        <v>4.2232708309999998</v>
      </c>
      <c r="AV12">
        <f ca="1">IFERROR(IF(0=LEN(ReferenceData!$AV$12),"",ReferenceData!$AV$12),"")</f>
        <v>6.1322139</v>
      </c>
      <c r="AW12">
        <f ca="1">IFERROR(IF(0=LEN(ReferenceData!$AW$12),"",ReferenceData!$AW$12),"")</f>
        <v>5.336620141</v>
      </c>
      <c r="AX12">
        <f ca="1">IFERROR(IF(0=LEN(ReferenceData!$AX$12),"",ReferenceData!$AX$12),"")</f>
        <v>5.0807483700000002</v>
      </c>
      <c r="AY12">
        <f ca="1">IFERROR(IF(0=LEN(ReferenceData!$AY$12),"",ReferenceData!$AY$12),"")</f>
        <v>4.8191798520000004</v>
      </c>
      <c r="AZ12">
        <f ca="1">IFERROR(IF(0=LEN(ReferenceData!$AZ$12),"",ReferenceData!$AZ$12),"")</f>
        <v>3.5078806999999999</v>
      </c>
      <c r="BA12">
        <f ca="1">IFERROR(IF(0=LEN(ReferenceData!$BA$12),"",ReferenceData!$BA$12),"")</f>
        <v>4.4166881279999997</v>
      </c>
      <c r="BB12">
        <f ca="1">IFERROR(IF(0=LEN(ReferenceData!$BB$12),"",ReferenceData!$BB$12),"")</f>
        <v>8.7523749209999995</v>
      </c>
      <c r="BC12">
        <f ca="1">IFERROR(IF(0=LEN(ReferenceData!$BC$12),"",ReferenceData!$BC$12),"")</f>
        <v>5.545291185</v>
      </c>
      <c r="BD12">
        <f ca="1">IFERROR(IF(0=LEN(ReferenceData!$BD$12),"",ReferenceData!$BD$12),"")</f>
        <v>1.069697669</v>
      </c>
      <c r="BE12">
        <f ca="1">IFERROR(IF(0=LEN(ReferenceData!$BE$12),"",ReferenceData!$BE$12),"")</f>
        <v>0.30311320200000003</v>
      </c>
      <c r="BF12">
        <f ca="1">IFERROR(IF(0=LEN(ReferenceData!$BF$12),"",ReferenceData!$BF$12),"")</f>
        <v>1.555398324</v>
      </c>
      <c r="BG12">
        <f ca="1">IFERROR(IF(0=LEN(ReferenceData!$BG$12),"",ReferenceData!$BG$12),"")</f>
        <v>-0.46809944399999998</v>
      </c>
      <c r="BH12">
        <f ca="1">IFERROR(IF(0=LEN(ReferenceData!$BH$12),"",ReferenceData!$BH$12),"")</f>
        <v>1.5983910240000001</v>
      </c>
      <c r="BI12">
        <f ca="1">IFERROR(IF(0=LEN(ReferenceData!$BI$12),"",ReferenceData!$BI$12),"")</f>
        <v>3.9471698989999999</v>
      </c>
      <c r="BJ12">
        <f ca="1">IFERROR(IF(0=LEN(ReferenceData!$BJ$12),"",ReferenceData!$BJ$12),"")</f>
        <v>1.797246806</v>
      </c>
      <c r="BK12">
        <f ca="1">IFERROR(IF(0=LEN(ReferenceData!$BK$12),"",ReferenceData!$BK$12),"")</f>
        <v>2.1223154989999999</v>
      </c>
      <c r="BL12">
        <f ca="1">IFERROR(IF(0=LEN(ReferenceData!$BL$12),"",ReferenceData!$BL$12),"")</f>
        <v>1.7892937149999999</v>
      </c>
      <c r="BM12">
        <f ca="1">IFERROR(IF(0=LEN(ReferenceData!$BM$12),"",ReferenceData!$BM$12),"")</f>
        <v>2.152647639</v>
      </c>
    </row>
    <row r="13" spans="1:65">
      <c r="A13" t="str">
        <f>IFERROR(IF(0=LEN(ReferenceData!$A$13),"",ReferenceData!$A$13),"")</f>
        <v xml:space="preserve">    Single Family Rental REITs</v>
      </c>
      <c r="B13" t="str">
        <f>IFERROR(IF(0=LEN(ReferenceData!$B$13),"",ReferenceData!$B$13),"")</f>
        <v>RECFSSSF Index</v>
      </c>
      <c r="C13" t="str">
        <f>IFERROR(IF(0=LEN(ReferenceData!$C$13),"",ReferenceData!$C$13),"")</f>
        <v>PR005</v>
      </c>
      <c r="D13" t="str">
        <f>IFERROR(IF(0=LEN(ReferenceData!$D$13),"",ReferenceData!$D$13),"")</f>
        <v>PX_LAST</v>
      </c>
      <c r="E13" t="str">
        <f>IFERROR(IF(0=LEN(ReferenceData!$E$13),"",ReferenceData!$E$13),"")</f>
        <v>动态</v>
      </c>
      <c r="F13">
        <f ca="1">IFERROR(IF(0=LEN(ReferenceData!$F$13),"",ReferenceData!$F$13),"")</f>
        <v>6.0063084450000002</v>
      </c>
      <c r="G13">
        <f ca="1">IFERROR(IF(0=LEN(ReferenceData!$G$13),"",ReferenceData!$G$13),"")</f>
        <v>6.7626686720000002</v>
      </c>
      <c r="H13">
        <f ca="1">IFERROR(IF(0=LEN(ReferenceData!$H$13),"",ReferenceData!$H$13),"")</f>
        <v>6.830291087</v>
      </c>
      <c r="I13">
        <f ca="1">IFERROR(IF(0=LEN(ReferenceData!$I$13),"",ReferenceData!$I$13),"")</f>
        <v>6.6476969920000002</v>
      </c>
      <c r="J13">
        <f ca="1">IFERROR(IF(0=LEN(ReferenceData!$J$13),"",ReferenceData!$J$13),"")</f>
        <v>13.00590405</v>
      </c>
      <c r="K13">
        <f ca="1">IFERROR(IF(0=LEN(ReferenceData!$K$13),"",ReferenceData!$K$13),"")</f>
        <v>8.7021288899999991</v>
      </c>
      <c r="L13">
        <f ca="1">IFERROR(IF(0=LEN(ReferenceData!$L$13),"",ReferenceData!$L$13),"")</f>
        <v>8.8186380779999993</v>
      </c>
      <c r="M13">
        <f ca="1">IFERROR(IF(0=LEN(ReferenceData!$M$13),"",ReferenceData!$M$13),"")</f>
        <v>7.4502994649999996</v>
      </c>
      <c r="N13">
        <f ca="1">IFERROR(IF(0=LEN(ReferenceData!$N$13),"",ReferenceData!$N$13),"")</f>
        <v>10.333370909999999</v>
      </c>
      <c r="O13">
        <f ca="1">IFERROR(IF(0=LEN(ReferenceData!$O$13),"",ReferenceData!$O$13),"")</f>
        <v>10.13544018</v>
      </c>
      <c r="P13">
        <f ca="1">IFERROR(IF(0=LEN(ReferenceData!$P$13),"",ReferenceData!$P$13),"")</f>
        <v>2.5897339499999998</v>
      </c>
      <c r="Q13">
        <f ca="1">IFERROR(IF(0=LEN(ReferenceData!$Q$13),"",ReferenceData!$Q$13),"")</f>
        <v>2.7325905289999999</v>
      </c>
      <c r="R13">
        <f ca="1">IFERROR(IF(0=LEN(ReferenceData!$R$13),"",ReferenceData!$R$13),"")</f>
        <v>0</v>
      </c>
      <c r="S13">
        <f ca="1">IFERROR(IF(0=LEN(ReferenceData!$S$13),"",ReferenceData!$S$13),"")</f>
        <v>0</v>
      </c>
      <c r="T13">
        <f ca="1">IFERROR(IF(0=LEN(ReferenceData!$T$13),"",ReferenceData!$T$13),"")</f>
        <v>0</v>
      </c>
      <c r="U13">
        <f ca="1">IFERROR(IF(0=LEN(ReferenceData!$U$13),"",ReferenceData!$U$13),"")</f>
        <v>0</v>
      </c>
      <c r="V13">
        <f ca="1">IFERROR(IF(0=LEN(ReferenceData!$V$13),"",ReferenceData!$V$13),"")</f>
        <v>0</v>
      </c>
      <c r="W13">
        <f ca="1">IFERROR(IF(0=LEN(ReferenceData!$W$13),"",ReferenceData!$W$13),"")</f>
        <v>0</v>
      </c>
      <c r="X13">
        <f ca="1">IFERROR(IF(0=LEN(ReferenceData!$X$13),"",ReferenceData!$X$13),"")</f>
        <v>0</v>
      </c>
      <c r="Y13">
        <f ca="1">IFERROR(IF(0=LEN(ReferenceData!$Y$13),"",ReferenceData!$Y$13),"")</f>
        <v>0</v>
      </c>
      <c r="Z13">
        <f ca="1">IFERROR(IF(0=LEN(ReferenceData!$Z$13),"",ReferenceData!$Z$13),"")</f>
        <v>0</v>
      </c>
      <c r="AA13">
        <f ca="1">IFERROR(IF(0=LEN(ReferenceData!$AA$13),"",ReferenceData!$AA$13),"")</f>
        <v>0</v>
      </c>
      <c r="AB13">
        <f ca="1">IFERROR(IF(0=LEN(ReferenceData!$AB$13),"",ReferenceData!$AB$13),"")</f>
        <v>0</v>
      </c>
      <c r="AC13">
        <f ca="1">IFERROR(IF(0=LEN(ReferenceData!$AC$13),"",ReferenceData!$AC$13),"")</f>
        <v>0</v>
      </c>
      <c r="AD13">
        <f ca="1">IFERROR(IF(0=LEN(ReferenceData!$AD$13),"",ReferenceData!$AD$13),"")</f>
        <v>0</v>
      </c>
      <c r="AE13">
        <f ca="1">IFERROR(IF(0=LEN(ReferenceData!$AE$13),"",ReferenceData!$AE$13),"")</f>
        <v>0</v>
      </c>
      <c r="AF13">
        <f ca="1">IFERROR(IF(0=LEN(ReferenceData!$AF$13),"",ReferenceData!$AF$13),"")</f>
        <v>0</v>
      </c>
      <c r="AG13">
        <f ca="1">IFERROR(IF(0=LEN(ReferenceData!$AG$13),"",ReferenceData!$AG$13),"")</f>
        <v>0</v>
      </c>
      <c r="AH13">
        <f ca="1">IFERROR(IF(0=LEN(ReferenceData!$AH$13),"",ReferenceData!$AH$13),"")</f>
        <v>0</v>
      </c>
      <c r="AI13">
        <f ca="1">IFERROR(IF(0=LEN(ReferenceData!$AI$13),"",ReferenceData!$AI$13),"")</f>
        <v>0</v>
      </c>
      <c r="AJ13">
        <f ca="1">IFERROR(IF(0=LEN(ReferenceData!$AJ$13),"",ReferenceData!$AJ$13),"")</f>
        <v>0</v>
      </c>
      <c r="AK13">
        <f ca="1">IFERROR(IF(0=LEN(ReferenceData!$AK$13),"",ReferenceData!$AK$13),"")</f>
        <v>0</v>
      </c>
      <c r="AL13">
        <f ca="1">IFERROR(IF(0=LEN(ReferenceData!$AL$13),"",ReferenceData!$AL$13),"")</f>
        <v>0</v>
      </c>
      <c r="AM13">
        <f ca="1">IFERROR(IF(0=LEN(ReferenceData!$AM$13),"",ReferenceData!$AM$13),"")</f>
        <v>0</v>
      </c>
      <c r="AN13">
        <f ca="1">IFERROR(IF(0=LEN(ReferenceData!$AN$13),"",ReferenceData!$AN$13),"")</f>
        <v>0</v>
      </c>
      <c r="AO13">
        <f ca="1">IFERROR(IF(0=LEN(ReferenceData!$AO$13),"",ReferenceData!$AO$13),"")</f>
        <v>0</v>
      </c>
      <c r="AP13">
        <f ca="1">IFERROR(IF(0=LEN(ReferenceData!$AP$13),"",ReferenceData!$AP$13),"")</f>
        <v>0</v>
      </c>
      <c r="AQ13">
        <f ca="1">IFERROR(IF(0=LEN(ReferenceData!$AQ$13),"",ReferenceData!$AQ$13),"")</f>
        <v>0</v>
      </c>
      <c r="AR13">
        <f ca="1">IFERROR(IF(0=LEN(ReferenceData!$AR$13),"",ReferenceData!$AR$13),"")</f>
        <v>0</v>
      </c>
      <c r="AS13">
        <f ca="1">IFERROR(IF(0=LEN(ReferenceData!$AS$13),"",ReferenceData!$AS$13),"")</f>
        <v>0</v>
      </c>
      <c r="AT13">
        <f ca="1">IFERROR(IF(0=LEN(ReferenceData!$AT$13),"",ReferenceData!$AT$13),"")</f>
        <v>0</v>
      </c>
      <c r="AU13">
        <f ca="1">IFERROR(IF(0=LEN(ReferenceData!$AU$13),"",ReferenceData!$AU$13),"")</f>
        <v>0</v>
      </c>
      <c r="AV13">
        <f ca="1">IFERROR(IF(0=LEN(ReferenceData!$AV$13),"",ReferenceData!$AV$13),"")</f>
        <v>0</v>
      </c>
      <c r="AW13">
        <f ca="1">IFERROR(IF(0=LEN(ReferenceData!$AW$13),"",ReferenceData!$AW$13),"")</f>
        <v>0</v>
      </c>
      <c r="AX13">
        <f ca="1">IFERROR(IF(0=LEN(ReferenceData!$AX$13),"",ReferenceData!$AX$13),"")</f>
        <v>0</v>
      </c>
      <c r="AY13">
        <f ca="1">IFERROR(IF(0=LEN(ReferenceData!$AY$13),"",ReferenceData!$AY$13),"")</f>
        <v>0</v>
      </c>
      <c r="AZ13">
        <f ca="1">IFERROR(IF(0=LEN(ReferenceData!$AZ$13),"",ReferenceData!$AZ$13),"")</f>
        <v>0</v>
      </c>
      <c r="BA13">
        <f ca="1">IFERROR(IF(0=LEN(ReferenceData!$BA$13),"",ReferenceData!$BA$13),"")</f>
        <v>0</v>
      </c>
      <c r="BB13">
        <f ca="1">IFERROR(IF(0=LEN(ReferenceData!$BB$13),"",ReferenceData!$BB$13),"")</f>
        <v>0</v>
      </c>
      <c r="BC13">
        <f ca="1">IFERROR(IF(0=LEN(ReferenceData!$BC$13),"",ReferenceData!$BC$13),"")</f>
        <v>0</v>
      </c>
      <c r="BD13">
        <f ca="1">IFERROR(IF(0=LEN(ReferenceData!$BD$13),"",ReferenceData!$BD$13),"")</f>
        <v>0</v>
      </c>
      <c r="BE13">
        <f ca="1">IFERROR(IF(0=LEN(ReferenceData!$BE$13),"",ReferenceData!$BE$13),"")</f>
        <v>0</v>
      </c>
      <c r="BF13">
        <f ca="1">IFERROR(IF(0=LEN(ReferenceData!$BF$13),"",ReferenceData!$BF$13),"")</f>
        <v>0</v>
      </c>
      <c r="BG13">
        <f ca="1">IFERROR(IF(0=LEN(ReferenceData!$BG$13),"",ReferenceData!$BG$13),"")</f>
        <v>0</v>
      </c>
      <c r="BH13">
        <f ca="1">IFERROR(IF(0=LEN(ReferenceData!$BH$13),"",ReferenceData!$BH$13),"")</f>
        <v>0</v>
      </c>
      <c r="BI13">
        <f ca="1">IFERROR(IF(0=LEN(ReferenceData!$BI$13),"",ReferenceData!$BI$13),"")</f>
        <v>0</v>
      </c>
      <c r="BJ13">
        <f ca="1">IFERROR(IF(0=LEN(ReferenceData!$BJ$13),"",ReferenceData!$BJ$13),"")</f>
        <v>0</v>
      </c>
      <c r="BK13">
        <f ca="1">IFERROR(IF(0=LEN(ReferenceData!$BK$13),"",ReferenceData!$BK$13),"")</f>
        <v>0</v>
      </c>
      <c r="BL13">
        <f ca="1">IFERROR(IF(0=LEN(ReferenceData!$BL$13),"",ReferenceData!$BL$13),"")</f>
        <v>0</v>
      </c>
      <c r="BM13">
        <f ca="1">IFERROR(IF(0=LEN(ReferenceData!$BM$13),"",ReferenceData!$BM$13),"")</f>
        <v>0</v>
      </c>
    </row>
    <row r="14" spans="1:65">
      <c r="A14" t="str">
        <f>IFERROR(IF(0=LEN(ReferenceData!$A$14),"",ReferenceData!$A$14),"")</f>
        <v xml:space="preserve">    Diversified REITs</v>
      </c>
      <c r="B14" t="str">
        <f>IFERROR(IF(0=LEN(ReferenceData!$B$14),"",ReferenceData!$B$14),"")</f>
        <v>RECFSSDV Index</v>
      </c>
      <c r="C14" t="str">
        <f>IFERROR(IF(0=LEN(ReferenceData!$C$14),"",ReferenceData!$C$14),"")</f>
        <v>PR005</v>
      </c>
      <c r="D14" t="str">
        <f>IFERROR(IF(0=LEN(ReferenceData!$D$14),"",ReferenceData!$D$14),"")</f>
        <v>PX_LAST</v>
      </c>
      <c r="E14" t="str">
        <f>IFERROR(IF(0=LEN(ReferenceData!$E$14),"",ReferenceData!$E$14),"")</f>
        <v>动态</v>
      </c>
      <c r="F14">
        <f ca="1">IFERROR(IF(0=LEN(ReferenceData!$F$14),"",ReferenceData!$F$14),"")</f>
        <v>5.4353000319999998</v>
      </c>
      <c r="G14">
        <f ca="1">IFERROR(IF(0=LEN(ReferenceData!$G$14),"",ReferenceData!$G$14),"")</f>
        <v>6.9315116300000001</v>
      </c>
      <c r="H14">
        <f ca="1">IFERROR(IF(0=LEN(ReferenceData!$H$14),"",ReferenceData!$H$14),"")</f>
        <v>4.4562522839999996</v>
      </c>
      <c r="I14">
        <f ca="1">IFERROR(IF(0=LEN(ReferenceData!$I$14),"",ReferenceData!$I$14),"")</f>
        <v>6.9396253000000005E-2</v>
      </c>
      <c r="J14">
        <f ca="1">IFERROR(IF(0=LEN(ReferenceData!$J$14),"",ReferenceData!$J$14),"")</f>
        <v>-0.354018575</v>
      </c>
      <c r="K14">
        <f ca="1">IFERROR(IF(0=LEN(ReferenceData!$K$14),"",ReferenceData!$K$14),"")</f>
        <v>0.74733329400000004</v>
      </c>
      <c r="L14">
        <f ca="1">IFERROR(IF(0=LEN(ReferenceData!$L$14),"",ReferenceData!$L$14),"")</f>
        <v>3.5252611649999999</v>
      </c>
      <c r="M14">
        <f ca="1">IFERROR(IF(0=LEN(ReferenceData!$M$14),"",ReferenceData!$M$14),"")</f>
        <v>-0.59548316899999998</v>
      </c>
      <c r="N14">
        <f ca="1">IFERROR(IF(0=LEN(ReferenceData!$N$14),"",ReferenceData!$N$14),"")</f>
        <v>1.315317549</v>
      </c>
      <c r="O14">
        <f ca="1">IFERROR(IF(0=LEN(ReferenceData!$O$14),"",ReferenceData!$O$14),"")</f>
        <v>2.4989539039999999</v>
      </c>
      <c r="P14">
        <f ca="1">IFERROR(IF(0=LEN(ReferenceData!$P$14),"",ReferenceData!$P$14),"")</f>
        <v>2.117175155</v>
      </c>
      <c r="Q14">
        <f ca="1">IFERROR(IF(0=LEN(ReferenceData!$Q$14),"",ReferenceData!$Q$14),"")</f>
        <v>0.82161430300000005</v>
      </c>
      <c r="R14">
        <f ca="1">IFERROR(IF(0=LEN(ReferenceData!$R$14),"",ReferenceData!$R$14),"")</f>
        <v>2.5590391430000001</v>
      </c>
      <c r="S14">
        <f ca="1">IFERROR(IF(0=LEN(ReferenceData!$S$14),"",ReferenceData!$S$14),"")</f>
        <v>3.0249974869999998</v>
      </c>
      <c r="T14">
        <f ca="1">IFERROR(IF(0=LEN(ReferenceData!$T$14),"",ReferenceData!$T$14),"")</f>
        <v>-5.5200522000000002E-2</v>
      </c>
      <c r="U14">
        <f ca="1">IFERROR(IF(0=LEN(ReferenceData!$U$14),"",ReferenceData!$U$14),"")</f>
        <v>1.843283257</v>
      </c>
      <c r="V14">
        <f ca="1">IFERROR(IF(0=LEN(ReferenceData!$V$14),"",ReferenceData!$V$14),"")</f>
        <v>2.0667302040000002</v>
      </c>
      <c r="W14">
        <f ca="1">IFERROR(IF(0=LEN(ReferenceData!$W$14),"",ReferenceData!$W$14),"")</f>
        <v>2.6909779440000001</v>
      </c>
      <c r="X14">
        <f ca="1">IFERROR(IF(0=LEN(ReferenceData!$X$14),"",ReferenceData!$X$14),"")</f>
        <v>3.5526907510000001</v>
      </c>
      <c r="Y14">
        <f ca="1">IFERROR(IF(0=LEN(ReferenceData!$Y$14),"",ReferenceData!$Y$14),"")</f>
        <v>2.2525890990000002</v>
      </c>
      <c r="Z14">
        <f ca="1">IFERROR(IF(0=LEN(ReferenceData!$Z$14),"",ReferenceData!$Z$14),"")</f>
        <v>5.9072274480000004</v>
      </c>
      <c r="AA14">
        <f ca="1">IFERROR(IF(0=LEN(ReferenceData!$AA$14),"",ReferenceData!$AA$14),"")</f>
        <v>3.7004187329999998</v>
      </c>
      <c r="AB14">
        <f ca="1">IFERROR(IF(0=LEN(ReferenceData!$AB$14),"",ReferenceData!$AB$14),"")</f>
        <v>4.3340367579999999</v>
      </c>
      <c r="AC14">
        <f ca="1">IFERROR(IF(0=LEN(ReferenceData!$AC$14),"",ReferenceData!$AC$14),"")</f>
        <v>1.374419646</v>
      </c>
      <c r="AD14">
        <f ca="1">IFERROR(IF(0=LEN(ReferenceData!$AD$14),"",ReferenceData!$AD$14),"")</f>
        <v>-3.7765906889999998</v>
      </c>
      <c r="AE14">
        <f ca="1">IFERROR(IF(0=LEN(ReferenceData!$AE$14),"",ReferenceData!$AE$14),"")</f>
        <v>-2.4572319660000002</v>
      </c>
      <c r="AF14">
        <f ca="1">IFERROR(IF(0=LEN(ReferenceData!$AF$14),"",ReferenceData!$AF$14),"")</f>
        <v>-1.368786898</v>
      </c>
      <c r="AG14">
        <f ca="1">IFERROR(IF(0=LEN(ReferenceData!$AG$14),"",ReferenceData!$AG$14),"")</f>
        <v>1.6884562569999999</v>
      </c>
      <c r="AH14">
        <f ca="1">IFERROR(IF(0=LEN(ReferenceData!$AH$14),"",ReferenceData!$AH$14),"")</f>
        <v>42.72366383</v>
      </c>
      <c r="AI14">
        <f ca="1">IFERROR(IF(0=LEN(ReferenceData!$AI$14),"",ReferenceData!$AI$14),"")</f>
        <v>45.314417900000002</v>
      </c>
      <c r="AJ14">
        <f ca="1">IFERROR(IF(0=LEN(ReferenceData!$AJ$14),"",ReferenceData!$AJ$14),"")</f>
        <v>46.51447795</v>
      </c>
      <c r="AK14">
        <f ca="1">IFERROR(IF(0=LEN(ReferenceData!$AK$14),"",ReferenceData!$AK$14),"")</f>
        <v>-1.2657148949999999</v>
      </c>
      <c r="AL14">
        <f ca="1">IFERROR(IF(0=LEN(ReferenceData!$AL$14),"",ReferenceData!$AL$14),"")</f>
        <v>47.053437029999998</v>
      </c>
      <c r="AM14">
        <f ca="1">IFERROR(IF(0=LEN(ReferenceData!$AM$14),"",ReferenceData!$AM$14),"")</f>
        <v>48.74683864</v>
      </c>
      <c r="AN14">
        <f ca="1">IFERROR(IF(0=LEN(ReferenceData!$AN$14),"",ReferenceData!$AN$14),"")</f>
        <v>46.186228579999998</v>
      </c>
      <c r="AO14">
        <f ca="1">IFERROR(IF(0=LEN(ReferenceData!$AO$14),"",ReferenceData!$AO$14),"")</f>
        <v>-2.9088999250000001</v>
      </c>
      <c r="AP14">
        <f ca="1">IFERROR(IF(0=LEN(ReferenceData!$AP$14),"",ReferenceData!$AP$14),"")</f>
        <v>41.638419540000001</v>
      </c>
      <c r="AQ14">
        <f ca="1">IFERROR(IF(0=LEN(ReferenceData!$AQ$14),"",ReferenceData!$AQ$14),"")</f>
        <v>40.865588549999998</v>
      </c>
      <c r="AR14">
        <f ca="1">IFERROR(IF(0=LEN(ReferenceData!$AR$14),"",ReferenceData!$AR$14),"")</f>
        <v>6.6298746770000001</v>
      </c>
      <c r="AS14">
        <f ca="1">IFERROR(IF(0=LEN(ReferenceData!$AS$14),"",ReferenceData!$AS$14),"")</f>
        <v>3.8120183569999999</v>
      </c>
      <c r="AT14">
        <f ca="1">IFERROR(IF(0=LEN(ReferenceData!$AT$14),"",ReferenceData!$AT$14),"")</f>
        <v>46.85156061</v>
      </c>
      <c r="AU14">
        <f ca="1">IFERROR(IF(0=LEN(ReferenceData!$AU$14),"",ReferenceData!$AU$14),"")</f>
        <v>49.584500689999999</v>
      </c>
      <c r="AV14">
        <f ca="1">IFERROR(IF(0=LEN(ReferenceData!$AV$14),"",ReferenceData!$AV$14),"")</f>
        <v>55.171042559999997</v>
      </c>
      <c r="AW14">
        <f ca="1">IFERROR(IF(0=LEN(ReferenceData!$AW$14),"",ReferenceData!$AW$14),"")</f>
        <v>3.4693114060000001</v>
      </c>
      <c r="AX14">
        <f ca="1">IFERROR(IF(0=LEN(ReferenceData!$AX$14),"",ReferenceData!$AX$14),"")</f>
        <v>30.369608419999999</v>
      </c>
      <c r="AY14">
        <f ca="1">IFERROR(IF(0=LEN(ReferenceData!$AY$14),"",ReferenceData!$AY$14),"")</f>
        <v>30.415241229999999</v>
      </c>
      <c r="AZ14">
        <f ca="1">IFERROR(IF(0=LEN(ReferenceData!$AZ$14),"",ReferenceData!$AZ$14),"")</f>
        <v>38.445603560000002</v>
      </c>
      <c r="BA14">
        <f ca="1">IFERROR(IF(0=LEN(ReferenceData!$BA$14),"",ReferenceData!$BA$14),"")</f>
        <v>7.3123907819999996</v>
      </c>
      <c r="BB14">
        <f ca="1">IFERROR(IF(0=LEN(ReferenceData!$BB$14),"",ReferenceData!$BB$14),"")</f>
        <v>3.6968087710000002</v>
      </c>
      <c r="BC14">
        <f ca="1">IFERROR(IF(0=LEN(ReferenceData!$BC$14),"",ReferenceData!$BC$14),"")</f>
        <v>-1.5907745120000001</v>
      </c>
      <c r="BD14">
        <f ca="1">IFERROR(IF(0=LEN(ReferenceData!$BD$14),"",ReferenceData!$BD$14),"")</f>
        <v>-0.68555851700000003</v>
      </c>
      <c r="BE14">
        <f ca="1">IFERROR(IF(0=LEN(ReferenceData!$BE$14),"",ReferenceData!$BE$14),"")</f>
        <v>-2.0026876329999999</v>
      </c>
      <c r="BF14">
        <f ca="1">IFERROR(IF(0=LEN(ReferenceData!$BF$14),"",ReferenceData!$BF$14),"")</f>
        <v>-1.1902505590000001</v>
      </c>
      <c r="BG14">
        <f ca="1">IFERROR(IF(0=LEN(ReferenceData!$BG$14),"",ReferenceData!$BG$14),"")</f>
        <v>3.2243075000000003E-2</v>
      </c>
      <c r="BH14">
        <f ca="1">IFERROR(IF(0=LEN(ReferenceData!$BH$14),"",ReferenceData!$BH$14),"")</f>
        <v>-2.0622623610000002</v>
      </c>
      <c r="BI14">
        <f ca="1">IFERROR(IF(0=LEN(ReferenceData!$BI$14),"",ReferenceData!$BI$14),"")</f>
        <v>-0.85826898299999999</v>
      </c>
      <c r="BJ14">
        <f ca="1">IFERROR(IF(0=LEN(ReferenceData!$BJ$14),"",ReferenceData!$BJ$14),"")</f>
        <v>-0.11718258500000001</v>
      </c>
      <c r="BK14">
        <f ca="1">IFERROR(IF(0=LEN(ReferenceData!$BK$14),"",ReferenceData!$BK$14),"")</f>
        <v>-4.7840786849999999</v>
      </c>
      <c r="BL14">
        <f ca="1">IFERROR(IF(0=LEN(ReferenceData!$BL$14),"",ReferenceData!$BL$14),"")</f>
        <v>-3.9887835159999998</v>
      </c>
      <c r="BM14">
        <f ca="1">IFERROR(IF(0=LEN(ReferenceData!$BM$14),"",ReferenceData!$BM$14),"")</f>
        <v>-2.4039930730000001</v>
      </c>
    </row>
    <row r="15" spans="1:65">
      <c r="A15" t="str">
        <f>IFERROR(IF(0=LEN(ReferenceData!$A$15),"",ReferenceData!$A$15),"")</f>
        <v xml:space="preserve">    Self Storage REITs</v>
      </c>
      <c r="B15" t="str">
        <f>IFERROR(IF(0=LEN(ReferenceData!$B$15),"",ReferenceData!$B$15),"")</f>
        <v>RECFSSSS Index</v>
      </c>
      <c r="C15" t="str">
        <f>IFERROR(IF(0=LEN(ReferenceData!$C$15),"",ReferenceData!$C$15),"")</f>
        <v>PR005</v>
      </c>
      <c r="D15" t="str">
        <f>IFERROR(IF(0=LEN(ReferenceData!$D$15),"",ReferenceData!$D$15),"")</f>
        <v>PX_LAST</v>
      </c>
      <c r="E15" t="str">
        <f>IFERROR(IF(0=LEN(ReferenceData!$E$15),"",ReferenceData!$E$15),"")</f>
        <v>动态</v>
      </c>
      <c r="F15">
        <f ca="1">IFERROR(IF(0=LEN(ReferenceData!$F$15),"",ReferenceData!$F$15),"")</f>
        <v>3.1444771669999998</v>
      </c>
      <c r="G15">
        <f ca="1">IFERROR(IF(0=LEN(ReferenceData!$G$15),"",ReferenceData!$G$15),"")</f>
        <v>3.2630566829999998</v>
      </c>
      <c r="H15">
        <f ca="1">IFERROR(IF(0=LEN(ReferenceData!$H$15),"",ReferenceData!$H$15),"")</f>
        <v>3.8623140199999999</v>
      </c>
      <c r="I15">
        <f ca="1">IFERROR(IF(0=LEN(ReferenceData!$I$15),"",ReferenceData!$I$15),"")</f>
        <v>5.4511473060000002</v>
      </c>
      <c r="J15">
        <f ca="1">IFERROR(IF(0=LEN(ReferenceData!$J$15),"",ReferenceData!$J$15),"")</f>
        <v>5.975880589</v>
      </c>
      <c r="K15">
        <f ca="1">IFERROR(IF(0=LEN(ReferenceData!$K$15),"",ReferenceData!$K$15),"")</f>
        <v>6.060574098</v>
      </c>
      <c r="L15">
        <f ca="1">IFERROR(IF(0=LEN(ReferenceData!$L$15),"",ReferenceData!$L$15),"")</f>
        <v>7.7707933760000003</v>
      </c>
      <c r="M15">
        <f ca="1">IFERROR(IF(0=LEN(ReferenceData!$M$15),"",ReferenceData!$M$15),"")</f>
        <v>11.02214654</v>
      </c>
      <c r="N15">
        <f ca="1">IFERROR(IF(0=LEN(ReferenceData!$N$15),"",ReferenceData!$N$15),"")</f>
        <v>8.9629136739999993</v>
      </c>
      <c r="O15">
        <f ca="1">IFERROR(IF(0=LEN(ReferenceData!$O$15),"",ReferenceData!$O$15),"")</f>
        <v>9.3303355509999992</v>
      </c>
      <c r="P15">
        <f ca="1">IFERROR(IF(0=LEN(ReferenceData!$P$15),"",ReferenceData!$P$15),"")</f>
        <v>9.4222980179999993</v>
      </c>
      <c r="Q15">
        <f ca="1">IFERROR(IF(0=LEN(ReferenceData!$Q$15),"",ReferenceData!$Q$15),"")</f>
        <v>8.9566794870000006</v>
      </c>
      <c r="R15">
        <f ca="1">IFERROR(IF(0=LEN(ReferenceData!$R$15),"",ReferenceData!$R$15),"")</f>
        <v>7.5266118180000001</v>
      </c>
      <c r="S15">
        <f ca="1">IFERROR(IF(0=LEN(ReferenceData!$S$15),"",ReferenceData!$S$15),"")</f>
        <v>8.1562005109999998</v>
      </c>
      <c r="T15">
        <f ca="1">IFERROR(IF(0=LEN(ReferenceData!$T$15),"",ReferenceData!$T$15),"")</f>
        <v>7.9970722209999998</v>
      </c>
      <c r="U15">
        <f ca="1">IFERROR(IF(0=LEN(ReferenceData!$U$15),"",ReferenceData!$U$15),"")</f>
        <v>6.9196273179999999</v>
      </c>
      <c r="V15">
        <f ca="1">IFERROR(IF(0=LEN(ReferenceData!$V$15),"",ReferenceData!$V$15),"")</f>
        <v>8.0220418549999994</v>
      </c>
      <c r="W15">
        <f ca="1">IFERROR(IF(0=LEN(ReferenceData!$W$15),"",ReferenceData!$W$15),"")</f>
        <v>7.9482414160000001</v>
      </c>
      <c r="X15">
        <f ca="1">IFERROR(IF(0=LEN(ReferenceData!$X$15),"",ReferenceData!$X$15),"")</f>
        <v>9.4431459839999992</v>
      </c>
      <c r="Y15">
        <f ca="1">IFERROR(IF(0=LEN(ReferenceData!$Y$15),"",ReferenceData!$Y$15),"")</f>
        <v>9.5980894469999996</v>
      </c>
      <c r="Z15">
        <f ca="1">IFERROR(IF(0=LEN(ReferenceData!$Z$15),"",ReferenceData!$Z$15),"")</f>
        <v>8.9535339240000003</v>
      </c>
      <c r="AA15">
        <f ca="1">IFERROR(IF(0=LEN(ReferenceData!$AA$15),"",ReferenceData!$AA$15),"")</f>
        <v>8.4471832730000003</v>
      </c>
      <c r="AB15">
        <f ca="1">IFERROR(IF(0=LEN(ReferenceData!$AB$15),"",ReferenceData!$AB$15),"")</f>
        <v>8.2387576439999997</v>
      </c>
      <c r="AC15">
        <f ca="1">IFERROR(IF(0=LEN(ReferenceData!$AC$15),"",ReferenceData!$AC$15),"")</f>
        <v>7.0890824080000003</v>
      </c>
      <c r="AD15">
        <f ca="1">IFERROR(IF(0=LEN(ReferenceData!$AD$15),"",ReferenceData!$AD$15),"")</f>
        <v>6.2240038579999997</v>
      </c>
      <c r="AE15">
        <f ca="1">IFERROR(IF(0=LEN(ReferenceData!$AE$15),"",ReferenceData!$AE$15),"")</f>
        <v>8.331184275</v>
      </c>
      <c r="AF15">
        <f ca="1">IFERROR(IF(0=LEN(ReferenceData!$AF$15),"",ReferenceData!$AF$15),"")</f>
        <v>6.6825739840000002</v>
      </c>
      <c r="AG15">
        <f ca="1">IFERROR(IF(0=LEN(ReferenceData!$AG$15),"",ReferenceData!$AG$15),"")</f>
        <v>5.083480024</v>
      </c>
      <c r="AH15">
        <f ca="1">IFERROR(IF(0=LEN(ReferenceData!$AH$15),"",ReferenceData!$AH$15),"")</f>
        <v>4.4147238059999996</v>
      </c>
      <c r="AI15">
        <f ca="1">IFERROR(IF(0=LEN(ReferenceData!$AI$15),"",ReferenceData!$AI$15),"")</f>
        <v>0.99893303700000002</v>
      </c>
      <c r="AJ15">
        <f ca="1">IFERROR(IF(0=LEN(ReferenceData!$AJ$15),"",ReferenceData!$AJ$15),"")</f>
        <v>-0.68369603999999995</v>
      </c>
      <c r="AK15">
        <f ca="1">IFERROR(IF(0=LEN(ReferenceData!$AK$15),"",ReferenceData!$AK$15),"")</f>
        <v>-2.7249652059999998</v>
      </c>
      <c r="AL15">
        <f ca="1">IFERROR(IF(0=LEN(ReferenceData!$AL$15),"",ReferenceData!$AL$15),"")</f>
        <v>-4.2756119669999997</v>
      </c>
      <c r="AM15">
        <f ca="1">IFERROR(IF(0=LEN(ReferenceData!$AM$15),"",ReferenceData!$AM$15),"")</f>
        <v>-5.7656736899999999</v>
      </c>
      <c r="AN15">
        <f ca="1">IFERROR(IF(0=LEN(ReferenceData!$AN$15),"",ReferenceData!$AN$15),"")</f>
        <v>-3.9992564929999999</v>
      </c>
      <c r="AO15">
        <f ca="1">IFERROR(IF(0=LEN(ReferenceData!$AO$15),"",ReferenceData!$AO$15),"")</f>
        <v>-1.586413125</v>
      </c>
      <c r="AP15">
        <f ca="1">IFERROR(IF(0=LEN(ReferenceData!$AP$15),"",ReferenceData!$AP$15),"")</f>
        <v>2.7564201380000002</v>
      </c>
      <c r="AQ15">
        <f ca="1">IFERROR(IF(0=LEN(ReferenceData!$AQ$15),"",ReferenceData!$AQ$15),"")</f>
        <v>3.2765053069999999</v>
      </c>
      <c r="AR15">
        <f ca="1">IFERROR(IF(0=LEN(ReferenceData!$AR$15),"",ReferenceData!$AR$15),"")</f>
        <v>3.4510842230000001</v>
      </c>
      <c r="AS15">
        <f ca="1">IFERROR(IF(0=LEN(ReferenceData!$AS$15),"",ReferenceData!$AS$15),"")</f>
        <v>1.842383318</v>
      </c>
      <c r="AT15">
        <f ca="1">IFERROR(IF(0=LEN(ReferenceData!$AT$15),"",ReferenceData!$AT$15),"")</f>
        <v>5.1434311580000003</v>
      </c>
      <c r="AU15">
        <f ca="1">IFERROR(IF(0=LEN(ReferenceData!$AU$15),"",ReferenceData!$AU$15),"")</f>
        <v>2.241348618</v>
      </c>
      <c r="AV15">
        <f ca="1">IFERROR(IF(0=LEN(ReferenceData!$AV$15),"",ReferenceData!$AV$15),"")</f>
        <v>1.872510482</v>
      </c>
      <c r="AW15">
        <f ca="1">IFERROR(IF(0=LEN(ReferenceData!$AW$15),"",ReferenceData!$AW$15),"")</f>
        <v>2.9599535690000001</v>
      </c>
      <c r="AX15">
        <f ca="1">IFERROR(IF(0=LEN(ReferenceData!$AX$15),"",ReferenceData!$AX$15),"")</f>
        <v>2.4842778399999998</v>
      </c>
      <c r="AY15">
        <f ca="1">IFERROR(IF(0=LEN(ReferenceData!$AY$15),"",ReferenceData!$AY$15),"")</f>
        <v>5.3460928900000004</v>
      </c>
      <c r="AZ15">
        <f ca="1">IFERROR(IF(0=LEN(ReferenceData!$AZ$15),"",ReferenceData!$AZ$15),"")</f>
        <v>6.9350540580000004</v>
      </c>
      <c r="BA15">
        <f ca="1">IFERROR(IF(0=LEN(ReferenceData!$BA$15),"",ReferenceData!$BA$15),"")</f>
        <v>8.7080709249999995</v>
      </c>
      <c r="BB15">
        <f ca="1">IFERROR(IF(0=LEN(ReferenceData!$BB$15),"",ReferenceData!$BB$15),"")</f>
        <v>9.1932489890000006</v>
      </c>
      <c r="BC15">
        <f ca="1">IFERROR(IF(0=LEN(ReferenceData!$BC$15),"",ReferenceData!$BC$15),"")</f>
        <v>7.161527939</v>
      </c>
      <c r="BD15">
        <f ca="1">IFERROR(IF(0=LEN(ReferenceData!$BD$15),"",ReferenceData!$BD$15),"")</f>
        <v>7.3145800080000001</v>
      </c>
      <c r="BE15">
        <f ca="1">IFERROR(IF(0=LEN(ReferenceData!$BE$15),"",ReferenceData!$BE$15),"")</f>
        <v>6.390663945</v>
      </c>
      <c r="BF15">
        <f ca="1">IFERROR(IF(0=LEN(ReferenceData!$BF$15),"",ReferenceData!$BF$15),"")</f>
        <v>6.2193501749999998</v>
      </c>
      <c r="BG15">
        <f ca="1">IFERROR(IF(0=LEN(ReferenceData!$BG$15),"",ReferenceData!$BG$15),"")</f>
        <v>5.1653817929999999</v>
      </c>
      <c r="BH15">
        <f ca="1">IFERROR(IF(0=LEN(ReferenceData!$BH$15),"",ReferenceData!$BH$15),"")</f>
        <v>6.7841558260000001</v>
      </c>
      <c r="BI15">
        <f ca="1">IFERROR(IF(0=LEN(ReferenceData!$BI$15),"",ReferenceData!$BI$15),"")</f>
        <v>4.5324196099999998</v>
      </c>
      <c r="BJ15">
        <f ca="1">IFERROR(IF(0=LEN(ReferenceData!$BJ$15),"",ReferenceData!$BJ$15),"")</f>
        <v>5.698919761</v>
      </c>
      <c r="BK15">
        <f ca="1">IFERROR(IF(0=LEN(ReferenceData!$BK$15),"",ReferenceData!$BK$15),"")</f>
        <v>0.45320447600000002</v>
      </c>
      <c r="BL15">
        <f ca="1">IFERROR(IF(0=LEN(ReferenceData!$BL$15),"",ReferenceData!$BL$15),"")</f>
        <v>-2.1534075239999999</v>
      </c>
      <c r="BM15">
        <f ca="1">IFERROR(IF(0=LEN(ReferenceData!$BM$15),"",ReferenceData!$BM$15),"")</f>
        <v>-4.2544466119999997</v>
      </c>
    </row>
    <row r="16" spans="1:65">
      <c r="A16" t="str">
        <f>IFERROR(IF(0=LEN(ReferenceData!$A$16),"",ReferenceData!$A$16),"")</f>
        <v xml:space="preserve">    Health Care REITs</v>
      </c>
      <c r="B16" t="str">
        <f>IFERROR(IF(0=LEN(ReferenceData!$B$16),"",ReferenceData!$B$16),"")</f>
        <v>RECFSSHC Index</v>
      </c>
      <c r="C16" t="str">
        <f>IFERROR(IF(0=LEN(ReferenceData!$C$16),"",ReferenceData!$C$16),"")</f>
        <v>PR005</v>
      </c>
      <c r="D16" t="str">
        <f>IFERROR(IF(0=LEN(ReferenceData!$D$16),"",ReferenceData!$D$16),"")</f>
        <v>PX_LAST</v>
      </c>
      <c r="E16" t="str">
        <f>IFERROR(IF(0=LEN(ReferenceData!$E$16),"",ReferenceData!$E$16),"")</f>
        <v>动态</v>
      </c>
      <c r="F16">
        <f ca="1">IFERROR(IF(0=LEN(ReferenceData!$F$16),"",ReferenceData!$F$16),"")</f>
        <v>2.0788181259999998</v>
      </c>
      <c r="G16">
        <f ca="1">IFERROR(IF(0=LEN(ReferenceData!$G$16),"",ReferenceData!$G$16),"")</f>
        <v>1.9553645589999999</v>
      </c>
      <c r="H16">
        <f ca="1">IFERROR(IF(0=LEN(ReferenceData!$H$16),"",ReferenceData!$H$16),"")</f>
        <v>1.8331075509999999</v>
      </c>
      <c r="I16">
        <f ca="1">IFERROR(IF(0=LEN(ReferenceData!$I$16),"",ReferenceData!$I$16),"")</f>
        <v>2.6336127349999998</v>
      </c>
      <c r="J16">
        <f ca="1">IFERROR(IF(0=LEN(ReferenceData!$J$16),"",ReferenceData!$J$16),"")</f>
        <v>2.3077531819999999</v>
      </c>
      <c r="K16">
        <f ca="1">IFERROR(IF(0=LEN(ReferenceData!$K$16),"",ReferenceData!$K$16),"")</f>
        <v>2.4916117010000001</v>
      </c>
      <c r="L16">
        <f ca="1">IFERROR(IF(0=LEN(ReferenceData!$L$16),"",ReferenceData!$L$16),"")</f>
        <v>3.2355277999999998</v>
      </c>
      <c r="M16">
        <f ca="1">IFERROR(IF(0=LEN(ReferenceData!$M$16),"",ReferenceData!$M$16),"")</f>
        <v>1.6954389240000001</v>
      </c>
      <c r="N16">
        <f ca="1">IFERROR(IF(0=LEN(ReferenceData!$N$16),"",ReferenceData!$N$16),"")</f>
        <v>1.2561532950000001</v>
      </c>
      <c r="O16">
        <f ca="1">IFERROR(IF(0=LEN(ReferenceData!$O$16),"",ReferenceData!$O$16),"")</f>
        <v>1.970905804</v>
      </c>
      <c r="P16">
        <f ca="1">IFERROR(IF(0=LEN(ReferenceData!$P$16),"",ReferenceData!$P$16),"")</f>
        <v>1.537237915</v>
      </c>
      <c r="Q16">
        <f ca="1">IFERROR(IF(0=LEN(ReferenceData!$Q$16),"",ReferenceData!$Q$16),"")</f>
        <v>3.1382668119999999</v>
      </c>
      <c r="R16">
        <f ca="1">IFERROR(IF(0=LEN(ReferenceData!$R$16),"",ReferenceData!$R$16),"")</f>
        <v>3.3944676139999999</v>
      </c>
      <c r="S16">
        <f ca="1">IFERROR(IF(0=LEN(ReferenceData!$S$16),"",ReferenceData!$S$16),"")</f>
        <v>3.5435120850000001</v>
      </c>
      <c r="T16">
        <f ca="1">IFERROR(IF(0=LEN(ReferenceData!$T$16),"",ReferenceData!$T$16),"")</f>
        <v>3.5840971800000001</v>
      </c>
      <c r="U16">
        <f ca="1">IFERROR(IF(0=LEN(ReferenceData!$U$16),"",ReferenceData!$U$16),"")</f>
        <v>3.725343826</v>
      </c>
      <c r="V16">
        <f ca="1">IFERROR(IF(0=LEN(ReferenceData!$V$16),"",ReferenceData!$V$16),"")</f>
        <v>3.457972405</v>
      </c>
      <c r="W16">
        <f ca="1">IFERROR(IF(0=LEN(ReferenceData!$W$16),"",ReferenceData!$W$16),"")</f>
        <v>3.3590902909999998</v>
      </c>
      <c r="X16">
        <f ca="1">IFERROR(IF(0=LEN(ReferenceData!$X$16),"",ReferenceData!$X$16),"")</f>
        <v>3.0166877140000001</v>
      </c>
      <c r="Y16">
        <f ca="1">IFERROR(IF(0=LEN(ReferenceData!$Y$16),"",ReferenceData!$Y$16),"")</f>
        <v>2.554338644</v>
      </c>
      <c r="Z16">
        <f ca="1">IFERROR(IF(0=LEN(ReferenceData!$Z$16),"",ReferenceData!$Z$16),"")</f>
        <v>4.0625595040000002</v>
      </c>
      <c r="AA16">
        <f ca="1">IFERROR(IF(0=LEN(ReferenceData!$AA$16),"",ReferenceData!$AA$16),"")</f>
        <v>3.598590459</v>
      </c>
      <c r="AB16">
        <f ca="1">IFERROR(IF(0=LEN(ReferenceData!$AB$16),"",ReferenceData!$AB$16),"")</f>
        <v>2.9983022880000001</v>
      </c>
      <c r="AC16">
        <f ca="1">IFERROR(IF(0=LEN(ReferenceData!$AC$16),"",ReferenceData!$AC$16),"")</f>
        <v>4.107885392</v>
      </c>
      <c r="AD16">
        <f ca="1">IFERROR(IF(0=LEN(ReferenceData!$AD$16),"",ReferenceData!$AD$16),"")</f>
        <v>2.9506705759999998</v>
      </c>
      <c r="AE16">
        <f ca="1">IFERROR(IF(0=LEN(ReferenceData!$AE$16),"",ReferenceData!$AE$16),"")</f>
        <v>3.718062465</v>
      </c>
      <c r="AF16">
        <f ca="1">IFERROR(IF(0=LEN(ReferenceData!$AF$16),"",ReferenceData!$AF$16),"")</f>
        <v>3.258686435</v>
      </c>
      <c r="AG16">
        <f ca="1">IFERROR(IF(0=LEN(ReferenceData!$AG$16),"",ReferenceData!$AG$16),"")</f>
        <v>4.7056443889999997</v>
      </c>
      <c r="AH16">
        <f ca="1">IFERROR(IF(0=LEN(ReferenceData!$AH$16),"",ReferenceData!$AH$16),"")</f>
        <v>5.6141905650000004</v>
      </c>
      <c r="AI16">
        <f ca="1">IFERROR(IF(0=LEN(ReferenceData!$AI$16),"",ReferenceData!$AI$16),"")</f>
        <v>5.1655843859999999</v>
      </c>
      <c r="AJ16">
        <f ca="1">IFERROR(IF(0=LEN(ReferenceData!$AJ$16),"",ReferenceData!$AJ$16),"")</f>
        <v>5.7038993170000003</v>
      </c>
      <c r="AK16">
        <f ca="1">IFERROR(IF(0=LEN(ReferenceData!$AK$16),"",ReferenceData!$AK$16),"")</f>
        <v>3.7130456519999999</v>
      </c>
      <c r="AL16">
        <f ca="1">IFERROR(IF(0=LEN(ReferenceData!$AL$16),"",ReferenceData!$AL$16),"")</f>
        <v>2.2978087600000001</v>
      </c>
      <c r="AM16">
        <f ca="1">IFERROR(IF(0=LEN(ReferenceData!$AM$16),"",ReferenceData!$AM$16),"")</f>
        <v>3.3280920909999998</v>
      </c>
      <c r="AN16">
        <f ca="1">IFERROR(IF(0=LEN(ReferenceData!$AN$16),"",ReferenceData!$AN$16),"")</f>
        <v>4.6756319619999998</v>
      </c>
      <c r="AO16">
        <f ca="1">IFERROR(IF(0=LEN(ReferenceData!$AO$16),"",ReferenceData!$AO$16),"")</f>
        <v>2.9697423590000001</v>
      </c>
      <c r="AP16">
        <f ca="1">IFERROR(IF(0=LEN(ReferenceData!$AP$16),"",ReferenceData!$AP$16),"")</f>
        <v>0</v>
      </c>
      <c r="AQ16">
        <f ca="1">IFERROR(IF(0=LEN(ReferenceData!$AQ$16),"",ReferenceData!$AQ$16),"")</f>
        <v>0</v>
      </c>
      <c r="AR16">
        <f ca="1">IFERROR(IF(0=LEN(ReferenceData!$AR$16),"",ReferenceData!$AR$16),"")</f>
        <v>0</v>
      </c>
      <c r="AS16">
        <f ca="1">IFERROR(IF(0=LEN(ReferenceData!$AS$16),"",ReferenceData!$AS$16),"")</f>
        <v>2.3259606719999999</v>
      </c>
      <c r="AT16">
        <f ca="1">IFERROR(IF(0=LEN(ReferenceData!$AT$16),"",ReferenceData!$AT$16),"")</f>
        <v>0</v>
      </c>
      <c r="AU16">
        <f ca="1">IFERROR(IF(0=LEN(ReferenceData!$AU$16),"",ReferenceData!$AU$16),"")</f>
        <v>0</v>
      </c>
      <c r="AV16">
        <f ca="1">IFERROR(IF(0=LEN(ReferenceData!$AV$16),"",ReferenceData!$AV$16),"")</f>
        <v>0</v>
      </c>
      <c r="AW16">
        <f ca="1">IFERROR(IF(0=LEN(ReferenceData!$AW$16),"",ReferenceData!$AW$16),"")</f>
        <v>3.433277479</v>
      </c>
      <c r="AX16">
        <f ca="1">IFERROR(IF(0=LEN(ReferenceData!$AX$16),"",ReferenceData!$AX$16),"")</f>
        <v>0</v>
      </c>
      <c r="AY16">
        <f ca="1">IFERROR(IF(0=LEN(ReferenceData!$AY$16),"",ReferenceData!$AY$16),"")</f>
        <v>0</v>
      </c>
      <c r="AZ16">
        <f ca="1">IFERROR(IF(0=LEN(ReferenceData!$AZ$16),"",ReferenceData!$AZ$16),"")</f>
        <v>0</v>
      </c>
      <c r="BA16">
        <f ca="1">IFERROR(IF(0=LEN(ReferenceData!$BA$16),"",ReferenceData!$BA$16),"")</f>
        <v>1.7399090939999999</v>
      </c>
      <c r="BB16">
        <f ca="1">IFERROR(IF(0=LEN(ReferenceData!$BB$16),"",ReferenceData!$BB$16),"")</f>
        <v>0</v>
      </c>
      <c r="BC16">
        <f ca="1">IFERROR(IF(0=LEN(ReferenceData!$BC$16),"",ReferenceData!$BC$16),"")</f>
        <v>0</v>
      </c>
      <c r="BD16">
        <f ca="1">IFERROR(IF(0=LEN(ReferenceData!$BD$16),"",ReferenceData!$BD$16),"")</f>
        <v>0</v>
      </c>
      <c r="BE16">
        <f ca="1">IFERROR(IF(0=LEN(ReferenceData!$BE$16),"",ReferenceData!$BE$16),"")</f>
        <v>0</v>
      </c>
      <c r="BF16">
        <f ca="1">IFERROR(IF(0=LEN(ReferenceData!$BF$16),"",ReferenceData!$BF$16),"")</f>
        <v>0</v>
      </c>
      <c r="BG16">
        <f ca="1">IFERROR(IF(0=LEN(ReferenceData!$BG$16),"",ReferenceData!$BG$16),"")</f>
        <v>0</v>
      </c>
      <c r="BH16">
        <f ca="1">IFERROR(IF(0=LEN(ReferenceData!$BH$16),"",ReferenceData!$BH$16),"")</f>
        <v>0</v>
      </c>
      <c r="BI16">
        <f ca="1">IFERROR(IF(0=LEN(ReferenceData!$BI$16),"",ReferenceData!$BI$16),"")</f>
        <v>0</v>
      </c>
      <c r="BJ16">
        <f ca="1">IFERROR(IF(0=LEN(ReferenceData!$BJ$16),"",ReferenceData!$BJ$16),"")</f>
        <v>0</v>
      </c>
      <c r="BK16">
        <f ca="1">IFERROR(IF(0=LEN(ReferenceData!$BK$16),"",ReferenceData!$BK$16),"")</f>
        <v>0</v>
      </c>
      <c r="BL16">
        <f ca="1">IFERROR(IF(0=LEN(ReferenceData!$BL$16),"",ReferenceData!$BL$16),"")</f>
        <v>0</v>
      </c>
      <c r="BM16">
        <f ca="1">IFERROR(IF(0=LEN(ReferenceData!$BM$16),"",ReferenceData!$BM$16),"")</f>
        <v>0</v>
      </c>
    </row>
    <row r="17" spans="1:65">
      <c r="A17" t="str">
        <f>IFERROR(IF(0=LEN(ReferenceData!$A$17),"",ReferenceData!$A$17),"")</f>
        <v xml:space="preserve">    Data Center REITs</v>
      </c>
      <c r="B17" t="str">
        <f>IFERROR(IF(0=LEN(ReferenceData!$B$17),"",ReferenceData!$B$17),"")</f>
        <v>RECFSSDC Index</v>
      </c>
      <c r="C17" t="str">
        <f>IFERROR(IF(0=LEN(ReferenceData!$C$17),"",ReferenceData!$C$17),"")</f>
        <v>PR005</v>
      </c>
      <c r="D17" t="str">
        <f>IFERROR(IF(0=LEN(ReferenceData!$D$17),"",ReferenceData!$D$17),"")</f>
        <v>PX_LAST</v>
      </c>
      <c r="E17" t="str">
        <f>IFERROR(IF(0=LEN(ReferenceData!$E$17),"",ReferenceData!$E$17),"")</f>
        <v>动态</v>
      </c>
      <c r="F17">
        <f ca="1">IFERROR(IF(0=LEN(ReferenceData!$F$17),"",ReferenceData!$F$17),"")</f>
        <v>2.0695687700000001</v>
      </c>
      <c r="G17">
        <f ca="1">IFERROR(IF(0=LEN(ReferenceData!$G$17),"",ReferenceData!$G$17),"")</f>
        <v>4.1626957640000004</v>
      </c>
      <c r="H17">
        <f ca="1">IFERROR(IF(0=LEN(ReferenceData!$H$17),"",ReferenceData!$H$17),"")</f>
        <v>5.7574372739999999</v>
      </c>
      <c r="I17">
        <f ca="1">IFERROR(IF(0=LEN(ReferenceData!$I$17),"",ReferenceData!$I$17),"")</f>
        <v>8.0152150899999999</v>
      </c>
      <c r="J17">
        <f ca="1">IFERROR(IF(0=LEN(ReferenceData!$J$17),"",ReferenceData!$J$17),"")</f>
        <v>5.2489190729999997</v>
      </c>
      <c r="K17">
        <f ca="1">IFERROR(IF(0=LEN(ReferenceData!$K$17),"",ReferenceData!$K$17),"")</f>
        <v>4.5095004799999998</v>
      </c>
      <c r="L17">
        <f ca="1">IFERROR(IF(0=LEN(ReferenceData!$L$17),"",ReferenceData!$L$17),"")</f>
        <v>7.1979277770000003</v>
      </c>
      <c r="M17">
        <f ca="1">IFERROR(IF(0=LEN(ReferenceData!$M$17),"",ReferenceData!$M$17),"")</f>
        <v>6.3137934260000002</v>
      </c>
      <c r="N17">
        <f ca="1">IFERROR(IF(0=LEN(ReferenceData!$N$17),"",ReferenceData!$N$17),"")</f>
        <v>3.973795859</v>
      </c>
      <c r="O17">
        <f ca="1">IFERROR(IF(0=LEN(ReferenceData!$O$17),"",ReferenceData!$O$17),"")</f>
        <v>5.7409270660000002</v>
      </c>
      <c r="P17">
        <f ca="1">IFERROR(IF(0=LEN(ReferenceData!$P$17),"",ReferenceData!$P$17),"")</f>
        <v>5.3747123700000001</v>
      </c>
      <c r="Q17">
        <f ca="1">IFERROR(IF(0=LEN(ReferenceData!$Q$17),"",ReferenceData!$Q$17),"")</f>
        <v>6.3150458199999999</v>
      </c>
      <c r="R17">
        <f ca="1">IFERROR(IF(0=LEN(ReferenceData!$R$17),"",ReferenceData!$R$17),"")</f>
        <v>11.21359064</v>
      </c>
      <c r="S17">
        <f ca="1">IFERROR(IF(0=LEN(ReferenceData!$S$17),"",ReferenceData!$S$17),"")</f>
        <v>13.636901959999999</v>
      </c>
      <c r="T17">
        <f ca="1">IFERROR(IF(0=LEN(ReferenceData!$T$17),"",ReferenceData!$T$17),"")</f>
        <v>11.56334485</v>
      </c>
      <c r="U17">
        <f ca="1">IFERROR(IF(0=LEN(ReferenceData!$U$17),"",ReferenceData!$U$17),"")</f>
        <v>10.70225329</v>
      </c>
      <c r="V17">
        <f ca="1">IFERROR(IF(0=LEN(ReferenceData!$V$17),"",ReferenceData!$V$17),"")</f>
        <v>12.22483463</v>
      </c>
      <c r="W17">
        <f ca="1">IFERROR(IF(0=LEN(ReferenceData!$W$17),"",ReferenceData!$W$17),"")</f>
        <v>7.1068024400000001</v>
      </c>
      <c r="X17">
        <f ca="1">IFERROR(IF(0=LEN(ReferenceData!$X$17),"",ReferenceData!$X$17),"")</f>
        <v>9.4937895900000004</v>
      </c>
      <c r="Y17">
        <f ca="1">IFERROR(IF(0=LEN(ReferenceData!$Y$17),"",ReferenceData!$Y$17),"")</f>
        <v>6.5733113669999996</v>
      </c>
      <c r="Z17">
        <f ca="1">IFERROR(IF(0=LEN(ReferenceData!$Z$17),"",ReferenceData!$Z$17),"")</f>
        <v>3.4737193309999999</v>
      </c>
      <c r="AA17">
        <f ca="1">IFERROR(IF(0=LEN(ReferenceData!$AA$17),"",ReferenceData!$AA$17),"")</f>
        <v>7.6454105569999999</v>
      </c>
      <c r="AB17">
        <f ca="1">IFERROR(IF(0=LEN(ReferenceData!$AB$17),"",ReferenceData!$AB$17),"")</f>
        <v>7.927266393</v>
      </c>
      <c r="AC17">
        <f ca="1">IFERROR(IF(0=LEN(ReferenceData!$AC$17),"",ReferenceData!$AC$17),"")</f>
        <v>8.4383743990000006</v>
      </c>
      <c r="AD17">
        <f ca="1">IFERROR(IF(0=LEN(ReferenceData!$AD$17),"",ReferenceData!$AD$17),"")</f>
        <v>6.1145603499999996</v>
      </c>
      <c r="AE17">
        <f ca="1">IFERROR(IF(0=LEN(ReferenceData!$AE$17),"",ReferenceData!$AE$17),"")</f>
        <v>9.7546873709999993</v>
      </c>
      <c r="AF17">
        <f ca="1">IFERROR(IF(0=LEN(ReferenceData!$AF$17),"",ReferenceData!$AF$17),"")</f>
        <v>10.229850860000001</v>
      </c>
      <c r="AG17">
        <f ca="1">IFERROR(IF(0=LEN(ReferenceData!$AG$17),"",ReferenceData!$AG$17),"")</f>
        <v>10.215110429999999</v>
      </c>
      <c r="AH17">
        <f ca="1">IFERROR(IF(0=LEN(ReferenceData!$AH$17),"",ReferenceData!$AH$17),"")</f>
        <v>12.038579390000001</v>
      </c>
      <c r="AI17">
        <f ca="1">IFERROR(IF(0=LEN(ReferenceData!$AI$17),"",ReferenceData!$AI$17),"")</f>
        <v>10.014456279999999</v>
      </c>
      <c r="AJ17">
        <f ca="1">IFERROR(IF(0=LEN(ReferenceData!$AJ$17),"",ReferenceData!$AJ$17),"")</f>
        <v>15.516056730000001</v>
      </c>
      <c r="AK17">
        <f ca="1">IFERROR(IF(0=LEN(ReferenceData!$AK$17),"",ReferenceData!$AK$17),"")</f>
        <v>21.818777369999999</v>
      </c>
      <c r="AL17">
        <f ca="1">IFERROR(IF(0=LEN(ReferenceData!$AL$17),"",ReferenceData!$AL$17),"")</f>
        <v>19.511655439999998</v>
      </c>
      <c r="AM17">
        <f ca="1">IFERROR(IF(0=LEN(ReferenceData!$AM$17),"",ReferenceData!$AM$17),"")</f>
        <v>28.61720996</v>
      </c>
      <c r="AN17">
        <f ca="1">IFERROR(IF(0=LEN(ReferenceData!$AN$17),"",ReferenceData!$AN$17),"")</f>
        <v>28.2717475</v>
      </c>
      <c r="AO17">
        <f ca="1">IFERROR(IF(0=LEN(ReferenceData!$AO$17),"",ReferenceData!$AO$17),"")</f>
        <v>28.12177222</v>
      </c>
      <c r="AP17">
        <f ca="1">IFERROR(IF(0=LEN(ReferenceData!$AP$17),"",ReferenceData!$AP$17),"")</f>
        <v>23.676570210000001</v>
      </c>
      <c r="AQ17">
        <f ca="1">IFERROR(IF(0=LEN(ReferenceData!$AQ$17),"",ReferenceData!$AQ$17),"")</f>
        <v>15.201365969999999</v>
      </c>
      <c r="AR17">
        <f ca="1">IFERROR(IF(0=LEN(ReferenceData!$AR$17),"",ReferenceData!$AR$17),"")</f>
        <v>16.363942430000002</v>
      </c>
      <c r="AS17">
        <f ca="1">IFERROR(IF(0=LEN(ReferenceData!$AS$17),"",ReferenceData!$AS$17),"")</f>
        <v>17.2815534</v>
      </c>
      <c r="AT17">
        <f ca="1">IFERROR(IF(0=LEN(ReferenceData!$AT$17),"",ReferenceData!$AT$17),"")</f>
        <v>13.910761150000001</v>
      </c>
      <c r="AU17">
        <f ca="1">IFERROR(IF(0=LEN(ReferenceData!$AU$17),"",ReferenceData!$AU$17),"")</f>
        <v>14.606741570000001</v>
      </c>
      <c r="AV17">
        <f ca="1">IFERROR(IF(0=LEN(ReferenceData!$AV$17),"",ReferenceData!$AV$17),"")</f>
        <v>16.27877106</v>
      </c>
      <c r="AW17">
        <f ca="1">IFERROR(IF(0=LEN(ReferenceData!$AW$17),"",ReferenceData!$AW$17),"")</f>
        <v>15.44463</v>
      </c>
      <c r="AX17">
        <f ca="1">IFERROR(IF(0=LEN(ReferenceData!$AX$17),"",ReferenceData!$AX$17),"")</f>
        <v>15.463605019999999</v>
      </c>
      <c r="AY17">
        <f ca="1">IFERROR(IF(0=LEN(ReferenceData!$AY$17),"",ReferenceData!$AY$17),"")</f>
        <v>9.6107604450000004</v>
      </c>
      <c r="AZ17">
        <f ca="1">IFERROR(IF(0=LEN(ReferenceData!$AZ$17),"",ReferenceData!$AZ$17),"")</f>
        <v>7.3445479120000003</v>
      </c>
      <c r="BA17">
        <f ca="1">IFERROR(IF(0=LEN(ReferenceData!$BA$17),"",ReferenceData!$BA$17),"")</f>
        <v>0.46582128699999997</v>
      </c>
      <c r="BB17">
        <f ca="1">IFERROR(IF(0=LEN(ReferenceData!$BB$17),"",ReferenceData!$BB$17),"")</f>
        <v>0</v>
      </c>
      <c r="BC17">
        <f ca="1">IFERROR(IF(0=LEN(ReferenceData!$BC$17),"",ReferenceData!$BC$17),"")</f>
        <v>0</v>
      </c>
      <c r="BD17">
        <f ca="1">IFERROR(IF(0=LEN(ReferenceData!$BD$17),"",ReferenceData!$BD$17),"")</f>
        <v>0</v>
      </c>
      <c r="BE17">
        <f ca="1">IFERROR(IF(0=LEN(ReferenceData!$BE$17),"",ReferenceData!$BE$17),"")</f>
        <v>0</v>
      </c>
      <c r="BF17">
        <f ca="1">IFERROR(IF(0=LEN(ReferenceData!$BF$17),"",ReferenceData!$BF$17),"")</f>
        <v>0</v>
      </c>
      <c r="BG17">
        <f ca="1">IFERROR(IF(0=LEN(ReferenceData!$BG$17),"",ReferenceData!$BG$17),"")</f>
        <v>0</v>
      </c>
      <c r="BH17">
        <f ca="1">IFERROR(IF(0=LEN(ReferenceData!$BH$17),"",ReferenceData!$BH$17),"")</f>
        <v>0</v>
      </c>
      <c r="BI17">
        <f ca="1">IFERROR(IF(0=LEN(ReferenceData!$BI$17),"",ReferenceData!$BI$17),"")</f>
        <v>0</v>
      </c>
      <c r="BJ17">
        <f ca="1">IFERROR(IF(0=LEN(ReferenceData!$BJ$17),"",ReferenceData!$BJ$17),"")</f>
        <v>0</v>
      </c>
      <c r="BK17">
        <f ca="1">IFERROR(IF(0=LEN(ReferenceData!$BK$17),"",ReferenceData!$BK$17),"")</f>
        <v>0</v>
      </c>
      <c r="BL17">
        <f ca="1">IFERROR(IF(0=LEN(ReferenceData!$BL$17),"",ReferenceData!$BL$17),"")</f>
        <v>0</v>
      </c>
      <c r="BM17">
        <f ca="1">IFERROR(IF(0=LEN(ReferenceData!$BM$17),"",ReferenceData!$BM$17),"")</f>
        <v>0</v>
      </c>
    </row>
    <row r="18" spans="1:65">
      <c r="A18" t="str">
        <f>IFERROR(IF(0=LEN(ReferenceData!$A$18),"",ReferenceData!$A$18),"")</f>
        <v>总营运现金流-所有房地产投资信托</v>
      </c>
      <c r="B18" t="str">
        <f>IFERROR(IF(0=LEN(ReferenceData!$B$18),"",ReferenceData!$B$18),"")</f>
        <v>RECFFOEQ Index</v>
      </c>
      <c r="C18" t="str">
        <f>IFERROR(IF(0=LEN(ReferenceData!$C$18),"",ReferenceData!$C$18),"")</f>
        <v>PR005</v>
      </c>
      <c r="D18" t="str">
        <f>IFERROR(IF(0=LEN(ReferenceData!$D$18),"",ReferenceData!$D$18),"")</f>
        <v>PX_LAST</v>
      </c>
      <c r="E18" t="str">
        <f>IFERROR(IF(0=LEN(ReferenceData!$E$18),"",ReferenceData!$E$18),"")</f>
        <v>动态</v>
      </c>
      <c r="F18">
        <f ca="1">IFERROR(IF(0=LEN(ReferenceData!$F$18),"",ReferenceData!$F$18),"")</f>
        <v>15132.375760000001</v>
      </c>
      <c r="G18">
        <f ca="1">IFERROR(IF(0=LEN(ReferenceData!$G$18),"",ReferenceData!$G$18),"")</f>
        <v>14668.218999999999</v>
      </c>
      <c r="H18">
        <f ca="1">IFERROR(IF(0=LEN(ReferenceData!$H$18),"",ReferenceData!$H$18),"")</f>
        <v>15491.055</v>
      </c>
      <c r="I18">
        <f ca="1">IFERROR(IF(0=LEN(ReferenceData!$I$18),"",ReferenceData!$I$18),"")</f>
        <v>14433.258</v>
      </c>
      <c r="J18">
        <f ca="1">IFERROR(IF(0=LEN(ReferenceData!$J$18),"",ReferenceData!$J$18),"")</f>
        <v>14922.713</v>
      </c>
      <c r="K18">
        <f ca="1">IFERROR(IF(0=LEN(ReferenceData!$K$18),"",ReferenceData!$K$18),"")</f>
        <v>13728.071</v>
      </c>
      <c r="L18">
        <f ca="1">IFERROR(IF(0=LEN(ReferenceData!$L$18),"",ReferenceData!$L$18),"")</f>
        <v>14504.594999999999</v>
      </c>
      <c r="M18">
        <f ca="1">IFERROR(IF(0=LEN(ReferenceData!$M$18),"",ReferenceData!$M$18),"")</f>
        <v>13265.689</v>
      </c>
      <c r="N18">
        <f ca="1">IFERROR(IF(0=LEN(ReferenceData!$N$18),"",ReferenceData!$N$18),"")</f>
        <v>12223.442999999999</v>
      </c>
      <c r="O18">
        <f ca="1">IFERROR(IF(0=LEN(ReferenceData!$O$18),"",ReferenceData!$O$18),"")</f>
        <v>13336.981</v>
      </c>
      <c r="P18">
        <f ca="1">IFERROR(IF(0=LEN(ReferenceData!$P$18),"",ReferenceData!$P$18),"")</f>
        <v>13088.156999999999</v>
      </c>
      <c r="Q18">
        <f ca="1">IFERROR(IF(0=LEN(ReferenceData!$Q$18),"",ReferenceData!$Q$18),"")</f>
        <v>11254.749</v>
      </c>
      <c r="R18">
        <f ca="1">IFERROR(IF(0=LEN(ReferenceData!$R$18),"",ReferenceData!$R$18),"")</f>
        <v>11456.223</v>
      </c>
      <c r="S18">
        <f ca="1">IFERROR(IF(0=LEN(ReferenceData!$S$18),"",ReferenceData!$S$18),"")</f>
        <v>11308.843999999999</v>
      </c>
      <c r="T18">
        <f ca="1">IFERROR(IF(0=LEN(ReferenceData!$T$18),"",ReferenceData!$T$18),"")</f>
        <v>10606.130999999999</v>
      </c>
      <c r="U18">
        <f ca="1">IFERROR(IF(0=LEN(ReferenceData!$U$18),"",ReferenceData!$U$18),"")</f>
        <v>9999.4490000000005</v>
      </c>
      <c r="V18">
        <f ca="1">IFERROR(IF(0=LEN(ReferenceData!$V$18),"",ReferenceData!$V$18),"")</f>
        <v>9543.3449999999993</v>
      </c>
      <c r="W18">
        <f ca="1">IFERROR(IF(0=LEN(ReferenceData!$W$18),"",ReferenceData!$W$18),"")</f>
        <v>8853.69</v>
      </c>
      <c r="X18">
        <f ca="1">IFERROR(IF(0=LEN(ReferenceData!$X$18),"",ReferenceData!$X$18),"")</f>
        <v>8758.3160000000007</v>
      </c>
      <c r="Y18">
        <f ca="1">IFERROR(IF(0=LEN(ReferenceData!$Y$18),"",ReferenceData!$Y$18),"")</f>
        <v>7839.1390000000001</v>
      </c>
      <c r="Z18">
        <f ca="1">IFERROR(IF(0=LEN(ReferenceData!$Z$18),"",ReferenceData!$Z$18),"")</f>
        <v>7703.4390000000003</v>
      </c>
      <c r="AA18">
        <f ca="1">IFERROR(IF(0=LEN(ReferenceData!$AA$18),"",ReferenceData!$AA$18),"")</f>
        <v>7625.5429999999997</v>
      </c>
      <c r="AB18">
        <f ca="1">IFERROR(IF(0=LEN(ReferenceData!$AB$18),"",ReferenceData!$AB$18),"")</f>
        <v>7382.4709999999995</v>
      </c>
      <c r="AC18">
        <f ca="1">IFERROR(IF(0=LEN(ReferenceData!$AC$18),"",ReferenceData!$AC$18),"")</f>
        <v>6804.1139999999996</v>
      </c>
      <c r="AD18">
        <f ca="1">IFERROR(IF(0=LEN(ReferenceData!$AD$18),"",ReferenceData!$AD$18),"")</f>
        <v>6294.8180000000002</v>
      </c>
      <c r="AE18">
        <f ca="1">IFERROR(IF(0=LEN(ReferenceData!$AE$18),"",ReferenceData!$AE$18),"")</f>
        <v>6674.94</v>
      </c>
      <c r="AF18">
        <f ca="1">IFERROR(IF(0=LEN(ReferenceData!$AF$18),"",ReferenceData!$AF$18),"")</f>
        <v>5823.6490000000003</v>
      </c>
      <c r="AG18">
        <f ca="1">IFERROR(IF(0=LEN(ReferenceData!$AG$18),"",ReferenceData!$AG$18),"")</f>
        <v>6010.7860000000001</v>
      </c>
      <c r="AH18">
        <f ca="1">IFERROR(IF(0=LEN(ReferenceData!$AH$18),"",ReferenceData!$AH$18),"")</f>
        <v>4261.7759999999998</v>
      </c>
      <c r="AI18">
        <f ca="1">IFERROR(IF(0=LEN(ReferenceData!$AI$18),"",ReferenceData!$AI$18),"")</f>
        <v>4687.4454999999998</v>
      </c>
      <c r="AJ18">
        <f ca="1">IFERROR(IF(0=LEN(ReferenceData!$AJ$18),"",ReferenceData!$AJ$18),"")</f>
        <v>4574.0029999999997</v>
      </c>
      <c r="AK18">
        <f ca="1">IFERROR(IF(0=LEN(ReferenceData!$AK$18),"",ReferenceData!$AK$18),"")</f>
        <v>4482.9399999999996</v>
      </c>
      <c r="AL18">
        <f ca="1">IFERROR(IF(0=LEN(ReferenceData!$AL$18),"",ReferenceData!$AL$18),"")</f>
        <v>3259.4989999999998</v>
      </c>
      <c r="AM18">
        <f ca="1">IFERROR(IF(0=LEN(ReferenceData!$AM$18),"",ReferenceData!$AM$18),"")</f>
        <v>3875.6990000000001</v>
      </c>
      <c r="AN18">
        <f ca="1">IFERROR(IF(0=LEN(ReferenceData!$AN$18),"",ReferenceData!$AN$18),"")</f>
        <v>3250.65</v>
      </c>
      <c r="AO18">
        <f ca="1">IFERROR(IF(0=LEN(ReferenceData!$AO$18),"",ReferenceData!$AO$18),"")</f>
        <v>5005.7160000000003</v>
      </c>
      <c r="AP18">
        <f ca="1">IFERROR(IF(0=LEN(ReferenceData!$AP$18),"",ReferenceData!$AP$18),"")</f>
        <v>2327.6260000000002</v>
      </c>
      <c r="AQ18">
        <f ca="1">IFERROR(IF(0=LEN(ReferenceData!$AQ$18),"",ReferenceData!$AQ$18),"")</f>
        <v>5263.1139999999996</v>
      </c>
      <c r="AR18">
        <f ca="1">IFERROR(IF(0=LEN(ReferenceData!$AR$18),"",ReferenceData!$AR$18),"")</f>
        <v>5667.7929999999997</v>
      </c>
      <c r="AS18">
        <f ca="1">IFERROR(IF(0=LEN(ReferenceData!$AS$18),"",ReferenceData!$AS$18),"")</f>
        <v>5777.2719999999999</v>
      </c>
      <c r="AT18">
        <f ca="1">IFERROR(IF(0=LEN(ReferenceData!$AT$18),"",ReferenceData!$AT$18),"")</f>
        <v>5605.1334999999999</v>
      </c>
      <c r="AU18">
        <f ca="1">IFERROR(IF(0=LEN(ReferenceData!$AU$18),"",ReferenceData!$AU$18),"")</f>
        <v>5742.125</v>
      </c>
      <c r="AV18">
        <f ca="1">IFERROR(IF(0=LEN(ReferenceData!$AV$18),"",ReferenceData!$AV$18),"")</f>
        <v>5987.27</v>
      </c>
      <c r="AW18">
        <f ca="1">IFERROR(IF(0=LEN(ReferenceData!$AW$18),"",ReferenceData!$AW$18),"")</f>
        <v>6008.0630000000001</v>
      </c>
      <c r="AX18">
        <f ca="1">IFERROR(IF(0=LEN(ReferenceData!$AX$18),"",ReferenceData!$AX$18),"")</f>
        <v>5791.7354999999998</v>
      </c>
      <c r="AY18">
        <f ca="1">IFERROR(IF(0=LEN(ReferenceData!$AY$18),"",ReferenceData!$AY$18),"")</f>
        <v>5168.7470000000003</v>
      </c>
      <c r="AZ18">
        <f ca="1">IFERROR(IF(0=LEN(ReferenceData!$AZ$18),"",ReferenceData!$AZ$18),"")</f>
        <v>5706.6549999999997</v>
      </c>
      <c r="BA18">
        <f ca="1">IFERROR(IF(0=LEN(ReferenceData!$BA$18),"",ReferenceData!$BA$18),"")</f>
        <v>5432.39</v>
      </c>
      <c r="BB18">
        <f ca="1">IFERROR(IF(0=LEN(ReferenceData!$BB$18),"",ReferenceData!$BB$18),"")</f>
        <v>4978.652</v>
      </c>
      <c r="BC18">
        <f ca="1">IFERROR(IF(0=LEN(ReferenceData!$BC$18),"",ReferenceData!$BC$18),"")</f>
        <v>4931.9260000000004</v>
      </c>
      <c r="BD18">
        <f ca="1">IFERROR(IF(0=LEN(ReferenceData!$BD$18),"",ReferenceData!$BD$18),"")</f>
        <v>5075.1369999999997</v>
      </c>
      <c r="BE18">
        <f ca="1">IFERROR(IF(0=LEN(ReferenceData!$BE$18),"",ReferenceData!$BE$18),"")</f>
        <v>5208.5820000000003</v>
      </c>
      <c r="BF18">
        <f ca="1">IFERROR(IF(0=LEN(ReferenceData!$BF$18),"",ReferenceData!$BF$18),"")</f>
        <v>5124.8360000000002</v>
      </c>
      <c r="BG18">
        <f ca="1">IFERROR(IF(0=LEN(ReferenceData!$BG$18),"",ReferenceData!$BG$18),"")</f>
        <v>4585.4854999999998</v>
      </c>
      <c r="BH18">
        <f ca="1">IFERROR(IF(0=LEN(ReferenceData!$BH$18),"",ReferenceData!$BH$18),"")</f>
        <v>4641.0309999999999</v>
      </c>
      <c r="BI18">
        <f ca="1">IFERROR(IF(0=LEN(ReferenceData!$BI$18),"",ReferenceData!$BI$18),"")</f>
        <v>4447.7349999999997</v>
      </c>
      <c r="BJ18">
        <f ca="1">IFERROR(IF(0=LEN(ReferenceData!$BJ$18),"",ReferenceData!$BJ$18),"")</f>
        <v>4542.9880000000003</v>
      </c>
      <c r="BK18">
        <f ca="1">IFERROR(IF(0=LEN(ReferenceData!$BK$18),"",ReferenceData!$BK$18),"")</f>
        <v>4295.4809999999998</v>
      </c>
      <c r="BL18">
        <f ca="1">IFERROR(IF(0=LEN(ReferenceData!$BL$18),"",ReferenceData!$BL$18),"")</f>
        <v>4093.163</v>
      </c>
      <c r="BM18">
        <f ca="1">IFERROR(IF(0=LEN(ReferenceData!$BM$18),"",ReferenceData!$BM$18),"")</f>
        <v>4306.4139999999998</v>
      </c>
    </row>
    <row r="19" spans="1:65">
      <c r="A19" t="str">
        <f>IFERROR(IF(0=LEN(ReferenceData!$A$19),"",ReferenceData!$A$19),"")</f>
        <v xml:space="preserve">    Office REITs</v>
      </c>
      <c r="B19" t="str">
        <f>IFERROR(IF(0=LEN(ReferenceData!$B$19),"",ReferenceData!$B$19),"")</f>
        <v>RECFFOOF Index</v>
      </c>
      <c r="C19" t="str">
        <f>IFERROR(IF(0=LEN(ReferenceData!$C$19),"",ReferenceData!$C$19),"")</f>
        <v>PR005</v>
      </c>
      <c r="D19" t="str">
        <f>IFERROR(IF(0=LEN(ReferenceData!$D$19),"",ReferenceData!$D$19),"")</f>
        <v>PX_LAST</v>
      </c>
      <c r="E19" t="str">
        <f>IFERROR(IF(0=LEN(ReferenceData!$E$19),"",ReferenceData!$E$19),"")</f>
        <v>动态</v>
      </c>
      <c r="F19">
        <f ca="1">IFERROR(IF(0=LEN(ReferenceData!$F$19),"",ReferenceData!$F$19),"")</f>
        <v>1541.311095</v>
      </c>
      <c r="G19">
        <f ca="1">IFERROR(IF(0=LEN(ReferenceData!$G$19),"",ReferenceData!$G$19),"")</f>
        <v>1573.8009999999999</v>
      </c>
      <c r="H19">
        <f ca="1">IFERROR(IF(0=LEN(ReferenceData!$H$19),"",ReferenceData!$H$19),"")</f>
        <v>1686.088</v>
      </c>
      <c r="I19">
        <f ca="1">IFERROR(IF(0=LEN(ReferenceData!$I$19),"",ReferenceData!$I$19),"")</f>
        <v>1568.1559999999999</v>
      </c>
      <c r="J19">
        <f ca="1">IFERROR(IF(0=LEN(ReferenceData!$J$19),"",ReferenceData!$J$19),"")</f>
        <v>1461.4069999999999</v>
      </c>
      <c r="K19">
        <f ca="1">IFERROR(IF(0=LEN(ReferenceData!$K$19),"",ReferenceData!$K$19),"")</f>
        <v>1495.355</v>
      </c>
      <c r="L19">
        <f ca="1">IFERROR(IF(0=LEN(ReferenceData!$L$19),"",ReferenceData!$L$19),"")</f>
        <v>1777.163</v>
      </c>
      <c r="M19">
        <f ca="1">IFERROR(IF(0=LEN(ReferenceData!$M$19),"",ReferenceData!$M$19),"")</f>
        <v>1547.393</v>
      </c>
      <c r="N19">
        <f ca="1">IFERROR(IF(0=LEN(ReferenceData!$N$19),"",ReferenceData!$N$19),"")</f>
        <v>1453.9179999999999</v>
      </c>
      <c r="O19">
        <f ca="1">IFERROR(IF(0=LEN(ReferenceData!$O$19),"",ReferenceData!$O$19),"")</f>
        <v>1784.2529999999999</v>
      </c>
      <c r="P19">
        <f ca="1">IFERROR(IF(0=LEN(ReferenceData!$P$19),"",ReferenceData!$P$19),"")</f>
        <v>1485.117</v>
      </c>
      <c r="Q19">
        <f ca="1">IFERROR(IF(0=LEN(ReferenceData!$Q$19),"",ReferenceData!$Q$19),"")</f>
        <v>1431.0630000000001</v>
      </c>
      <c r="R19">
        <f ca="1">IFERROR(IF(0=LEN(ReferenceData!$R$19),"",ReferenceData!$R$19),"")</f>
        <v>1392.463</v>
      </c>
      <c r="S19">
        <f ca="1">IFERROR(IF(0=LEN(ReferenceData!$S$19),"",ReferenceData!$S$19),"")</f>
        <v>1529.3630000000001</v>
      </c>
      <c r="T19">
        <f ca="1">IFERROR(IF(0=LEN(ReferenceData!$T$19),"",ReferenceData!$T$19),"")</f>
        <v>1332.5519999999999</v>
      </c>
      <c r="U19">
        <f ca="1">IFERROR(IF(0=LEN(ReferenceData!$U$19),"",ReferenceData!$U$19),"")</f>
        <v>1261.1969999999999</v>
      </c>
      <c r="V19">
        <f ca="1">IFERROR(IF(0=LEN(ReferenceData!$V$19),"",ReferenceData!$V$19),"")</f>
        <v>1453.8</v>
      </c>
      <c r="W19">
        <f ca="1">IFERROR(IF(0=LEN(ReferenceData!$W$19),"",ReferenceData!$W$19),"")</f>
        <v>1127.4069999999999</v>
      </c>
      <c r="X19">
        <f ca="1">IFERROR(IF(0=LEN(ReferenceData!$X$19),"",ReferenceData!$X$19),"")</f>
        <v>1110.8879999999999</v>
      </c>
      <c r="Y19">
        <f ca="1">IFERROR(IF(0=LEN(ReferenceData!$Y$19),"",ReferenceData!$Y$19),"")</f>
        <v>1024.7380000000001</v>
      </c>
      <c r="Z19">
        <f ca="1">IFERROR(IF(0=LEN(ReferenceData!$Z$19),"",ReferenceData!$Z$19),"")</f>
        <v>1077.865</v>
      </c>
      <c r="AA19">
        <f ca="1">IFERROR(IF(0=LEN(ReferenceData!$AA$19),"",ReferenceData!$AA$19),"")</f>
        <v>1059.337</v>
      </c>
      <c r="AB19">
        <f ca="1">IFERROR(IF(0=LEN(ReferenceData!$AB$19),"",ReferenceData!$AB$19),"")</f>
        <v>1131.4949999999999</v>
      </c>
      <c r="AC19">
        <f ca="1">IFERROR(IF(0=LEN(ReferenceData!$AC$19),"",ReferenceData!$AC$19),"")</f>
        <v>948.399</v>
      </c>
      <c r="AD19">
        <f ca="1">IFERROR(IF(0=LEN(ReferenceData!$AD$19),"",ReferenceData!$AD$19),"")</f>
        <v>865.76</v>
      </c>
      <c r="AE19">
        <f ca="1">IFERROR(IF(0=LEN(ReferenceData!$AE$19),"",ReferenceData!$AE$19),"")</f>
        <v>1007.294</v>
      </c>
      <c r="AF19">
        <f ca="1">IFERROR(IF(0=LEN(ReferenceData!$AF$19),"",ReferenceData!$AF$19),"")</f>
        <v>1003.9</v>
      </c>
      <c r="AG19">
        <f ca="1">IFERROR(IF(0=LEN(ReferenceData!$AG$19),"",ReferenceData!$AG$19),"")</f>
        <v>892.14599999999996</v>
      </c>
      <c r="AH19">
        <f ca="1">IFERROR(IF(0=LEN(ReferenceData!$AH$19),"",ReferenceData!$AH$19),"")</f>
        <v>803.524</v>
      </c>
      <c r="AI19">
        <f ca="1">IFERROR(IF(0=LEN(ReferenceData!$AI$19),"",ReferenceData!$AI$19),"")</f>
        <v>906.11300000000006</v>
      </c>
      <c r="AJ19">
        <f ca="1">IFERROR(IF(0=LEN(ReferenceData!$AJ$19),"",ReferenceData!$AJ$19),"")</f>
        <v>713.49599999999998</v>
      </c>
      <c r="AK19">
        <f ca="1">IFERROR(IF(0=LEN(ReferenceData!$AK$19),"",ReferenceData!$AK$19),"")</f>
        <v>865.596</v>
      </c>
      <c r="AL19">
        <f ca="1">IFERROR(IF(0=LEN(ReferenceData!$AL$19),"",ReferenceData!$AL$19),"")</f>
        <v>322.61500000000001</v>
      </c>
      <c r="AM19">
        <f ca="1">IFERROR(IF(0=LEN(ReferenceData!$AM$19),"",ReferenceData!$AM$19),"")</f>
        <v>769.83500000000004</v>
      </c>
      <c r="AN19">
        <f ca="1">IFERROR(IF(0=LEN(ReferenceData!$AN$19),"",ReferenceData!$AN$19),"")</f>
        <v>451.85500000000002</v>
      </c>
      <c r="AO19">
        <f ca="1">IFERROR(IF(0=LEN(ReferenceData!$AO$19),"",ReferenceData!$AO$19),"")</f>
        <v>736.95100000000002</v>
      </c>
      <c r="AP19">
        <f ca="1">IFERROR(IF(0=LEN(ReferenceData!$AP$19),"",ReferenceData!$AP$19),"")</f>
        <v>458.34199999999998</v>
      </c>
      <c r="AQ19">
        <f ca="1">IFERROR(IF(0=LEN(ReferenceData!$AQ$19),"",ReferenceData!$AQ$19),"")</f>
        <v>721.50099999999998</v>
      </c>
      <c r="AR19">
        <f ca="1">IFERROR(IF(0=LEN(ReferenceData!$AR$19),"",ReferenceData!$AR$19),"")</f>
        <v>707.32399999999996</v>
      </c>
      <c r="AS19">
        <f ca="1">IFERROR(IF(0=LEN(ReferenceData!$AS$19),"",ReferenceData!$AS$19),"")</f>
        <v>720.09500000000003</v>
      </c>
      <c r="AT19">
        <f ca="1">IFERROR(IF(0=LEN(ReferenceData!$AT$19),"",ReferenceData!$AT$19),"")</f>
        <v>736.63049999999998</v>
      </c>
      <c r="AU19">
        <f ca="1">IFERROR(IF(0=LEN(ReferenceData!$AU$19),"",ReferenceData!$AU$19),"")</f>
        <v>769.25800000000004</v>
      </c>
      <c r="AV19">
        <f ca="1">IFERROR(IF(0=LEN(ReferenceData!$AV$19),"",ReferenceData!$AV$19),"")</f>
        <v>731.25800000000004</v>
      </c>
      <c r="AW19">
        <f ca="1">IFERROR(IF(0=LEN(ReferenceData!$AW$19),"",ReferenceData!$AW$19),"")</f>
        <v>823.322</v>
      </c>
      <c r="AX19">
        <f ca="1">IFERROR(IF(0=LEN(ReferenceData!$AX$19),"",ReferenceData!$AX$19),"")</f>
        <v>847.678</v>
      </c>
      <c r="AY19">
        <f ca="1">IFERROR(IF(0=LEN(ReferenceData!$AY$19),"",ReferenceData!$AY$19),"")</f>
        <v>665.48500000000001</v>
      </c>
      <c r="AZ19">
        <f ca="1">IFERROR(IF(0=LEN(ReferenceData!$AZ$19),"",ReferenceData!$AZ$19),"")</f>
        <v>970.92700000000002</v>
      </c>
      <c r="BA19">
        <f ca="1">IFERROR(IF(0=LEN(ReferenceData!$BA$19),"",ReferenceData!$BA$19),"")</f>
        <v>1020.359</v>
      </c>
      <c r="BB19">
        <f ca="1">IFERROR(IF(0=LEN(ReferenceData!$BB$19),"",ReferenceData!$BB$19),"")</f>
        <v>877.21</v>
      </c>
      <c r="BC19">
        <f ca="1">IFERROR(IF(0=LEN(ReferenceData!$BC$19),"",ReferenceData!$BC$19),"")</f>
        <v>1034.904</v>
      </c>
      <c r="BD19">
        <f ca="1">IFERROR(IF(0=LEN(ReferenceData!$BD$19),"",ReferenceData!$BD$19),"")</f>
        <v>762.88699999999994</v>
      </c>
      <c r="BE19">
        <f ca="1">IFERROR(IF(0=LEN(ReferenceData!$BE$19),"",ReferenceData!$BE$19),"")</f>
        <v>1043.0889999999999</v>
      </c>
      <c r="BF19">
        <f ca="1">IFERROR(IF(0=LEN(ReferenceData!$BF$19),"",ReferenceData!$BF$19),"")</f>
        <v>1048.6415</v>
      </c>
      <c r="BG19">
        <f ca="1">IFERROR(IF(0=LEN(ReferenceData!$BG$19),"",ReferenceData!$BG$19),"")</f>
        <v>881.43399999999997</v>
      </c>
      <c r="BH19">
        <f ca="1">IFERROR(IF(0=LEN(ReferenceData!$BH$19),"",ReferenceData!$BH$19),"")</f>
        <v>897.46199999999999</v>
      </c>
      <c r="BI19">
        <f ca="1">IFERROR(IF(0=LEN(ReferenceData!$BI$19),"",ReferenceData!$BI$19),"")</f>
        <v>1040.8430000000001</v>
      </c>
      <c r="BJ19">
        <f ca="1">IFERROR(IF(0=LEN(ReferenceData!$BJ$19),"",ReferenceData!$BJ$19),"")</f>
        <v>1011.684</v>
      </c>
      <c r="BK19">
        <f ca="1">IFERROR(IF(0=LEN(ReferenceData!$BK$19),"",ReferenceData!$BK$19),"")</f>
        <v>1093.9780000000001</v>
      </c>
      <c r="BL19">
        <f ca="1">IFERROR(IF(0=LEN(ReferenceData!$BL$19),"",ReferenceData!$BL$19),"")</f>
        <v>1004.643</v>
      </c>
      <c r="BM19">
        <f ca="1">IFERROR(IF(0=LEN(ReferenceData!$BM$19),"",ReferenceData!$BM$19),"")</f>
        <v>1089.614</v>
      </c>
    </row>
    <row r="20" spans="1:65">
      <c r="A20" t="str">
        <f>IFERROR(IF(0=LEN(ReferenceData!$A$20),"",ReferenceData!$A$20),"")</f>
        <v xml:space="preserve">    Industrial REITs</v>
      </c>
      <c r="B20" t="str">
        <f>IFERROR(IF(0=LEN(ReferenceData!$B$20),"",ReferenceData!$B$20),"")</f>
        <v>RECFFOIN Index</v>
      </c>
      <c r="C20" t="str">
        <f>IFERROR(IF(0=LEN(ReferenceData!$C$20),"",ReferenceData!$C$20),"")</f>
        <v>PR005</v>
      </c>
      <c r="D20" t="str">
        <f>IFERROR(IF(0=LEN(ReferenceData!$D$20),"",ReferenceData!$D$20),"")</f>
        <v>PX_LAST</v>
      </c>
      <c r="E20" t="str">
        <f>IFERROR(IF(0=LEN(ReferenceData!$E$20),"",ReferenceData!$E$20),"")</f>
        <v>动态</v>
      </c>
      <c r="F20">
        <f ca="1">IFERROR(IF(0=LEN(ReferenceData!$F$20),"",ReferenceData!$F$20),"")</f>
        <v>941.42862930000001</v>
      </c>
      <c r="G20">
        <f ca="1">IFERROR(IF(0=LEN(ReferenceData!$G$20),"",ReferenceData!$G$20),"")</f>
        <v>987.04499999999996</v>
      </c>
      <c r="H20">
        <f ca="1">IFERROR(IF(0=LEN(ReferenceData!$H$20),"",ReferenceData!$H$20),"")</f>
        <v>953.74599999999998</v>
      </c>
      <c r="I20">
        <f ca="1">IFERROR(IF(0=LEN(ReferenceData!$I$20),"",ReferenceData!$I$20),"")</f>
        <v>838.072</v>
      </c>
      <c r="J20">
        <f ca="1">IFERROR(IF(0=LEN(ReferenceData!$J$20),"",ReferenceData!$J$20),"")</f>
        <v>983.11699999999996</v>
      </c>
      <c r="K20">
        <f ca="1">IFERROR(IF(0=LEN(ReferenceData!$K$20),"",ReferenceData!$K$20),"")</f>
        <v>911.86699999999996</v>
      </c>
      <c r="L20">
        <f ca="1">IFERROR(IF(0=LEN(ReferenceData!$L$20),"",ReferenceData!$L$20),"")</f>
        <v>789.13499999999999</v>
      </c>
      <c r="M20">
        <f ca="1">IFERROR(IF(0=LEN(ReferenceData!$M$20),"",ReferenceData!$M$20),"")</f>
        <v>804.00400000000002</v>
      </c>
      <c r="N20">
        <f ca="1">IFERROR(IF(0=LEN(ReferenceData!$N$20),"",ReferenceData!$N$20),"")</f>
        <v>730.12900000000002</v>
      </c>
      <c r="O20">
        <f ca="1">IFERROR(IF(0=LEN(ReferenceData!$O$20),"",ReferenceData!$O$20),"")</f>
        <v>854.38400000000001</v>
      </c>
      <c r="P20">
        <f ca="1">IFERROR(IF(0=LEN(ReferenceData!$P$20),"",ReferenceData!$P$20),"")</f>
        <v>678.02800000000002</v>
      </c>
      <c r="Q20">
        <f ca="1">IFERROR(IF(0=LEN(ReferenceData!$Q$20),"",ReferenceData!$Q$20),"")</f>
        <v>699.601</v>
      </c>
      <c r="R20">
        <f ca="1">IFERROR(IF(0=LEN(ReferenceData!$R$20),"",ReferenceData!$R$20),"")</f>
        <v>664.72400000000005</v>
      </c>
      <c r="S20">
        <f ca="1">IFERROR(IF(0=LEN(ReferenceData!$S$20),"",ReferenceData!$S$20),"")</f>
        <v>683.58900000000006</v>
      </c>
      <c r="T20">
        <f ca="1">IFERROR(IF(0=LEN(ReferenceData!$T$20),"",ReferenceData!$T$20),"")</f>
        <v>592.63400000000001</v>
      </c>
      <c r="U20">
        <f ca="1">IFERROR(IF(0=LEN(ReferenceData!$U$20),"",ReferenceData!$U$20),"")</f>
        <v>559.09199999999998</v>
      </c>
      <c r="V20">
        <f ca="1">IFERROR(IF(0=LEN(ReferenceData!$V$20),"",ReferenceData!$V$20),"")</f>
        <v>575.00800000000004</v>
      </c>
      <c r="W20">
        <f ca="1">IFERROR(IF(0=LEN(ReferenceData!$W$20),"",ReferenceData!$W$20),"")</f>
        <v>456.00200000000001</v>
      </c>
      <c r="X20">
        <f ca="1">IFERROR(IF(0=LEN(ReferenceData!$X$20),"",ReferenceData!$X$20),"")</f>
        <v>506.23599999999999</v>
      </c>
      <c r="Y20">
        <f ca="1">IFERROR(IF(0=LEN(ReferenceData!$Y$20),"",ReferenceData!$Y$20),"")</f>
        <v>684.92</v>
      </c>
      <c r="Z20">
        <f ca="1">IFERROR(IF(0=LEN(ReferenceData!$Z$20),"",ReferenceData!$Z$20),"")</f>
        <v>226.102</v>
      </c>
      <c r="AA20">
        <f ca="1">IFERROR(IF(0=LEN(ReferenceData!$AA$20),"",ReferenceData!$AA$20),"")</f>
        <v>506.22399999999999</v>
      </c>
      <c r="AB20">
        <f ca="1">IFERROR(IF(0=LEN(ReferenceData!$AB$20),"",ReferenceData!$AB$20),"")</f>
        <v>454.44400000000002</v>
      </c>
      <c r="AC20">
        <f ca="1">IFERROR(IF(0=LEN(ReferenceData!$AC$20),"",ReferenceData!$AC$20),"")</f>
        <v>523.572</v>
      </c>
      <c r="AD20">
        <f ca="1">IFERROR(IF(0=LEN(ReferenceData!$AD$20),"",ReferenceData!$AD$20),"")</f>
        <v>427.488</v>
      </c>
      <c r="AE20">
        <f ca="1">IFERROR(IF(0=LEN(ReferenceData!$AE$20),"",ReferenceData!$AE$20),"")</f>
        <v>549.35299999999995</v>
      </c>
      <c r="AF20">
        <f ca="1">IFERROR(IF(0=LEN(ReferenceData!$AF$20),"",ReferenceData!$AF$20),"")</f>
        <v>281.76499999999999</v>
      </c>
      <c r="AG20">
        <f ca="1">IFERROR(IF(0=LEN(ReferenceData!$AG$20),"",ReferenceData!$AG$20),"")</f>
        <v>387.286</v>
      </c>
      <c r="AH20">
        <f ca="1">IFERROR(IF(0=LEN(ReferenceData!$AH$20),"",ReferenceData!$AH$20),"")</f>
        <v>-846.13900000000001</v>
      </c>
      <c r="AI20">
        <f ca="1">IFERROR(IF(0=LEN(ReferenceData!$AI$20),"",ReferenceData!$AI$20),"")</f>
        <v>326.12549999999999</v>
      </c>
      <c r="AJ20">
        <f ca="1">IFERROR(IF(0=LEN(ReferenceData!$AJ$20),"",ReferenceData!$AJ$20),"")</f>
        <v>362.79</v>
      </c>
      <c r="AK20">
        <f ca="1">IFERROR(IF(0=LEN(ReferenceData!$AK$20),"",ReferenceData!$AK$20),"")</f>
        <v>294.01400000000001</v>
      </c>
      <c r="AL20">
        <f ca="1">IFERROR(IF(0=LEN(ReferenceData!$AL$20),"",ReferenceData!$AL$20),"")</f>
        <v>6.8280000000000003</v>
      </c>
      <c r="AM20">
        <f ca="1">IFERROR(IF(0=LEN(ReferenceData!$AM$20),"",ReferenceData!$AM$20),"")</f>
        <v>159.416</v>
      </c>
      <c r="AN20">
        <f ca="1">IFERROR(IF(0=LEN(ReferenceData!$AN$20),"",ReferenceData!$AN$20),"")</f>
        <v>468.43700000000001</v>
      </c>
      <c r="AO20">
        <f ca="1">IFERROR(IF(0=LEN(ReferenceData!$AO$20),"",ReferenceData!$AO$20),"")</f>
        <v>534.30600000000004</v>
      </c>
      <c r="AP20">
        <f ca="1">IFERROR(IF(0=LEN(ReferenceData!$AP$20),"",ReferenceData!$AP$20),"")</f>
        <v>-688.18399999999997</v>
      </c>
      <c r="AQ20">
        <f ca="1">IFERROR(IF(0=LEN(ReferenceData!$AQ$20),"",ReferenceData!$AQ$20),"")</f>
        <v>510.108</v>
      </c>
      <c r="AR20">
        <f ca="1">IFERROR(IF(0=LEN(ReferenceData!$AR$20),"",ReferenceData!$AR$20),"")</f>
        <v>708.95600000000002</v>
      </c>
      <c r="AS20">
        <f ca="1">IFERROR(IF(0=LEN(ReferenceData!$AS$20),"",ReferenceData!$AS$20),"")</f>
        <v>634.42399999999998</v>
      </c>
      <c r="AT20">
        <f ca="1">IFERROR(IF(0=LEN(ReferenceData!$AT$20),"",ReferenceData!$AT$20),"")</f>
        <v>653.48450000000003</v>
      </c>
      <c r="AU20">
        <f ca="1">IFERROR(IF(0=LEN(ReferenceData!$AU$20),"",ReferenceData!$AU$20),"")</f>
        <v>727.87800000000004</v>
      </c>
      <c r="AV20">
        <f ca="1">IFERROR(IF(0=LEN(ReferenceData!$AV$20),"",ReferenceData!$AV$20),"")</f>
        <v>714.02099999999996</v>
      </c>
      <c r="AW20">
        <f ca="1">IFERROR(IF(0=LEN(ReferenceData!$AW$20),"",ReferenceData!$AW$20),"")</f>
        <v>668.79600000000005</v>
      </c>
      <c r="AX20">
        <f ca="1">IFERROR(IF(0=LEN(ReferenceData!$AX$20),"",ReferenceData!$AX$20),"")</f>
        <v>732.99099999999999</v>
      </c>
      <c r="AY20">
        <f ca="1">IFERROR(IF(0=LEN(ReferenceData!$AY$20),"",ReferenceData!$AY$20),"")</f>
        <v>565.20600000000002</v>
      </c>
      <c r="AZ20">
        <f ca="1">IFERROR(IF(0=LEN(ReferenceData!$AZ$20),"",ReferenceData!$AZ$20),"")</f>
        <v>573.476</v>
      </c>
      <c r="BA20">
        <f ca="1">IFERROR(IF(0=LEN(ReferenceData!$BA$20),"",ReferenceData!$BA$20),"")</f>
        <v>528.79499999999996</v>
      </c>
      <c r="BB20">
        <f ca="1">IFERROR(IF(0=LEN(ReferenceData!$BB$20),"",ReferenceData!$BB$20),"")</f>
        <v>517.46900000000005</v>
      </c>
      <c r="BC20">
        <f ca="1">IFERROR(IF(0=LEN(ReferenceData!$BC$20),"",ReferenceData!$BC$20),"")</f>
        <v>498.33300000000003</v>
      </c>
      <c r="BD20">
        <f ca="1">IFERROR(IF(0=LEN(ReferenceData!$BD$20),"",ReferenceData!$BD$20),"")</f>
        <v>523.06600000000003</v>
      </c>
      <c r="BE20">
        <f ca="1">IFERROR(IF(0=LEN(ReferenceData!$BE$20),"",ReferenceData!$BE$20),"")</f>
        <v>490.596</v>
      </c>
      <c r="BF20">
        <f ca="1">IFERROR(IF(0=LEN(ReferenceData!$BF$20),"",ReferenceData!$BF$20),"")</f>
        <v>489.25400000000002</v>
      </c>
      <c r="BG20">
        <f ca="1">IFERROR(IF(0=LEN(ReferenceData!$BG$20),"",ReferenceData!$BG$20),"")</f>
        <v>526.94500000000005</v>
      </c>
      <c r="BH20">
        <f ca="1">IFERROR(IF(0=LEN(ReferenceData!$BH$20),"",ReferenceData!$BH$20),"")</f>
        <v>495.08699999999999</v>
      </c>
      <c r="BI20">
        <f ca="1">IFERROR(IF(0=LEN(ReferenceData!$BI$20),"",ReferenceData!$BI$20),"")</f>
        <v>468.91399999999999</v>
      </c>
      <c r="BJ20">
        <f ca="1">IFERROR(IF(0=LEN(ReferenceData!$BJ$20),"",ReferenceData!$BJ$20),"")</f>
        <v>488.13900000000001</v>
      </c>
      <c r="BK20">
        <f ca="1">IFERROR(IF(0=LEN(ReferenceData!$BK$20),"",ReferenceData!$BK$20),"")</f>
        <v>373.62200000000001</v>
      </c>
      <c r="BL20">
        <f ca="1">IFERROR(IF(0=LEN(ReferenceData!$BL$20),"",ReferenceData!$BL$20),"")</f>
        <v>405.34300000000002</v>
      </c>
      <c r="BM20">
        <f ca="1">IFERROR(IF(0=LEN(ReferenceData!$BM$20),"",ReferenceData!$BM$20),"")</f>
        <v>413.11099999999999</v>
      </c>
    </row>
    <row r="21" spans="1:65">
      <c r="A21" t="str">
        <f>IFERROR(IF(0=LEN(ReferenceData!$A$21),"",ReferenceData!$A$21),"")</f>
        <v xml:space="preserve">    Retail REITs</v>
      </c>
      <c r="B21" t="str">
        <f>IFERROR(IF(0=LEN(ReferenceData!$B$21),"",ReferenceData!$B$21),"")</f>
        <v>RECFFORT Index</v>
      </c>
      <c r="C21" t="str">
        <f>IFERROR(IF(0=LEN(ReferenceData!$C$21),"",ReferenceData!$C$21),"")</f>
        <v>PR005</v>
      </c>
      <c r="D21" t="str">
        <f>IFERROR(IF(0=LEN(ReferenceData!$D$21),"",ReferenceData!$D$21),"")</f>
        <v>PX_LAST</v>
      </c>
      <c r="E21" t="str">
        <f>IFERROR(IF(0=LEN(ReferenceData!$E$21),"",ReferenceData!$E$21),"")</f>
        <v>动态</v>
      </c>
      <c r="F21">
        <f ca="1">IFERROR(IF(0=LEN(ReferenceData!$F$21),"",ReferenceData!$F$21),"")</f>
        <v>3576.972487</v>
      </c>
      <c r="G21">
        <f ca="1">IFERROR(IF(0=LEN(ReferenceData!$G$21),"",ReferenceData!$G$21),"")</f>
        <v>3383.7130000000002</v>
      </c>
      <c r="H21">
        <f ca="1">IFERROR(IF(0=LEN(ReferenceData!$H$21),"",ReferenceData!$H$21),"")</f>
        <v>3374.9490000000001</v>
      </c>
      <c r="I21">
        <f ca="1">IFERROR(IF(0=LEN(ReferenceData!$I$21),"",ReferenceData!$I$21),"")</f>
        <v>3139.335</v>
      </c>
      <c r="J21">
        <f ca="1">IFERROR(IF(0=LEN(ReferenceData!$J$21),"",ReferenceData!$J$21),"")</f>
        <v>3542.9380000000001</v>
      </c>
      <c r="K21">
        <f ca="1">IFERROR(IF(0=LEN(ReferenceData!$K$21),"",ReferenceData!$K$21),"")</f>
        <v>3197.6930000000002</v>
      </c>
      <c r="L21">
        <f ca="1">IFERROR(IF(0=LEN(ReferenceData!$L$21),"",ReferenceData!$L$21),"")</f>
        <v>3368.18</v>
      </c>
      <c r="M21">
        <f ca="1">IFERROR(IF(0=LEN(ReferenceData!$M$21),"",ReferenceData!$M$21),"")</f>
        <v>3302.06</v>
      </c>
      <c r="N21">
        <f ca="1">IFERROR(IF(0=LEN(ReferenceData!$N$21),"",ReferenceData!$N$21),"")</f>
        <v>3317.5169999999998</v>
      </c>
      <c r="O21">
        <f ca="1">IFERROR(IF(0=LEN(ReferenceData!$O$21),"",ReferenceData!$O$21),"")</f>
        <v>3198.5050000000001</v>
      </c>
      <c r="P21">
        <f ca="1">IFERROR(IF(0=LEN(ReferenceData!$P$21),"",ReferenceData!$P$21),"")</f>
        <v>3150.7959999999998</v>
      </c>
      <c r="Q21">
        <f ca="1">IFERROR(IF(0=LEN(ReferenceData!$Q$21),"",ReferenceData!$Q$21),"")</f>
        <v>2955.1849999999999</v>
      </c>
      <c r="R21">
        <f ca="1">IFERROR(IF(0=LEN(ReferenceData!$R$21),"",ReferenceData!$R$21),"")</f>
        <v>2989.8829999999998</v>
      </c>
      <c r="S21">
        <f ca="1">IFERROR(IF(0=LEN(ReferenceData!$S$21),"",ReferenceData!$S$21),"")</f>
        <v>2941.0059999999999</v>
      </c>
      <c r="T21">
        <f ca="1">IFERROR(IF(0=LEN(ReferenceData!$T$21),"",ReferenceData!$T$21),"")</f>
        <v>2748.913</v>
      </c>
      <c r="U21">
        <f ca="1">IFERROR(IF(0=LEN(ReferenceData!$U$21),"",ReferenceData!$U$21),"")</f>
        <v>2636.0740000000001</v>
      </c>
      <c r="V21">
        <f ca="1">IFERROR(IF(0=LEN(ReferenceData!$V$21),"",ReferenceData!$V$21),"")</f>
        <v>2660.4670000000001</v>
      </c>
      <c r="W21">
        <f ca="1">IFERROR(IF(0=LEN(ReferenceData!$W$21),"",ReferenceData!$W$21),"")</f>
        <v>2496.8330000000001</v>
      </c>
      <c r="X21">
        <f ca="1">IFERROR(IF(0=LEN(ReferenceData!$X$21),"",ReferenceData!$X$21),"")</f>
        <v>2309.4059999999999</v>
      </c>
      <c r="Y21">
        <f ca="1">IFERROR(IF(0=LEN(ReferenceData!$Y$21),"",ReferenceData!$Y$21),"")</f>
        <v>2055.2260000000001</v>
      </c>
      <c r="Z21">
        <f ca="1">IFERROR(IF(0=LEN(ReferenceData!$Z$21),"",ReferenceData!$Z$21),"")</f>
        <v>2267.498</v>
      </c>
      <c r="AA21">
        <f ca="1">IFERROR(IF(0=LEN(ReferenceData!$AA$21),"",ReferenceData!$AA$21),"")</f>
        <v>1960.855</v>
      </c>
      <c r="AB21">
        <f ca="1">IFERROR(IF(0=LEN(ReferenceData!$AB$21),"",ReferenceData!$AB$21),"")</f>
        <v>2034.4549999999999</v>
      </c>
      <c r="AC21">
        <f ca="1">IFERROR(IF(0=LEN(ReferenceData!$AC$21),"",ReferenceData!$AC$21),"")</f>
        <v>1695.2180000000001</v>
      </c>
      <c r="AD21">
        <f ca="1">IFERROR(IF(0=LEN(ReferenceData!$AD$21),"",ReferenceData!$AD$21),"")</f>
        <v>1775.2719999999999</v>
      </c>
      <c r="AE21">
        <f ca="1">IFERROR(IF(0=LEN(ReferenceData!$AE$21),"",ReferenceData!$AE$21),"")</f>
        <v>2045.683</v>
      </c>
      <c r="AF21">
        <f ca="1">IFERROR(IF(0=LEN(ReferenceData!$AF$21),"",ReferenceData!$AF$21),"")</f>
        <v>1543.13</v>
      </c>
      <c r="AG21">
        <f ca="1">IFERROR(IF(0=LEN(ReferenceData!$AG$21),"",ReferenceData!$AG$21),"")</f>
        <v>1844.028</v>
      </c>
      <c r="AH21">
        <f ca="1">IFERROR(IF(0=LEN(ReferenceData!$AH$21),"",ReferenceData!$AH$21),"")</f>
        <v>1722.2070000000001</v>
      </c>
      <c r="AI21">
        <f ca="1">IFERROR(IF(0=LEN(ReferenceData!$AI$21),"",ReferenceData!$AI$21),"")</f>
        <v>1113.327</v>
      </c>
      <c r="AJ21">
        <f ca="1">IFERROR(IF(0=LEN(ReferenceData!$AJ$21),"",ReferenceData!$AJ$21),"")</f>
        <v>1174.8710000000001</v>
      </c>
      <c r="AK21">
        <f ca="1">IFERROR(IF(0=LEN(ReferenceData!$AK$21),"",ReferenceData!$AK$21),"")</f>
        <v>1122.105</v>
      </c>
      <c r="AL21">
        <f ca="1">IFERROR(IF(0=LEN(ReferenceData!$AL$21),"",ReferenceData!$AL$21),"")</f>
        <v>1275.0070000000001</v>
      </c>
      <c r="AM21">
        <f ca="1">IFERROR(IF(0=LEN(ReferenceData!$AM$21),"",ReferenceData!$AM$21),"")</f>
        <v>1006.479</v>
      </c>
      <c r="AN21">
        <f ca="1">IFERROR(IF(0=LEN(ReferenceData!$AN$21),"",ReferenceData!$AN$21),"")</f>
        <v>747.51199999999994</v>
      </c>
      <c r="AO21">
        <f ca="1">IFERROR(IF(0=LEN(ReferenceData!$AO$21),"",ReferenceData!$AO$21),"")</f>
        <v>1500.453</v>
      </c>
      <c r="AP21">
        <f ca="1">IFERROR(IF(0=LEN(ReferenceData!$AP$21),"",ReferenceData!$AP$21),"")</f>
        <v>1145.566</v>
      </c>
      <c r="AQ21">
        <f ca="1">IFERROR(IF(0=LEN(ReferenceData!$AQ$21),"",ReferenceData!$AQ$21),"")</f>
        <v>1591.287</v>
      </c>
      <c r="AR21">
        <f ca="1">IFERROR(IF(0=LEN(ReferenceData!$AR$21),"",ReferenceData!$AR$21),"")</f>
        <v>1597.3209999999999</v>
      </c>
      <c r="AS21">
        <f ca="1">IFERROR(IF(0=LEN(ReferenceData!$AS$21),"",ReferenceData!$AS$21),"")</f>
        <v>1641.296</v>
      </c>
      <c r="AT21">
        <f ca="1">IFERROR(IF(0=LEN(ReferenceData!$AT$21),"",ReferenceData!$AT$21),"")</f>
        <v>1691.5934999999999</v>
      </c>
      <c r="AU21">
        <f ca="1">IFERROR(IF(0=LEN(ReferenceData!$AU$21),"",ReferenceData!$AU$21),"")</f>
        <v>1651.42</v>
      </c>
      <c r="AV21">
        <f ca="1">IFERROR(IF(0=LEN(ReferenceData!$AV$21),"",ReferenceData!$AV$21),"")</f>
        <v>1667.1569999999999</v>
      </c>
      <c r="AW21">
        <f ca="1">IFERROR(IF(0=LEN(ReferenceData!$AW$21),"",ReferenceData!$AW$21),"")</f>
        <v>1950.114</v>
      </c>
      <c r="AX21">
        <f ca="1">IFERROR(IF(0=LEN(ReferenceData!$AX$21),"",ReferenceData!$AX$21),"")</f>
        <v>1657.3275000000001</v>
      </c>
      <c r="AY21">
        <f ca="1">IFERROR(IF(0=LEN(ReferenceData!$AY$21),"",ReferenceData!$AY$21),"")</f>
        <v>1524.385</v>
      </c>
      <c r="AZ21">
        <f ca="1">IFERROR(IF(0=LEN(ReferenceData!$AZ$21),"",ReferenceData!$AZ$21),"")</f>
        <v>1544.3720000000001</v>
      </c>
      <c r="BA21">
        <f ca="1">IFERROR(IF(0=LEN(ReferenceData!$BA$21),"",ReferenceData!$BA$21),"")</f>
        <v>1606.7139999999999</v>
      </c>
      <c r="BB21">
        <f ca="1">IFERROR(IF(0=LEN(ReferenceData!$BB$21),"",ReferenceData!$BB$21),"")</f>
        <v>1782.963</v>
      </c>
      <c r="BC21">
        <f ca="1">IFERROR(IF(0=LEN(ReferenceData!$BC$21),"",ReferenceData!$BC$21),"")</f>
        <v>1561.1420000000001</v>
      </c>
      <c r="BD21">
        <f ca="1">IFERROR(IF(0=LEN(ReferenceData!$BD$21),"",ReferenceData!$BD$21),"")</f>
        <v>1620.5360000000001</v>
      </c>
      <c r="BE21">
        <f ca="1">IFERROR(IF(0=LEN(ReferenceData!$BE$21),"",ReferenceData!$BE$21),"")</f>
        <v>1604.3679999999999</v>
      </c>
      <c r="BF21">
        <f ca="1">IFERROR(IF(0=LEN(ReferenceData!$BF$21),"",ReferenceData!$BF$21),"")</f>
        <v>1690.319</v>
      </c>
      <c r="BG21">
        <f ca="1">IFERROR(IF(0=LEN(ReferenceData!$BG$21),"",ReferenceData!$BG$21),"")</f>
        <v>1438.249</v>
      </c>
      <c r="BH21">
        <f ca="1">IFERROR(IF(0=LEN(ReferenceData!$BH$21),"",ReferenceData!$BH$21),"")</f>
        <v>1505.829</v>
      </c>
      <c r="BI21">
        <f ca="1">IFERROR(IF(0=LEN(ReferenceData!$BI$21),"",ReferenceData!$BI$21),"")</f>
        <v>1401.547</v>
      </c>
      <c r="BJ21">
        <f ca="1">IFERROR(IF(0=LEN(ReferenceData!$BJ$21),"",ReferenceData!$BJ$21),"")</f>
        <v>1436.8810000000001</v>
      </c>
      <c r="BK21">
        <f ca="1">IFERROR(IF(0=LEN(ReferenceData!$BK$21),"",ReferenceData!$BK$21),"")</f>
        <v>1316.193</v>
      </c>
      <c r="BL21">
        <f ca="1">IFERROR(IF(0=LEN(ReferenceData!$BL$21),"",ReferenceData!$BL$21),"")</f>
        <v>1257.52</v>
      </c>
      <c r="BM21">
        <f ca="1">IFERROR(IF(0=LEN(ReferenceData!$BM$21),"",ReferenceData!$BM$21),"")</f>
        <v>1231.162</v>
      </c>
    </row>
    <row r="22" spans="1:65">
      <c r="A22" t="str">
        <f>IFERROR(IF(0=LEN(ReferenceData!$A$22),"",ReferenceData!$A$22),"")</f>
        <v xml:space="preserve">    Shopping Center REITs</v>
      </c>
      <c r="B22" t="str">
        <f>IFERROR(IF(0=LEN(ReferenceData!$B$22),"",ReferenceData!$B$22),"")</f>
        <v>RECFFOSC Index</v>
      </c>
      <c r="C22" t="str">
        <f>IFERROR(IF(0=LEN(ReferenceData!$C$22),"",ReferenceData!$C$22),"")</f>
        <v>PR005</v>
      </c>
      <c r="D22" t="str">
        <f>IFERROR(IF(0=LEN(ReferenceData!$D$22),"",ReferenceData!$D$22),"")</f>
        <v>PX_LAST</v>
      </c>
      <c r="E22" t="str">
        <f>IFERROR(IF(0=LEN(ReferenceData!$E$22),"",ReferenceData!$E$22),"")</f>
        <v>动态</v>
      </c>
      <c r="F22">
        <f ca="1">IFERROR(IF(0=LEN(ReferenceData!$F$22),"",ReferenceData!$F$22),"")</f>
        <v>1062.672499</v>
      </c>
      <c r="G22">
        <f ca="1">IFERROR(IF(0=LEN(ReferenceData!$G$22),"",ReferenceData!$G$22),"")</f>
        <v>1026.912</v>
      </c>
      <c r="H22">
        <f ca="1">IFERROR(IF(0=LEN(ReferenceData!$H$22),"",ReferenceData!$H$22),"")</f>
        <v>1117.1179999999999</v>
      </c>
      <c r="I22">
        <f ca="1">IFERROR(IF(0=LEN(ReferenceData!$I$22),"",ReferenceData!$I$22),"")</f>
        <v>884.35699999999997</v>
      </c>
      <c r="J22">
        <f ca="1">IFERROR(IF(0=LEN(ReferenceData!$J$22),"",ReferenceData!$J$22),"")</f>
        <v>1082.1489999999999</v>
      </c>
      <c r="K22">
        <f ca="1">IFERROR(IF(0=LEN(ReferenceData!$K$22),"",ReferenceData!$K$22),"")</f>
        <v>934.73299999999995</v>
      </c>
      <c r="L22">
        <f ca="1">IFERROR(IF(0=LEN(ReferenceData!$L$22),"",ReferenceData!$L$22),"")</f>
        <v>1116.4159999999999</v>
      </c>
      <c r="M22">
        <f ca="1">IFERROR(IF(0=LEN(ReferenceData!$M$22),"",ReferenceData!$M$22),"")</f>
        <v>1071.7249999999999</v>
      </c>
      <c r="N22">
        <f ca="1">IFERROR(IF(0=LEN(ReferenceData!$N$22),"",ReferenceData!$N$22),"")</f>
        <v>1034.954</v>
      </c>
      <c r="O22">
        <f ca="1">IFERROR(IF(0=LEN(ReferenceData!$O$22),"",ReferenceData!$O$22),"")</f>
        <v>1059.2349999999999</v>
      </c>
      <c r="P22">
        <f ca="1">IFERROR(IF(0=LEN(ReferenceData!$P$22),"",ReferenceData!$P$22),"")</f>
        <v>1035.883</v>
      </c>
      <c r="Q22">
        <f ca="1">IFERROR(IF(0=LEN(ReferenceData!$Q$22),"",ReferenceData!$Q$22),"")</f>
        <v>878.553</v>
      </c>
      <c r="R22">
        <f ca="1">IFERROR(IF(0=LEN(ReferenceData!$R$22),"",ReferenceData!$R$22),"")</f>
        <v>876.88599999999997</v>
      </c>
      <c r="S22">
        <f ca="1">IFERROR(IF(0=LEN(ReferenceData!$S$22),"",ReferenceData!$S$22),"")</f>
        <v>975.83199999999999</v>
      </c>
      <c r="T22">
        <f ca="1">IFERROR(IF(0=LEN(ReferenceData!$T$22),"",ReferenceData!$T$22),"")</f>
        <v>913.35199999999998</v>
      </c>
      <c r="U22">
        <f ca="1">IFERROR(IF(0=LEN(ReferenceData!$U$22),"",ReferenceData!$U$22),"")</f>
        <v>898.83500000000004</v>
      </c>
      <c r="V22">
        <f ca="1">IFERROR(IF(0=LEN(ReferenceData!$V$22),"",ReferenceData!$V$22),"")</f>
        <v>871.54200000000003</v>
      </c>
      <c r="W22">
        <f ca="1">IFERROR(IF(0=LEN(ReferenceData!$W$22),"",ReferenceData!$W$22),"")</f>
        <v>779.899</v>
      </c>
      <c r="X22">
        <f ca="1">IFERROR(IF(0=LEN(ReferenceData!$X$22),"",ReferenceData!$X$22),"")</f>
        <v>729.04600000000005</v>
      </c>
      <c r="Y22">
        <f ca="1">IFERROR(IF(0=LEN(ReferenceData!$Y$22),"",ReferenceData!$Y$22),"")</f>
        <v>684.00199999999995</v>
      </c>
      <c r="Z22">
        <f ca="1">IFERROR(IF(0=LEN(ReferenceData!$Z$22),"",ReferenceData!$Z$22),"")</f>
        <v>617.50300000000004</v>
      </c>
      <c r="AA22">
        <f ca="1">IFERROR(IF(0=LEN(ReferenceData!$AA$22),"",ReferenceData!$AA$22),"")</f>
        <v>681.255</v>
      </c>
      <c r="AB22">
        <f ca="1">IFERROR(IF(0=LEN(ReferenceData!$AB$22),"",ReferenceData!$AB$22),"")</f>
        <v>681.89099999999996</v>
      </c>
      <c r="AC22">
        <f ca="1">IFERROR(IF(0=LEN(ReferenceData!$AC$22),"",ReferenceData!$AC$22),"")</f>
        <v>547.85199999999998</v>
      </c>
      <c r="AD22">
        <f ca="1">IFERROR(IF(0=LEN(ReferenceData!$AD$22),"",ReferenceData!$AD$22),"")</f>
        <v>546.03800000000001</v>
      </c>
      <c r="AE22">
        <f ca="1">IFERROR(IF(0=LEN(ReferenceData!$AE$22),"",ReferenceData!$AE$22),"")</f>
        <v>500.77699999999999</v>
      </c>
      <c r="AF22">
        <f ca="1">IFERROR(IF(0=LEN(ReferenceData!$AF$22),"",ReferenceData!$AF$22),"")</f>
        <v>492.96499999999997</v>
      </c>
      <c r="AG22">
        <f ca="1">IFERROR(IF(0=LEN(ReferenceData!$AG$22),"",ReferenceData!$AG$22),"")</f>
        <v>591.25400000000002</v>
      </c>
      <c r="AH22">
        <f ca="1">IFERROR(IF(0=LEN(ReferenceData!$AH$22),"",ReferenceData!$AH$22),"")</f>
        <v>417.97899999999998</v>
      </c>
      <c r="AI22">
        <f ca="1">IFERROR(IF(0=LEN(ReferenceData!$AI$22),"",ReferenceData!$AI$22),"")</f>
        <v>444.71499999999997</v>
      </c>
      <c r="AJ22">
        <f ca="1">IFERROR(IF(0=LEN(ReferenceData!$AJ$22),"",ReferenceData!$AJ$22),"")</f>
        <v>379.62900000000002</v>
      </c>
      <c r="AK22">
        <f ca="1">IFERROR(IF(0=LEN(ReferenceData!$AK$22),"",ReferenceData!$AK$22),"")</f>
        <v>464.02199999999999</v>
      </c>
      <c r="AL22">
        <f ca="1">IFERROR(IF(0=LEN(ReferenceData!$AL$22),"",ReferenceData!$AL$22),"")</f>
        <v>416.464</v>
      </c>
      <c r="AM22">
        <f ca="1">IFERROR(IF(0=LEN(ReferenceData!$AM$22),"",ReferenceData!$AM$22),"")</f>
        <v>271.37400000000002</v>
      </c>
      <c r="AN22">
        <f ca="1">IFERROR(IF(0=LEN(ReferenceData!$AN$22),"",ReferenceData!$AN$22),"")</f>
        <v>93.716999999999999</v>
      </c>
      <c r="AO22">
        <f ca="1">IFERROR(IF(0=LEN(ReferenceData!$AO$22),"",ReferenceData!$AO$22),"")</f>
        <v>647.35299999999995</v>
      </c>
      <c r="AP22">
        <f ca="1">IFERROR(IF(0=LEN(ReferenceData!$AP$22),"",ReferenceData!$AP$22),"")</f>
        <v>206.41399999999999</v>
      </c>
      <c r="AQ22">
        <f ca="1">IFERROR(IF(0=LEN(ReferenceData!$AQ$22),"",ReferenceData!$AQ$22),"")</f>
        <v>589.53099999999995</v>
      </c>
      <c r="AR22">
        <f ca="1">IFERROR(IF(0=LEN(ReferenceData!$AR$22),"",ReferenceData!$AR$22),"")</f>
        <v>602.98599999999999</v>
      </c>
      <c r="AS22">
        <f ca="1">IFERROR(IF(0=LEN(ReferenceData!$AS$22),"",ReferenceData!$AS$22),"")</f>
        <v>607.05600000000004</v>
      </c>
      <c r="AT22">
        <f ca="1">IFERROR(IF(0=LEN(ReferenceData!$AT$22),"",ReferenceData!$AT$22),"")</f>
        <v>585.64449999999999</v>
      </c>
      <c r="AU22">
        <f ca="1">IFERROR(IF(0=LEN(ReferenceData!$AU$22),"",ReferenceData!$AU$22),"")</f>
        <v>590.5</v>
      </c>
      <c r="AV22">
        <f ca="1">IFERROR(IF(0=LEN(ReferenceData!$AV$22),"",ReferenceData!$AV$22),"")</f>
        <v>688.27</v>
      </c>
      <c r="AW22">
        <f ca="1">IFERROR(IF(0=LEN(ReferenceData!$AW$22),"",ReferenceData!$AW$22),"")</f>
        <v>665.64499999999998</v>
      </c>
      <c r="AX22">
        <f ca="1">IFERROR(IF(0=LEN(ReferenceData!$AX$22),"",ReferenceData!$AX$22),"")</f>
        <v>628.13199999999995</v>
      </c>
      <c r="AY22">
        <f ca="1">IFERROR(IF(0=LEN(ReferenceData!$AY$22),"",ReferenceData!$AY$22),"")</f>
        <v>614.16899999999998</v>
      </c>
      <c r="AZ22">
        <f ca="1">IFERROR(IF(0=LEN(ReferenceData!$AZ$22),"",ReferenceData!$AZ$22),"")</f>
        <v>648.78899999999999</v>
      </c>
      <c r="BA22">
        <f ca="1">IFERROR(IF(0=LEN(ReferenceData!$BA$22),"",ReferenceData!$BA$22),"")</f>
        <v>663.03599999999994</v>
      </c>
      <c r="BB22">
        <f ca="1">IFERROR(IF(0=LEN(ReferenceData!$BB$22),"",ReferenceData!$BB$22),"")</f>
        <v>639.56100000000004</v>
      </c>
      <c r="BC22">
        <f ca="1">IFERROR(IF(0=LEN(ReferenceData!$BC$22),"",ReferenceData!$BC$22),"")</f>
        <v>609.19000000000005</v>
      </c>
      <c r="BD22">
        <f ca="1">IFERROR(IF(0=LEN(ReferenceData!$BD$22),"",ReferenceData!$BD$22),"")</f>
        <v>641.35799999999995</v>
      </c>
      <c r="BE22">
        <f ca="1">IFERROR(IF(0=LEN(ReferenceData!$BE$22),"",ReferenceData!$BE$22),"")</f>
        <v>636.79100000000005</v>
      </c>
      <c r="BF22">
        <f ca="1">IFERROR(IF(0=LEN(ReferenceData!$BF$22),"",ReferenceData!$BF$22),"")</f>
        <v>602.41300000000001</v>
      </c>
      <c r="BG22">
        <f ca="1">IFERROR(IF(0=LEN(ReferenceData!$BG$22),"",ReferenceData!$BG$22),"")</f>
        <v>580.24699999999996</v>
      </c>
      <c r="BH22">
        <f ca="1">IFERROR(IF(0=LEN(ReferenceData!$BH$22),"",ReferenceData!$BH$22),"")</f>
        <v>614.74300000000005</v>
      </c>
      <c r="BI22">
        <f ca="1">IFERROR(IF(0=LEN(ReferenceData!$BI$22),"",ReferenceData!$BI$22),"")</f>
        <v>559.971</v>
      </c>
      <c r="BJ22">
        <f ca="1">IFERROR(IF(0=LEN(ReferenceData!$BJ$22),"",ReferenceData!$BJ$22),"")</f>
        <v>460.4135</v>
      </c>
      <c r="BK22">
        <f ca="1">IFERROR(IF(0=LEN(ReferenceData!$BK$22),"",ReferenceData!$BK$22),"")</f>
        <v>534.37400000000002</v>
      </c>
      <c r="BL22">
        <f ca="1">IFERROR(IF(0=LEN(ReferenceData!$BL$22),"",ReferenceData!$BL$22),"")</f>
        <v>501.334</v>
      </c>
      <c r="BM22">
        <f ca="1">IFERROR(IF(0=LEN(ReferenceData!$BM$22),"",ReferenceData!$BM$22),"")</f>
        <v>503.27300000000002</v>
      </c>
    </row>
    <row r="23" spans="1:65">
      <c r="A23" t="str">
        <f>IFERROR(IF(0=LEN(ReferenceData!$A$23),"",ReferenceData!$A$23),"")</f>
        <v xml:space="preserve">    Regional Mall REITs</v>
      </c>
      <c r="B23" t="str">
        <f>IFERROR(IF(0=LEN(ReferenceData!$B$23),"",ReferenceData!$B$23),"")</f>
        <v>RECFFORM Index</v>
      </c>
      <c r="C23" t="str">
        <f>IFERROR(IF(0=LEN(ReferenceData!$C$23),"",ReferenceData!$C$23),"")</f>
        <v>PR005</v>
      </c>
      <c r="D23" t="str">
        <f>IFERROR(IF(0=LEN(ReferenceData!$D$23),"",ReferenceData!$D$23),"")</f>
        <v>PX_LAST</v>
      </c>
      <c r="E23" t="str">
        <f>IFERROR(IF(0=LEN(ReferenceData!$E$23),"",ReferenceData!$E$23),"")</f>
        <v>动态</v>
      </c>
      <c r="F23">
        <f ca="1">IFERROR(IF(0=LEN(ReferenceData!$F$23),"",ReferenceData!$F$23),"")</f>
        <v>2015.3764369999999</v>
      </c>
      <c r="G23">
        <f ca="1">IFERROR(IF(0=LEN(ReferenceData!$G$23),"",ReferenceData!$G$23),"")</f>
        <v>1799.7650000000001</v>
      </c>
      <c r="H23">
        <f ca="1">IFERROR(IF(0=LEN(ReferenceData!$H$23),"",ReferenceData!$H$23),"")</f>
        <v>1723.614</v>
      </c>
      <c r="I23">
        <f ca="1">IFERROR(IF(0=LEN(ReferenceData!$I$23),"",ReferenceData!$I$23),"")</f>
        <v>1739.2070000000001</v>
      </c>
      <c r="J23">
        <f ca="1">IFERROR(IF(0=LEN(ReferenceData!$J$23),"",ReferenceData!$J$23),"")</f>
        <v>1916.98</v>
      </c>
      <c r="K23">
        <f ca="1">IFERROR(IF(0=LEN(ReferenceData!$K$23),"",ReferenceData!$K$23),"")</f>
        <v>1777.952</v>
      </c>
      <c r="L23">
        <f ca="1">IFERROR(IF(0=LEN(ReferenceData!$L$23),"",ReferenceData!$L$23),"")</f>
        <v>1796.1</v>
      </c>
      <c r="M23">
        <f ca="1">IFERROR(IF(0=LEN(ReferenceData!$M$23),"",ReferenceData!$M$23),"")</f>
        <v>1781.6969999999999</v>
      </c>
      <c r="N23">
        <f ca="1">IFERROR(IF(0=LEN(ReferenceData!$N$23),"",ReferenceData!$N$23),"")</f>
        <v>1835.7539999999999</v>
      </c>
      <c r="O23">
        <f ca="1">IFERROR(IF(0=LEN(ReferenceData!$O$23),"",ReferenceData!$O$23),"")</f>
        <v>1729.2149999999999</v>
      </c>
      <c r="P23">
        <f ca="1">IFERROR(IF(0=LEN(ReferenceData!$P$23),"",ReferenceData!$P$23),"")</f>
        <v>1716.654</v>
      </c>
      <c r="Q23">
        <f ca="1">IFERROR(IF(0=LEN(ReferenceData!$Q$23),"",ReferenceData!$Q$23),"")</f>
        <v>1518.8</v>
      </c>
      <c r="R23">
        <f ca="1">IFERROR(IF(0=LEN(ReferenceData!$R$23),"",ReferenceData!$R$23),"")</f>
        <v>1823.0930000000001</v>
      </c>
      <c r="S23">
        <f ca="1">IFERROR(IF(0=LEN(ReferenceData!$S$23),"",ReferenceData!$S$23),"")</f>
        <v>1460.346</v>
      </c>
      <c r="T23">
        <f ca="1">IFERROR(IF(0=LEN(ReferenceData!$T$23),"",ReferenceData!$T$23),"")</f>
        <v>1455.752</v>
      </c>
      <c r="U23">
        <f ca="1">IFERROR(IF(0=LEN(ReferenceData!$U$23),"",ReferenceData!$U$23),"")</f>
        <v>1592.8389999999999</v>
      </c>
      <c r="V23">
        <f ca="1">IFERROR(IF(0=LEN(ReferenceData!$V$23),"",ReferenceData!$V$23),"")</f>
        <v>1636.769</v>
      </c>
      <c r="W23">
        <f ca="1">IFERROR(IF(0=LEN(ReferenceData!$W$23),"",ReferenceData!$W$23),"")</f>
        <v>1431.13</v>
      </c>
      <c r="X23">
        <f ca="1">IFERROR(IF(0=LEN(ReferenceData!$X$23),"",ReferenceData!$X$23),"")</f>
        <v>1331.1479999999999</v>
      </c>
      <c r="Y23">
        <f ca="1">IFERROR(IF(0=LEN(ReferenceData!$Y$23),"",ReferenceData!$Y$23),"")</f>
        <v>1295.2940000000001</v>
      </c>
      <c r="Z23">
        <f ca="1">IFERROR(IF(0=LEN(ReferenceData!$Z$23),"",ReferenceData!$Z$23),"")</f>
        <v>1481.19</v>
      </c>
      <c r="AA23">
        <f ca="1">IFERROR(IF(0=LEN(ReferenceData!$AA$23),"",ReferenceData!$AA$23),"")</f>
        <v>1138.5070000000001</v>
      </c>
      <c r="AB23">
        <f ca="1">IFERROR(IF(0=LEN(ReferenceData!$AB$23),"",ReferenceData!$AB$23),"")</f>
        <v>1200.019</v>
      </c>
      <c r="AC23">
        <f ca="1">IFERROR(IF(0=LEN(ReferenceData!$AC$23),"",ReferenceData!$AC$23),"")</f>
        <v>998.13699999999994</v>
      </c>
      <c r="AD23">
        <f ca="1">IFERROR(IF(0=LEN(ReferenceData!$AD$23),"",ReferenceData!$AD$23),"")</f>
        <v>1115.04</v>
      </c>
      <c r="AE23">
        <f ca="1">IFERROR(IF(0=LEN(ReferenceData!$AE$23),"",ReferenceData!$AE$23),"")</f>
        <v>1424.7170000000001</v>
      </c>
      <c r="AF23">
        <f ca="1">IFERROR(IF(0=LEN(ReferenceData!$AF$23),"",ReferenceData!$AF$23),"")</f>
        <v>932.94100000000003</v>
      </c>
      <c r="AG23">
        <f ca="1">IFERROR(IF(0=LEN(ReferenceData!$AG$23),"",ReferenceData!$AG$23),"")</f>
        <v>1143.6289999999999</v>
      </c>
      <c r="AH23">
        <f ca="1">IFERROR(IF(0=LEN(ReferenceData!$AH$23),"",ReferenceData!$AH$23),"")</f>
        <v>1205.81</v>
      </c>
      <c r="AI23">
        <f ca="1">IFERROR(IF(0=LEN(ReferenceData!$AI$23),"",ReferenceData!$AI$23),"")</f>
        <v>569.32799999999997</v>
      </c>
      <c r="AJ23">
        <f ca="1">IFERROR(IF(0=LEN(ReferenceData!$AJ$23),"",ReferenceData!$AJ$23),"")</f>
        <v>698.01499999999999</v>
      </c>
      <c r="AK23">
        <f ca="1">IFERROR(IF(0=LEN(ReferenceData!$AK$23),"",ReferenceData!$AK$23),"")</f>
        <v>566.09100000000001</v>
      </c>
      <c r="AL23">
        <f ca="1">IFERROR(IF(0=LEN(ReferenceData!$AL$23),"",ReferenceData!$AL$23),"")</f>
        <v>792.846</v>
      </c>
      <c r="AM23">
        <f ca="1">IFERROR(IF(0=LEN(ReferenceData!$AM$23),"",ReferenceData!$AM$23),"")</f>
        <v>636.16700000000003</v>
      </c>
      <c r="AN23">
        <f ca="1">IFERROR(IF(0=LEN(ReferenceData!$AN$23),"",ReferenceData!$AN$23),"")</f>
        <v>560.29300000000001</v>
      </c>
      <c r="AO23">
        <f ca="1">IFERROR(IF(0=LEN(ReferenceData!$AO$23),"",ReferenceData!$AO$23),"")</f>
        <v>753.91</v>
      </c>
      <c r="AP23">
        <f ca="1">IFERROR(IF(0=LEN(ReferenceData!$AP$23),"",ReferenceData!$AP$23),"")</f>
        <v>838.52099999999996</v>
      </c>
      <c r="AQ23">
        <f ca="1">IFERROR(IF(0=LEN(ReferenceData!$AQ$23),"",ReferenceData!$AQ$23),"")</f>
        <v>926.56399999999996</v>
      </c>
      <c r="AR23">
        <f ca="1">IFERROR(IF(0=LEN(ReferenceData!$AR$23),"",ReferenceData!$AR$23),"")</f>
        <v>848.88300000000004</v>
      </c>
      <c r="AS23">
        <f ca="1">IFERROR(IF(0=LEN(ReferenceData!$AS$23),"",ReferenceData!$AS$23),"")</f>
        <v>911.29100000000005</v>
      </c>
      <c r="AT23">
        <f ca="1">IFERROR(IF(0=LEN(ReferenceData!$AT$23),"",ReferenceData!$AT$23),"")</f>
        <v>975.90599999999995</v>
      </c>
      <c r="AU23">
        <f ca="1">IFERROR(IF(0=LEN(ReferenceData!$AU$23),"",ReferenceData!$AU$23),"")</f>
        <v>931.09799999999996</v>
      </c>
      <c r="AV23">
        <f ca="1">IFERROR(IF(0=LEN(ReferenceData!$AV$23),"",ReferenceData!$AV$23),"")</f>
        <v>855.18899999999996</v>
      </c>
      <c r="AW23">
        <f ca="1">IFERROR(IF(0=LEN(ReferenceData!$AW$23),"",ReferenceData!$AW$23),"")</f>
        <v>1151.5619999999999</v>
      </c>
      <c r="AX23">
        <f ca="1">IFERROR(IF(0=LEN(ReferenceData!$AX$23),"",ReferenceData!$AX$23),"")</f>
        <v>1007.1015</v>
      </c>
      <c r="AY23">
        <f ca="1">IFERROR(IF(0=LEN(ReferenceData!$AY$23),"",ReferenceData!$AY$23),"")</f>
        <v>826.63099999999997</v>
      </c>
      <c r="AZ23">
        <f ca="1">IFERROR(IF(0=LEN(ReferenceData!$AZ$23),"",ReferenceData!$AZ$23),"")</f>
        <v>752.88900000000001</v>
      </c>
      <c r="BA23">
        <f ca="1">IFERROR(IF(0=LEN(ReferenceData!$BA$23),"",ReferenceData!$BA$23),"")</f>
        <v>862.15700000000004</v>
      </c>
      <c r="BB23">
        <f ca="1">IFERROR(IF(0=LEN(ReferenceData!$BB$23),"",ReferenceData!$BB$23),"")</f>
        <v>1003.9640000000001</v>
      </c>
      <c r="BC23">
        <f ca="1">IFERROR(IF(0=LEN(ReferenceData!$BC$23),"",ReferenceData!$BC$23),"")</f>
        <v>862.68799999999999</v>
      </c>
      <c r="BD23">
        <f ca="1">IFERROR(IF(0=LEN(ReferenceData!$BD$23),"",ReferenceData!$BD$23),"")</f>
        <v>868.55799999999999</v>
      </c>
      <c r="BE23">
        <f ca="1">IFERROR(IF(0=LEN(ReferenceData!$BE$23),"",ReferenceData!$BE$23),"")</f>
        <v>856.28</v>
      </c>
      <c r="BF23">
        <f ca="1">IFERROR(IF(0=LEN(ReferenceData!$BF$23),"",ReferenceData!$BF$23),"")</f>
        <v>1017.893</v>
      </c>
      <c r="BG23">
        <f ca="1">IFERROR(IF(0=LEN(ReferenceData!$BG$23),"",ReferenceData!$BG$23),"")</f>
        <v>792.04499999999996</v>
      </c>
      <c r="BH23">
        <f ca="1">IFERROR(IF(0=LEN(ReferenceData!$BH$23),"",ReferenceData!$BH$23),"")</f>
        <v>817.52099999999996</v>
      </c>
      <c r="BI23">
        <f ca="1">IFERROR(IF(0=LEN(ReferenceData!$BI$23),"",ReferenceData!$BI$23),"")</f>
        <v>789.47900000000004</v>
      </c>
      <c r="BJ23">
        <f ca="1">IFERROR(IF(0=LEN(ReferenceData!$BJ$23),"",ReferenceData!$BJ$23),"")</f>
        <v>903.96849999999995</v>
      </c>
      <c r="BK23">
        <f ca="1">IFERROR(IF(0=LEN(ReferenceData!$BK$23),"",ReferenceData!$BK$23),"")</f>
        <v>730.39499999999998</v>
      </c>
      <c r="BL23">
        <f ca="1">IFERROR(IF(0=LEN(ReferenceData!$BL$23),"",ReferenceData!$BL$23),"")</f>
        <v>704.37300000000005</v>
      </c>
      <c r="BM23">
        <f ca="1">IFERROR(IF(0=LEN(ReferenceData!$BM$23),"",ReferenceData!$BM$23),"")</f>
        <v>667.85900000000004</v>
      </c>
    </row>
    <row r="24" spans="1:65">
      <c r="A24" t="str">
        <f>IFERROR(IF(0=LEN(ReferenceData!$A$24),"",ReferenceData!$A$24),"")</f>
        <v xml:space="preserve">    Free Standing Retail REITs</v>
      </c>
      <c r="B24" t="str">
        <f>IFERROR(IF(0=LEN(ReferenceData!$B$24),"",ReferenceData!$B$24),"")</f>
        <v>RECFFOFS Index</v>
      </c>
      <c r="C24" t="str">
        <f>IFERROR(IF(0=LEN(ReferenceData!$C$24),"",ReferenceData!$C$24),"")</f>
        <v>PR005</v>
      </c>
      <c r="D24" t="str">
        <f>IFERROR(IF(0=LEN(ReferenceData!$D$24),"",ReferenceData!$D$24),"")</f>
        <v>PX_LAST</v>
      </c>
      <c r="E24" t="str">
        <f>IFERROR(IF(0=LEN(ReferenceData!$E$24),"",ReferenceData!$E$24),"")</f>
        <v>动态</v>
      </c>
      <c r="F24">
        <f ca="1">IFERROR(IF(0=LEN(ReferenceData!$F$24),"",ReferenceData!$F$24),"")</f>
        <v>498.9235516</v>
      </c>
      <c r="G24">
        <f ca="1">IFERROR(IF(0=LEN(ReferenceData!$G$24),"",ReferenceData!$G$24),"")</f>
        <v>557.03599999999994</v>
      </c>
      <c r="H24">
        <f ca="1">IFERROR(IF(0=LEN(ReferenceData!$H$24),"",ReferenceData!$H$24),"")</f>
        <v>534.21699999999998</v>
      </c>
      <c r="I24">
        <f ca="1">IFERROR(IF(0=LEN(ReferenceData!$I$24),"",ReferenceData!$I$24),"")</f>
        <v>515.77099999999996</v>
      </c>
      <c r="J24">
        <f ca="1">IFERROR(IF(0=LEN(ReferenceData!$J$24),"",ReferenceData!$J$24),"")</f>
        <v>543.80899999999997</v>
      </c>
      <c r="K24">
        <f ca="1">IFERROR(IF(0=LEN(ReferenceData!$K$24),"",ReferenceData!$K$24),"")</f>
        <v>485.00799999999998</v>
      </c>
      <c r="L24">
        <f ca="1">IFERROR(IF(0=LEN(ReferenceData!$L$24),"",ReferenceData!$L$24),"")</f>
        <v>455.66399999999999</v>
      </c>
      <c r="M24">
        <f ca="1">IFERROR(IF(0=LEN(ReferenceData!$M$24),"",ReferenceData!$M$24),"")</f>
        <v>448.63799999999998</v>
      </c>
      <c r="N24">
        <f ca="1">IFERROR(IF(0=LEN(ReferenceData!$N$24),"",ReferenceData!$N$24),"")</f>
        <v>446.80900000000003</v>
      </c>
      <c r="O24">
        <f ca="1">IFERROR(IF(0=LEN(ReferenceData!$O$24),"",ReferenceData!$O$24),"")</f>
        <v>410.05500000000001</v>
      </c>
      <c r="P24">
        <f ca="1">IFERROR(IF(0=LEN(ReferenceData!$P$24),"",ReferenceData!$P$24),"")</f>
        <v>398.25900000000001</v>
      </c>
      <c r="Q24">
        <f ca="1">IFERROR(IF(0=LEN(ReferenceData!$Q$24),"",ReferenceData!$Q$24),"")</f>
        <v>557.83199999999999</v>
      </c>
      <c r="R24">
        <f ca="1">IFERROR(IF(0=LEN(ReferenceData!$R$24),"",ReferenceData!$R$24),"")</f>
        <v>289.904</v>
      </c>
      <c r="S24">
        <f ca="1">IFERROR(IF(0=LEN(ReferenceData!$S$24),"",ReferenceData!$S$24),"")</f>
        <v>504.82799999999997</v>
      </c>
      <c r="T24">
        <f ca="1">IFERROR(IF(0=LEN(ReferenceData!$T$24),"",ReferenceData!$T$24),"")</f>
        <v>379.80900000000003</v>
      </c>
      <c r="U24">
        <f ca="1">IFERROR(IF(0=LEN(ReferenceData!$U$24),"",ReferenceData!$U$24),"")</f>
        <v>144.4</v>
      </c>
      <c r="V24">
        <f ca="1">IFERROR(IF(0=LEN(ReferenceData!$V$24),"",ReferenceData!$V$24),"")</f>
        <v>152.15600000000001</v>
      </c>
      <c r="W24">
        <f ca="1">IFERROR(IF(0=LEN(ReferenceData!$W$24),"",ReferenceData!$W$24),"")</f>
        <v>285.80399999999997</v>
      </c>
      <c r="X24">
        <f ca="1">IFERROR(IF(0=LEN(ReferenceData!$X$24),"",ReferenceData!$X$24),"")</f>
        <v>249.21199999999999</v>
      </c>
      <c r="Y24">
        <f ca="1">IFERROR(IF(0=LEN(ReferenceData!$Y$24),"",ReferenceData!$Y$24),"")</f>
        <v>75.930000000000007</v>
      </c>
      <c r="Z24">
        <f ca="1">IFERROR(IF(0=LEN(ReferenceData!$Z$24),"",ReferenceData!$Z$24),"")</f>
        <v>168.80500000000001</v>
      </c>
      <c r="AA24">
        <f ca="1">IFERROR(IF(0=LEN(ReferenceData!$AA$24),"",ReferenceData!$AA$24),"")</f>
        <v>141.09299999999999</v>
      </c>
      <c r="AB24">
        <f ca="1">IFERROR(IF(0=LEN(ReferenceData!$AB$24),"",ReferenceData!$AB$24),"")</f>
        <v>152.54499999999999</v>
      </c>
      <c r="AC24">
        <f ca="1">IFERROR(IF(0=LEN(ReferenceData!$AC$24),"",ReferenceData!$AC$24),"")</f>
        <v>149.22900000000001</v>
      </c>
      <c r="AD24">
        <f ca="1">IFERROR(IF(0=LEN(ReferenceData!$AD$24),"",ReferenceData!$AD$24),"")</f>
        <v>114.194</v>
      </c>
      <c r="AE24">
        <f ca="1">IFERROR(IF(0=LEN(ReferenceData!$AE$24),"",ReferenceData!$AE$24),"")</f>
        <v>120.18899999999999</v>
      </c>
      <c r="AF24">
        <f ca="1">IFERROR(IF(0=LEN(ReferenceData!$AF$24),"",ReferenceData!$AF$24),"")</f>
        <v>117.224</v>
      </c>
      <c r="AG24">
        <f ca="1">IFERROR(IF(0=LEN(ReferenceData!$AG$24),"",ReferenceData!$AG$24),"")</f>
        <v>109.145</v>
      </c>
      <c r="AH24">
        <f ca="1">IFERROR(IF(0=LEN(ReferenceData!$AH$24),"",ReferenceData!$AH$24),"")</f>
        <v>98.418000000000006</v>
      </c>
      <c r="AI24">
        <f ca="1">IFERROR(IF(0=LEN(ReferenceData!$AI$24),"",ReferenceData!$AI$24),"")</f>
        <v>99.284000000000006</v>
      </c>
      <c r="AJ24">
        <f ca="1">IFERROR(IF(0=LEN(ReferenceData!$AJ$24),"",ReferenceData!$AJ$24),"")</f>
        <v>97.227000000000004</v>
      </c>
      <c r="AK24">
        <f ca="1">IFERROR(IF(0=LEN(ReferenceData!$AK$24),"",ReferenceData!$AK$24),"")</f>
        <v>91.992000000000004</v>
      </c>
      <c r="AL24">
        <f ca="1">IFERROR(IF(0=LEN(ReferenceData!$AL$24),"",ReferenceData!$AL$24),"")</f>
        <v>65.697000000000003</v>
      </c>
      <c r="AM24">
        <f ca="1">IFERROR(IF(0=LEN(ReferenceData!$AM$24),"",ReferenceData!$AM$24),"")</f>
        <v>98.938000000000002</v>
      </c>
      <c r="AN24">
        <f ca="1">IFERROR(IF(0=LEN(ReferenceData!$AN$24),"",ReferenceData!$AN$24),"")</f>
        <v>93.501999999999995</v>
      </c>
      <c r="AO24">
        <f ca="1">IFERROR(IF(0=LEN(ReferenceData!$AO$24),"",ReferenceData!$AO$24),"")</f>
        <v>99.19</v>
      </c>
      <c r="AP24">
        <f ca="1">IFERROR(IF(0=LEN(ReferenceData!$AP$24),"",ReferenceData!$AP$24),"")</f>
        <v>100.631</v>
      </c>
      <c r="AQ24">
        <f ca="1">IFERROR(IF(0=LEN(ReferenceData!$AQ$24),"",ReferenceData!$AQ$24),"")</f>
        <v>75.191999999999993</v>
      </c>
      <c r="AR24">
        <f ca="1">IFERROR(IF(0=LEN(ReferenceData!$AR$24),"",ReferenceData!$AR$24),"")</f>
        <v>145.452</v>
      </c>
      <c r="AS24">
        <f ca="1">IFERROR(IF(0=LEN(ReferenceData!$AS$24),"",ReferenceData!$AS$24),"")</f>
        <v>122.949</v>
      </c>
      <c r="AT24">
        <f ca="1">IFERROR(IF(0=LEN(ReferenceData!$AT$24),"",ReferenceData!$AT$24),"")</f>
        <v>130.04300000000001</v>
      </c>
      <c r="AU24">
        <f ca="1">IFERROR(IF(0=LEN(ReferenceData!$AU$24),"",ReferenceData!$AU$24),"")</f>
        <v>129.822</v>
      </c>
      <c r="AV24">
        <f ca="1">IFERROR(IF(0=LEN(ReferenceData!$AV$24),"",ReferenceData!$AV$24),"")</f>
        <v>123.69799999999999</v>
      </c>
      <c r="AW24">
        <f ca="1">IFERROR(IF(0=LEN(ReferenceData!$AW$24),"",ReferenceData!$AW$24),"")</f>
        <v>132.90700000000001</v>
      </c>
      <c r="AX24">
        <f ca="1">IFERROR(IF(0=LEN(ReferenceData!$AX$24),"",ReferenceData!$AX$24),"")</f>
        <v>22.094000000000001</v>
      </c>
      <c r="AY24">
        <f ca="1">IFERROR(IF(0=LEN(ReferenceData!$AY$24),"",ReferenceData!$AY$24),"")</f>
        <v>83.584999999999994</v>
      </c>
      <c r="AZ24">
        <f ca="1">IFERROR(IF(0=LEN(ReferenceData!$AZ$24),"",ReferenceData!$AZ$24),"")</f>
        <v>142.69399999999999</v>
      </c>
      <c r="BA24">
        <f ca="1">IFERROR(IF(0=LEN(ReferenceData!$BA$24),"",ReferenceData!$BA$24),"")</f>
        <v>81.521000000000001</v>
      </c>
      <c r="BB24">
        <f ca="1">IFERROR(IF(0=LEN(ReferenceData!$BB$24),"",ReferenceData!$BB$24),"")</f>
        <v>139.43799999999999</v>
      </c>
      <c r="BC24">
        <f ca="1">IFERROR(IF(0=LEN(ReferenceData!$BC$24),"",ReferenceData!$BC$24),"")</f>
        <v>89.263999999999996</v>
      </c>
      <c r="BD24">
        <f ca="1">IFERROR(IF(0=LEN(ReferenceData!$BD$24),"",ReferenceData!$BD$24),"")</f>
        <v>110.62</v>
      </c>
      <c r="BE24">
        <f ca="1">IFERROR(IF(0=LEN(ReferenceData!$BE$24),"",ReferenceData!$BE$24),"")</f>
        <v>111.297</v>
      </c>
      <c r="BF24">
        <f ca="1">IFERROR(IF(0=LEN(ReferenceData!$BF$24),"",ReferenceData!$BF$24),"")</f>
        <v>70.013000000000005</v>
      </c>
      <c r="BG24">
        <f ca="1">IFERROR(IF(0=LEN(ReferenceData!$BG$24),"",ReferenceData!$BG$24),"")</f>
        <v>65.956999999999994</v>
      </c>
      <c r="BH24">
        <f ca="1">IFERROR(IF(0=LEN(ReferenceData!$BH$24),"",ReferenceData!$BH$24),"")</f>
        <v>73.564999999999998</v>
      </c>
      <c r="BI24">
        <f ca="1">IFERROR(IF(0=LEN(ReferenceData!$BI$24),"",ReferenceData!$BI$24),"")</f>
        <v>52.097000000000001</v>
      </c>
      <c r="BJ24">
        <f ca="1">IFERROR(IF(0=LEN(ReferenceData!$BJ$24),"",ReferenceData!$BJ$24),"")</f>
        <v>72.498999999999995</v>
      </c>
      <c r="BK24">
        <f ca="1">IFERROR(IF(0=LEN(ReferenceData!$BK$24),"",ReferenceData!$BK$24),"")</f>
        <v>51.423999999999999</v>
      </c>
      <c r="BL24">
        <f ca="1">IFERROR(IF(0=LEN(ReferenceData!$BL$24),"",ReferenceData!$BL$24),"")</f>
        <v>51.813000000000002</v>
      </c>
      <c r="BM24">
        <f ca="1">IFERROR(IF(0=LEN(ReferenceData!$BM$24),"",ReferenceData!$BM$24),"")</f>
        <v>60.03</v>
      </c>
    </row>
    <row r="25" spans="1:65">
      <c r="A25" t="str">
        <f>IFERROR(IF(0=LEN(ReferenceData!$A$25),"",ReferenceData!$A$25),"")</f>
        <v xml:space="preserve">    Residential REITs</v>
      </c>
      <c r="B25" t="str">
        <f>IFERROR(IF(0=LEN(ReferenceData!$B$25),"",ReferenceData!$B$25),"")</f>
        <v>RECFFORS Index</v>
      </c>
      <c r="C25" t="str">
        <f>IFERROR(IF(0=LEN(ReferenceData!$C$25),"",ReferenceData!$C$25),"")</f>
        <v>PR005</v>
      </c>
      <c r="D25" t="str">
        <f>IFERROR(IF(0=LEN(ReferenceData!$D$25),"",ReferenceData!$D$25),"")</f>
        <v>PX_LAST</v>
      </c>
      <c r="E25" t="str">
        <f>IFERROR(IF(0=LEN(ReferenceData!$E$25),"",ReferenceData!$E$25),"")</f>
        <v>动态</v>
      </c>
      <c r="F25">
        <f ca="1">IFERROR(IF(0=LEN(ReferenceData!$F$25),"",ReferenceData!$F$25),"")</f>
        <v>1812.395066</v>
      </c>
      <c r="G25">
        <f ca="1">IFERROR(IF(0=LEN(ReferenceData!$G$25),"",ReferenceData!$G$25),"")</f>
        <v>1784.193</v>
      </c>
      <c r="H25">
        <f ca="1">IFERROR(IF(0=LEN(ReferenceData!$H$25),"",ReferenceData!$H$25),"")</f>
        <v>1727.5</v>
      </c>
      <c r="I25">
        <f ca="1">IFERROR(IF(0=LEN(ReferenceData!$I$25),"",ReferenceData!$I$25),"")</f>
        <v>1734.752</v>
      </c>
      <c r="J25">
        <f ca="1">IFERROR(IF(0=LEN(ReferenceData!$J$25),"",ReferenceData!$J$25),"")</f>
        <v>1596.9760000000001</v>
      </c>
      <c r="K25">
        <f ca="1">IFERROR(IF(0=LEN(ReferenceData!$K$25),"",ReferenceData!$K$25),"")</f>
        <v>1626.8789999999999</v>
      </c>
      <c r="L25">
        <f ca="1">IFERROR(IF(0=LEN(ReferenceData!$L$25),"",ReferenceData!$L$25),"")</f>
        <v>1646.4829999999999</v>
      </c>
      <c r="M25">
        <f ca="1">IFERROR(IF(0=LEN(ReferenceData!$M$25),"",ReferenceData!$M$25),"")</f>
        <v>1489.5329999999999</v>
      </c>
      <c r="N25">
        <f ca="1">IFERROR(IF(0=LEN(ReferenceData!$N$25),"",ReferenceData!$N$25),"")</f>
        <v>1579.8610000000001</v>
      </c>
      <c r="O25">
        <f ca="1">IFERROR(IF(0=LEN(ReferenceData!$O$25),"",ReferenceData!$O$25),"")</f>
        <v>1541.452</v>
      </c>
      <c r="P25">
        <f ca="1">IFERROR(IF(0=LEN(ReferenceData!$P$25),"",ReferenceData!$P$25),"")</f>
        <v>1661.556</v>
      </c>
      <c r="Q25">
        <f ca="1">IFERROR(IF(0=LEN(ReferenceData!$Q$25),"",ReferenceData!$Q$25),"")</f>
        <v>1519.3430000000001</v>
      </c>
      <c r="R25">
        <f ca="1">IFERROR(IF(0=LEN(ReferenceData!$R$25),"",ReferenceData!$R$25),"")</f>
        <v>1467.2929999999999</v>
      </c>
      <c r="S25">
        <f ca="1">IFERROR(IF(0=LEN(ReferenceData!$S$25),"",ReferenceData!$S$25),"")</f>
        <v>1278.0619999999999</v>
      </c>
      <c r="T25">
        <f ca="1">IFERROR(IF(0=LEN(ReferenceData!$T$25),"",ReferenceData!$T$25),"")</f>
        <v>1330.136</v>
      </c>
      <c r="U25">
        <f ca="1">IFERROR(IF(0=LEN(ReferenceData!$U$25),"",ReferenceData!$U$25),"")</f>
        <v>1255.4870000000001</v>
      </c>
      <c r="V25">
        <f ca="1">IFERROR(IF(0=LEN(ReferenceData!$V$25),"",ReferenceData!$V$25),"")</f>
        <v>1279.462</v>
      </c>
      <c r="W25">
        <f ca="1">IFERROR(IF(0=LEN(ReferenceData!$W$25),"",ReferenceData!$W$25),"")</f>
        <v>1128.721</v>
      </c>
      <c r="X25">
        <f ca="1">IFERROR(IF(0=LEN(ReferenceData!$X$25),"",ReferenceData!$X$25),"")</f>
        <v>1221.1400000000001</v>
      </c>
      <c r="Y25">
        <f ca="1">IFERROR(IF(0=LEN(ReferenceData!$Y$25),"",ReferenceData!$Y$25),"")</f>
        <v>941.94500000000005</v>
      </c>
      <c r="Z25">
        <f ca="1">IFERROR(IF(0=LEN(ReferenceData!$Z$25),"",ReferenceData!$Z$25),"")</f>
        <v>1132.576</v>
      </c>
      <c r="AA25">
        <f ca="1">IFERROR(IF(0=LEN(ReferenceData!$AA$25),"",ReferenceData!$AA$25),"")</f>
        <v>1078.7159999999999</v>
      </c>
      <c r="AB25">
        <f ca="1">IFERROR(IF(0=LEN(ReferenceData!$AB$25),"",ReferenceData!$AB$25),"")</f>
        <v>966.16700000000003</v>
      </c>
      <c r="AC25">
        <f ca="1">IFERROR(IF(0=LEN(ReferenceData!$AC$25),"",ReferenceData!$AC$25),"")</f>
        <v>965.71799999999996</v>
      </c>
      <c r="AD25">
        <f ca="1">IFERROR(IF(0=LEN(ReferenceData!$AD$25),"",ReferenceData!$AD$25),"")</f>
        <v>894.17700000000002</v>
      </c>
      <c r="AE25">
        <f ca="1">IFERROR(IF(0=LEN(ReferenceData!$AE$25),"",ReferenceData!$AE$25),"")</f>
        <v>814.43</v>
      </c>
      <c r="AF25">
        <f ca="1">IFERROR(IF(0=LEN(ReferenceData!$AF$25),"",ReferenceData!$AF$25),"")</f>
        <v>727.10799999999995</v>
      </c>
      <c r="AG25">
        <f ca="1">IFERROR(IF(0=LEN(ReferenceData!$AG$25),"",ReferenceData!$AG$25),"")</f>
        <v>757.96799999999996</v>
      </c>
      <c r="AH25">
        <f ca="1">IFERROR(IF(0=LEN(ReferenceData!$AH$25),"",ReferenceData!$AH$25),"")</f>
        <v>649.76099999999997</v>
      </c>
      <c r="AI25">
        <f ca="1">IFERROR(IF(0=LEN(ReferenceData!$AI$25),"",ReferenceData!$AI$25),"")</f>
        <v>655.80600000000004</v>
      </c>
      <c r="AJ25">
        <f ca="1">IFERROR(IF(0=LEN(ReferenceData!$AJ$25),"",ReferenceData!$AJ$25),"")</f>
        <v>627.59299999999996</v>
      </c>
      <c r="AK25">
        <f ca="1">IFERROR(IF(0=LEN(ReferenceData!$AK$25),"",ReferenceData!$AK$25),"")</f>
        <v>630.09199999999998</v>
      </c>
      <c r="AL25">
        <f ca="1">IFERROR(IF(0=LEN(ReferenceData!$AL$25),"",ReferenceData!$AL$25),"")</f>
        <v>451.95</v>
      </c>
      <c r="AM25">
        <f ca="1">IFERROR(IF(0=LEN(ReferenceData!$AM$25),"",ReferenceData!$AM$25),"")</f>
        <v>608.85599999999999</v>
      </c>
      <c r="AN25">
        <f ca="1">IFERROR(IF(0=LEN(ReferenceData!$AN$25),"",ReferenceData!$AN$25),"")</f>
        <v>581.01</v>
      </c>
      <c r="AO25">
        <f ca="1">IFERROR(IF(0=LEN(ReferenceData!$AO$25),"",ReferenceData!$AO$25),"")</f>
        <v>766.03300000000002</v>
      </c>
      <c r="AP25">
        <f ca="1">IFERROR(IF(0=LEN(ReferenceData!$AP$25),"",ReferenceData!$AP$25),"")</f>
        <v>202.31899999999999</v>
      </c>
      <c r="AQ25">
        <f ca="1">IFERROR(IF(0=LEN(ReferenceData!$AQ$25),"",ReferenceData!$AQ$25),"")</f>
        <v>707.30799999999999</v>
      </c>
      <c r="AR25">
        <f ca="1">IFERROR(IF(0=LEN(ReferenceData!$AR$25),"",ReferenceData!$AR$25),"")</f>
        <v>695.93</v>
      </c>
      <c r="AS25">
        <f ca="1">IFERROR(IF(0=LEN(ReferenceData!$AS$25),"",ReferenceData!$AS$25),"")</f>
        <v>725.15899999999999</v>
      </c>
      <c r="AT25">
        <f ca="1">IFERROR(IF(0=LEN(ReferenceData!$AT$25),"",ReferenceData!$AT$25),"")</f>
        <v>747.6345</v>
      </c>
      <c r="AU25">
        <f ca="1">IFERROR(IF(0=LEN(ReferenceData!$AU$25),"",ReferenceData!$AU$25),"")</f>
        <v>715.05600000000004</v>
      </c>
      <c r="AV25">
        <f ca="1">IFERROR(IF(0=LEN(ReferenceData!$AV$25),"",ReferenceData!$AV$25),"")</f>
        <v>855.08699999999999</v>
      </c>
      <c r="AW25">
        <f ca="1">IFERROR(IF(0=LEN(ReferenceData!$AW$25),"",ReferenceData!$AW$25),"")</f>
        <v>840.92600000000004</v>
      </c>
      <c r="AX25">
        <f ca="1">IFERROR(IF(0=LEN(ReferenceData!$AX$25),"",ReferenceData!$AX$25),"")</f>
        <v>781.09799999999996</v>
      </c>
      <c r="AY25">
        <f ca="1">IFERROR(IF(0=LEN(ReferenceData!$AY$25),"",ReferenceData!$AY$25),"")</f>
        <v>839.27599999999995</v>
      </c>
      <c r="AZ25">
        <f ca="1">IFERROR(IF(0=LEN(ReferenceData!$AZ$25),"",ReferenceData!$AZ$25),"")</f>
        <v>869.423</v>
      </c>
      <c r="BA25">
        <f ca="1">IFERROR(IF(0=LEN(ReferenceData!$BA$25),"",ReferenceData!$BA$25),"")</f>
        <v>833.00800000000004</v>
      </c>
      <c r="BB25">
        <f ca="1">IFERROR(IF(0=LEN(ReferenceData!$BB$25),"",ReferenceData!$BB$25),"")</f>
        <v>778.27700000000004</v>
      </c>
      <c r="BC25">
        <f ca="1">IFERROR(IF(0=LEN(ReferenceData!$BC$25),"",ReferenceData!$BC$25),"")</f>
        <v>686.80200000000002</v>
      </c>
      <c r="BD25">
        <f ca="1">IFERROR(IF(0=LEN(ReferenceData!$BD$25),"",ReferenceData!$BD$25),"")</f>
        <v>779.58500000000004</v>
      </c>
      <c r="BE25">
        <f ca="1">IFERROR(IF(0=LEN(ReferenceData!$BE$25),"",ReferenceData!$BE$25),"")</f>
        <v>829.71799999999996</v>
      </c>
      <c r="BF25">
        <f ca="1">IFERROR(IF(0=LEN(ReferenceData!$BF$25),"",ReferenceData!$BF$25),"")</f>
        <v>698.87350000000004</v>
      </c>
      <c r="BG25">
        <f ca="1">IFERROR(IF(0=LEN(ReferenceData!$BG$25),"",ReferenceData!$BG$25),"")</f>
        <v>754.8365</v>
      </c>
      <c r="BH25">
        <f ca="1">IFERROR(IF(0=LEN(ReferenceData!$BH$25),"",ReferenceData!$BH$25),"")</f>
        <v>705.67</v>
      </c>
      <c r="BI25">
        <f ca="1">IFERROR(IF(0=LEN(ReferenceData!$BI$25),"",ReferenceData!$BI$25),"")</f>
        <v>714.14</v>
      </c>
      <c r="BJ25">
        <f ca="1">IFERROR(IF(0=LEN(ReferenceData!$BJ$25),"",ReferenceData!$BJ$25),"")</f>
        <v>715.80550000000005</v>
      </c>
      <c r="BK25">
        <f ca="1">IFERROR(IF(0=LEN(ReferenceData!$BK$25),"",ReferenceData!$BK$25),"")</f>
        <v>740.86699999999996</v>
      </c>
      <c r="BL25">
        <f ca="1">IFERROR(IF(0=LEN(ReferenceData!$BL$25),"",ReferenceData!$BL$25),"")</f>
        <v>743.71500000000003</v>
      </c>
      <c r="BM25">
        <f ca="1">IFERROR(IF(0=LEN(ReferenceData!$BM$25),"",ReferenceData!$BM$25),"")</f>
        <v>748.56100000000004</v>
      </c>
    </row>
    <row r="26" spans="1:65">
      <c r="A26" t="str">
        <f>IFERROR(IF(0=LEN(ReferenceData!$A$26),"",ReferenceData!$A$26),"")</f>
        <v xml:space="preserve">    Apartment REITs</v>
      </c>
      <c r="B26" t="str">
        <f>IFERROR(IF(0=LEN(ReferenceData!$B$26),"",ReferenceData!$B$26),"")</f>
        <v>RECFFOAP Index</v>
      </c>
      <c r="C26" t="str">
        <f>IFERROR(IF(0=LEN(ReferenceData!$C$26),"",ReferenceData!$C$26),"")</f>
        <v>PR005</v>
      </c>
      <c r="D26" t="str">
        <f>IFERROR(IF(0=LEN(ReferenceData!$D$26),"",ReferenceData!$D$26),"")</f>
        <v>PX_LAST</v>
      </c>
      <c r="E26" t="str">
        <f>IFERROR(IF(0=LEN(ReferenceData!$E$26),"",ReferenceData!$E$26),"")</f>
        <v>动态</v>
      </c>
      <c r="F26">
        <f ca="1">IFERROR(IF(0=LEN(ReferenceData!$F$26),"",ReferenceData!$F$26),"")</f>
        <v>1504.492667</v>
      </c>
      <c r="G26">
        <f ca="1">IFERROR(IF(0=LEN(ReferenceData!$G$26),"",ReferenceData!$G$26),"")</f>
        <v>1462.5350000000001</v>
      </c>
      <c r="H26">
        <f ca="1">IFERROR(IF(0=LEN(ReferenceData!$H$26),"",ReferenceData!$H$26),"")</f>
        <v>1396.325</v>
      </c>
      <c r="I26">
        <f ca="1">IFERROR(IF(0=LEN(ReferenceData!$I$26),"",ReferenceData!$I$26),"")</f>
        <v>1435.0440000000001</v>
      </c>
      <c r="J26">
        <f ca="1">IFERROR(IF(0=LEN(ReferenceData!$J$26),"",ReferenceData!$J$26),"")</f>
        <v>1343.585</v>
      </c>
      <c r="K26">
        <f ca="1">IFERROR(IF(0=LEN(ReferenceData!$K$26),"",ReferenceData!$K$26),"")</f>
        <v>1378.521</v>
      </c>
      <c r="L26">
        <f ca="1">IFERROR(IF(0=LEN(ReferenceData!$L$26),"",ReferenceData!$L$26),"")</f>
        <v>1435.962</v>
      </c>
      <c r="M26">
        <f ca="1">IFERROR(IF(0=LEN(ReferenceData!$M$26),"",ReferenceData!$M$26),"")</f>
        <v>1269.0440000000001</v>
      </c>
      <c r="N26">
        <f ca="1">IFERROR(IF(0=LEN(ReferenceData!$N$26),"",ReferenceData!$N$26),"")</f>
        <v>1424.223</v>
      </c>
      <c r="O26">
        <f ca="1">IFERROR(IF(0=LEN(ReferenceData!$O$26),"",ReferenceData!$O$26),"")</f>
        <v>1354.9079999999999</v>
      </c>
      <c r="P26">
        <f ca="1">IFERROR(IF(0=LEN(ReferenceData!$P$26),"",ReferenceData!$P$26),"")</f>
        <v>1471.915</v>
      </c>
      <c r="Q26">
        <f ca="1">IFERROR(IF(0=LEN(ReferenceData!$Q$26),"",ReferenceData!$Q$26),"")</f>
        <v>1366.0319999999999</v>
      </c>
      <c r="R26">
        <f ca="1">IFERROR(IF(0=LEN(ReferenceData!$R$26),"",ReferenceData!$R$26),"")</f>
        <v>1331.867</v>
      </c>
      <c r="S26">
        <f ca="1">IFERROR(IF(0=LEN(ReferenceData!$S$26),"",ReferenceData!$S$26),"")</f>
        <v>1186.0740000000001</v>
      </c>
      <c r="T26">
        <f ca="1">IFERROR(IF(0=LEN(ReferenceData!$T$26),"",ReferenceData!$T$26),"")</f>
        <v>1207.511</v>
      </c>
      <c r="U26">
        <f ca="1">IFERROR(IF(0=LEN(ReferenceData!$U$26),"",ReferenceData!$U$26),"")</f>
        <v>1126.8969999999999</v>
      </c>
      <c r="V26">
        <f ca="1">IFERROR(IF(0=LEN(ReferenceData!$V$26),"",ReferenceData!$V$26),"")</f>
        <v>1172.95</v>
      </c>
      <c r="W26">
        <f ca="1">IFERROR(IF(0=LEN(ReferenceData!$W$26),"",ReferenceData!$W$26),"")</f>
        <v>1054.115</v>
      </c>
      <c r="X26">
        <f ca="1">IFERROR(IF(0=LEN(ReferenceData!$X$26),"",ReferenceData!$X$26),"")</f>
        <v>1147.1880000000001</v>
      </c>
      <c r="Y26">
        <f ca="1">IFERROR(IF(0=LEN(ReferenceData!$Y$26),"",ReferenceData!$Y$26),"")</f>
        <v>844.13800000000003</v>
      </c>
      <c r="Z26">
        <f ca="1">IFERROR(IF(0=LEN(ReferenceData!$Z$26),"",ReferenceData!$Z$26),"")</f>
        <v>1057.367</v>
      </c>
      <c r="AA26">
        <f ca="1">IFERROR(IF(0=LEN(ReferenceData!$AA$26),"",ReferenceData!$AA$26),"")</f>
        <v>1002.796</v>
      </c>
      <c r="AB26">
        <f ca="1">IFERROR(IF(0=LEN(ReferenceData!$AB$26),"",ReferenceData!$AB$26),"")</f>
        <v>892.86</v>
      </c>
      <c r="AC26">
        <f ca="1">IFERROR(IF(0=LEN(ReferenceData!$AC$26),"",ReferenceData!$AC$26),"")</f>
        <v>878.60400000000004</v>
      </c>
      <c r="AD26">
        <f ca="1">IFERROR(IF(0=LEN(ReferenceData!$AD$26),"",ReferenceData!$AD$26),"")</f>
        <v>828.298</v>
      </c>
      <c r="AE26">
        <f ca="1">IFERROR(IF(0=LEN(ReferenceData!$AE$26),"",ReferenceData!$AE$26),"")</f>
        <v>761.26599999999996</v>
      </c>
      <c r="AF26">
        <f ca="1">IFERROR(IF(0=LEN(ReferenceData!$AF$26),"",ReferenceData!$AF$26),"")</f>
        <v>681.20500000000004</v>
      </c>
      <c r="AG26">
        <f ca="1">IFERROR(IF(0=LEN(ReferenceData!$AG$26),"",ReferenceData!$AG$26),"")</f>
        <v>694.19899999999996</v>
      </c>
      <c r="AH26">
        <f ca="1">IFERROR(IF(0=LEN(ReferenceData!$AH$26),"",ReferenceData!$AH$26),"")</f>
        <v>602.43299999999999</v>
      </c>
      <c r="AI26">
        <f ca="1">IFERROR(IF(0=LEN(ReferenceData!$AI$26),"",ReferenceData!$AI$26),"")</f>
        <v>605.22799999999995</v>
      </c>
      <c r="AJ26">
        <f ca="1">IFERROR(IF(0=LEN(ReferenceData!$AJ$26),"",ReferenceData!$AJ$26),"")</f>
        <v>584.18600000000004</v>
      </c>
      <c r="AK26">
        <f ca="1">IFERROR(IF(0=LEN(ReferenceData!$AK$26),"",ReferenceData!$AK$26),"")</f>
        <v>571.45699999999999</v>
      </c>
      <c r="AL26">
        <f ca="1">IFERROR(IF(0=LEN(ReferenceData!$AL$26),"",ReferenceData!$AL$26),"")</f>
        <v>403.834</v>
      </c>
      <c r="AM26">
        <f ca="1">IFERROR(IF(0=LEN(ReferenceData!$AM$26),"",ReferenceData!$AM$26),"")</f>
        <v>565.20299999999997</v>
      </c>
      <c r="AN26">
        <f ca="1">IFERROR(IF(0=LEN(ReferenceData!$AN$26),"",ReferenceData!$AN$26),"")</f>
        <v>542.58299999999997</v>
      </c>
      <c r="AO26">
        <f ca="1">IFERROR(IF(0=LEN(ReferenceData!$AO$26),"",ReferenceData!$AO$26),"")</f>
        <v>711.97500000000002</v>
      </c>
      <c r="AP26">
        <f ca="1">IFERROR(IF(0=LEN(ReferenceData!$AP$26),"",ReferenceData!$AP$26),"")</f>
        <v>181.00299999999999</v>
      </c>
      <c r="AQ26">
        <f ca="1">IFERROR(IF(0=LEN(ReferenceData!$AQ$26),"",ReferenceData!$AQ$26),"")</f>
        <v>668.58199999999999</v>
      </c>
      <c r="AR26">
        <f ca="1">IFERROR(IF(0=LEN(ReferenceData!$AR$26),"",ReferenceData!$AR$26),"")</f>
        <v>664.68799999999999</v>
      </c>
      <c r="AS26">
        <f ca="1">IFERROR(IF(0=LEN(ReferenceData!$AS$26),"",ReferenceData!$AS$26),"")</f>
        <v>680.52599999999995</v>
      </c>
      <c r="AT26">
        <f ca="1">IFERROR(IF(0=LEN(ReferenceData!$AT$26),"",ReferenceData!$AT$26),"")</f>
        <v>718.56349999999998</v>
      </c>
      <c r="AU26">
        <f ca="1">IFERROR(IF(0=LEN(ReferenceData!$AU$26),"",ReferenceData!$AU$26),"")</f>
        <v>678.24599999999998</v>
      </c>
      <c r="AV26">
        <f ca="1">IFERROR(IF(0=LEN(ReferenceData!$AV$26),"",ReferenceData!$AV$26),"")</f>
        <v>817.51099999999997</v>
      </c>
      <c r="AW26">
        <f ca="1">IFERROR(IF(0=LEN(ReferenceData!$AW$26),"",ReferenceData!$AW$26),"")</f>
        <v>789.09400000000005</v>
      </c>
      <c r="AX26">
        <f ca="1">IFERROR(IF(0=LEN(ReferenceData!$AX$26),"",ReferenceData!$AX$26),"")</f>
        <v>760.87900000000002</v>
      </c>
      <c r="AY26">
        <f ca="1">IFERROR(IF(0=LEN(ReferenceData!$AY$26),"",ReferenceData!$AY$26),"")</f>
        <v>802.28300000000002</v>
      </c>
      <c r="AZ26">
        <f ca="1">IFERROR(IF(0=LEN(ReferenceData!$AZ$26),"",ReferenceData!$AZ$26),"")</f>
        <v>833.79399999999998</v>
      </c>
      <c r="BA26">
        <f ca="1">IFERROR(IF(0=LEN(ReferenceData!$BA$26),"",ReferenceData!$BA$26),"")</f>
        <v>783.17700000000002</v>
      </c>
      <c r="BB26">
        <f ca="1">IFERROR(IF(0=LEN(ReferenceData!$BB$26),"",ReferenceData!$BB$26),"")</f>
        <v>773.36199999999997</v>
      </c>
      <c r="BC26">
        <f ca="1">IFERROR(IF(0=LEN(ReferenceData!$BC$26),"",ReferenceData!$BC$26),"")</f>
        <v>758.33900000000006</v>
      </c>
      <c r="BD26">
        <f ca="1">IFERROR(IF(0=LEN(ReferenceData!$BD$26),"",ReferenceData!$BD$26),"")</f>
        <v>741.14800000000002</v>
      </c>
      <c r="BE26">
        <f ca="1">IFERROR(IF(0=LEN(ReferenceData!$BE$26),"",ReferenceData!$BE$26),"")</f>
        <v>778.15300000000002</v>
      </c>
      <c r="BF26">
        <f ca="1">IFERROR(IF(0=LEN(ReferenceData!$BF$26),"",ReferenceData!$BF$26),"")</f>
        <v>679.495</v>
      </c>
      <c r="BG26">
        <f ca="1">IFERROR(IF(0=LEN(ReferenceData!$BG$26),"",ReferenceData!$BG$26),"")</f>
        <v>721.17949999999996</v>
      </c>
      <c r="BH26">
        <f ca="1">IFERROR(IF(0=LEN(ReferenceData!$BH$26),"",ReferenceData!$BH$26),"")</f>
        <v>716.85</v>
      </c>
      <c r="BI26">
        <f ca="1">IFERROR(IF(0=LEN(ReferenceData!$BI$26),"",ReferenceData!$BI$26),"")</f>
        <v>694.71699999999998</v>
      </c>
      <c r="BJ26">
        <f ca="1">IFERROR(IF(0=LEN(ReferenceData!$BJ$26),"",ReferenceData!$BJ$26),"")</f>
        <v>681.57399999999996</v>
      </c>
      <c r="BK26">
        <f ca="1">IFERROR(IF(0=LEN(ReferenceData!$BK$26),"",ReferenceData!$BK$26),"")</f>
        <v>701.423</v>
      </c>
      <c r="BL26">
        <f ca="1">IFERROR(IF(0=LEN(ReferenceData!$BL$26),"",ReferenceData!$BL$26),"")</f>
        <v>682.61800000000005</v>
      </c>
      <c r="BM26">
        <f ca="1">IFERROR(IF(0=LEN(ReferenceData!$BM$26),"",ReferenceData!$BM$26),"")</f>
        <v>684.40300000000002</v>
      </c>
    </row>
    <row r="27" spans="1:65">
      <c r="A27" t="str">
        <f>IFERROR(IF(0=LEN(ReferenceData!$A$27),"",ReferenceData!$A$27),"")</f>
        <v xml:space="preserve">    Manufactured Home REITs</v>
      </c>
      <c r="B27" t="str">
        <f>IFERROR(IF(0=LEN(ReferenceData!$B$27),"",ReferenceData!$B$27),"")</f>
        <v>RECFFOMH Index</v>
      </c>
      <c r="C27" t="str">
        <f>IFERROR(IF(0=LEN(ReferenceData!$C$27),"",ReferenceData!$C$27),"")</f>
        <v>PR005</v>
      </c>
      <c r="D27" t="str">
        <f>IFERROR(IF(0=LEN(ReferenceData!$D$27),"",ReferenceData!$D$27),"")</f>
        <v>PX_LAST</v>
      </c>
      <c r="E27" t="str">
        <f>IFERROR(IF(0=LEN(ReferenceData!$E$27),"",ReferenceData!$E$27),"")</f>
        <v>动态</v>
      </c>
      <c r="F27">
        <f ca="1">IFERROR(IF(0=LEN(ReferenceData!$F$27),"",ReferenceData!$F$27),"")</f>
        <v>157.8772213</v>
      </c>
      <c r="G27">
        <f ca="1">IFERROR(IF(0=LEN(ReferenceData!$G$27),"",ReferenceData!$G$27),"")</f>
        <v>173.03299999999999</v>
      </c>
      <c r="H27">
        <f ca="1">IFERROR(IF(0=LEN(ReferenceData!$H$27),"",ReferenceData!$H$27),"")</f>
        <v>154.654</v>
      </c>
      <c r="I27">
        <f ca="1">IFERROR(IF(0=LEN(ReferenceData!$I$27),"",ReferenceData!$I$27),"")</f>
        <v>181.50800000000001</v>
      </c>
      <c r="J27">
        <f ca="1">IFERROR(IF(0=LEN(ReferenceData!$J$27),"",ReferenceData!$J$27),"")</f>
        <v>135.72</v>
      </c>
      <c r="K27">
        <f ca="1">IFERROR(IF(0=LEN(ReferenceData!$K$27),"",ReferenceData!$K$27),"")</f>
        <v>160.17599999999999</v>
      </c>
      <c r="L27">
        <f ca="1">IFERROR(IF(0=LEN(ReferenceData!$L$27),"",ReferenceData!$L$27),"")</f>
        <v>111.446</v>
      </c>
      <c r="M27">
        <f ca="1">IFERROR(IF(0=LEN(ReferenceData!$M$27),"",ReferenceData!$M$27),"")</f>
        <v>142.46899999999999</v>
      </c>
      <c r="N27">
        <f ca="1">IFERROR(IF(0=LEN(ReferenceData!$N$27),"",ReferenceData!$N$27),"")</f>
        <v>113.389</v>
      </c>
      <c r="O27">
        <f ca="1">IFERROR(IF(0=LEN(ReferenceData!$O$27),"",ReferenceData!$O$27),"")</f>
        <v>129.77699999999999</v>
      </c>
      <c r="P27">
        <f ca="1">IFERROR(IF(0=LEN(ReferenceData!$P$27),"",ReferenceData!$P$27),"")</f>
        <v>121.985</v>
      </c>
      <c r="Q27">
        <f ca="1">IFERROR(IF(0=LEN(ReferenceData!$Q$27),"",ReferenceData!$Q$27),"")</f>
        <v>101.101</v>
      </c>
      <c r="R27">
        <f ca="1">IFERROR(IF(0=LEN(ReferenceData!$R$27),"",ReferenceData!$R$27),"")</f>
        <v>89.74</v>
      </c>
      <c r="S27">
        <f ca="1">IFERROR(IF(0=LEN(ReferenceData!$S$27),"",ReferenceData!$S$27),"")</f>
        <v>99.802000000000007</v>
      </c>
      <c r="T27">
        <f ca="1">IFERROR(IF(0=LEN(ReferenceData!$T$27),"",ReferenceData!$T$27),"")</f>
        <v>94.352999999999994</v>
      </c>
      <c r="U27">
        <f ca="1">IFERROR(IF(0=LEN(ReferenceData!$U$27),"",ReferenceData!$U$27),"")</f>
        <v>110.996</v>
      </c>
      <c r="V27">
        <f ca="1">IFERROR(IF(0=LEN(ReferenceData!$V$27),"",ReferenceData!$V$27),"")</f>
        <v>84.983000000000004</v>
      </c>
      <c r="W27">
        <f ca="1">IFERROR(IF(0=LEN(ReferenceData!$W$27),"",ReferenceData!$W$27),"")</f>
        <v>53.77</v>
      </c>
      <c r="X27">
        <f ca="1">IFERROR(IF(0=LEN(ReferenceData!$X$27),"",ReferenceData!$X$27),"")</f>
        <v>79.518000000000001</v>
      </c>
      <c r="Y27">
        <f ca="1">IFERROR(IF(0=LEN(ReferenceData!$Y$27),"",ReferenceData!$Y$27),"")</f>
        <v>100.34</v>
      </c>
      <c r="Z27">
        <f ca="1">IFERROR(IF(0=LEN(ReferenceData!$Z$27),"",ReferenceData!$Z$27),"")</f>
        <v>75.209000000000003</v>
      </c>
      <c r="AA27">
        <f ca="1">IFERROR(IF(0=LEN(ReferenceData!$AA$27),"",ReferenceData!$AA$27),"")</f>
        <v>75.92</v>
      </c>
      <c r="AB27">
        <f ca="1">IFERROR(IF(0=LEN(ReferenceData!$AB$27),"",ReferenceData!$AB$27),"")</f>
        <v>73.307000000000002</v>
      </c>
      <c r="AC27">
        <f ca="1">IFERROR(IF(0=LEN(ReferenceData!$AC$27),"",ReferenceData!$AC$27),"")</f>
        <v>87.114000000000004</v>
      </c>
      <c r="AD27">
        <f ca="1">IFERROR(IF(0=LEN(ReferenceData!$AD$27),"",ReferenceData!$AD$27),"")</f>
        <v>65.879000000000005</v>
      </c>
      <c r="AE27">
        <f ca="1">IFERROR(IF(0=LEN(ReferenceData!$AE$27),"",ReferenceData!$AE$27),"")</f>
        <v>53.164000000000001</v>
      </c>
      <c r="AF27">
        <f ca="1">IFERROR(IF(0=LEN(ReferenceData!$AF$27),"",ReferenceData!$AF$27),"")</f>
        <v>45.902999999999999</v>
      </c>
      <c r="AG27">
        <f ca="1">IFERROR(IF(0=LEN(ReferenceData!$AG$27),"",ReferenceData!$AG$27),"")</f>
        <v>63.768999999999998</v>
      </c>
      <c r="AH27">
        <f ca="1">IFERROR(IF(0=LEN(ReferenceData!$AH$27),"",ReferenceData!$AH$27),"")</f>
        <v>47.328000000000003</v>
      </c>
      <c r="AI27">
        <f ca="1">IFERROR(IF(0=LEN(ReferenceData!$AI$27),"",ReferenceData!$AI$27),"")</f>
        <v>50.578000000000003</v>
      </c>
      <c r="AJ27">
        <f ca="1">IFERROR(IF(0=LEN(ReferenceData!$AJ$27),"",ReferenceData!$AJ$27),"")</f>
        <v>43.406999999999996</v>
      </c>
      <c r="AK27">
        <f ca="1">IFERROR(IF(0=LEN(ReferenceData!$AK$27),"",ReferenceData!$AK$27),"")</f>
        <v>58.634999999999998</v>
      </c>
      <c r="AL27">
        <f ca="1">IFERROR(IF(0=LEN(ReferenceData!$AL$27),"",ReferenceData!$AL$27),"")</f>
        <v>48.116</v>
      </c>
      <c r="AM27">
        <f ca="1">IFERROR(IF(0=LEN(ReferenceData!$AM$27),"",ReferenceData!$AM$27),"")</f>
        <v>43.652999999999999</v>
      </c>
      <c r="AN27">
        <f ca="1">IFERROR(IF(0=LEN(ReferenceData!$AN$27),"",ReferenceData!$AN$27),"")</f>
        <v>38.427</v>
      </c>
      <c r="AO27">
        <f ca="1">IFERROR(IF(0=LEN(ReferenceData!$AO$27),"",ReferenceData!$AO$27),"")</f>
        <v>54.058</v>
      </c>
      <c r="AP27">
        <f ca="1">IFERROR(IF(0=LEN(ReferenceData!$AP$27),"",ReferenceData!$AP$27),"")</f>
        <v>21.315999999999999</v>
      </c>
      <c r="AQ27">
        <f ca="1">IFERROR(IF(0=LEN(ReferenceData!$AQ$27),"",ReferenceData!$AQ$27),"")</f>
        <v>38.725999999999999</v>
      </c>
      <c r="AR27">
        <f ca="1">IFERROR(IF(0=LEN(ReferenceData!$AR$27),"",ReferenceData!$AR$27),"")</f>
        <v>31.242000000000001</v>
      </c>
      <c r="AS27">
        <f ca="1">IFERROR(IF(0=LEN(ReferenceData!$AS$27),"",ReferenceData!$AS$27),"")</f>
        <v>44.633000000000003</v>
      </c>
      <c r="AT27">
        <f ca="1">IFERROR(IF(0=LEN(ReferenceData!$AT$27),"",ReferenceData!$AT$27),"")</f>
        <v>29.071000000000002</v>
      </c>
      <c r="AU27">
        <f ca="1">IFERROR(IF(0=LEN(ReferenceData!$AU$27),"",ReferenceData!$AU$27),"")</f>
        <v>36.81</v>
      </c>
      <c r="AV27">
        <f ca="1">IFERROR(IF(0=LEN(ReferenceData!$AV$27),"",ReferenceData!$AV$27),"")</f>
        <v>37.576000000000001</v>
      </c>
      <c r="AW27">
        <f ca="1">IFERROR(IF(0=LEN(ReferenceData!$AW$27),"",ReferenceData!$AW$27),"")</f>
        <v>51.832000000000001</v>
      </c>
      <c r="AX27">
        <f ca="1">IFERROR(IF(0=LEN(ReferenceData!$AX$27),"",ReferenceData!$AX$27),"")</f>
        <v>20.219000000000001</v>
      </c>
      <c r="AY27">
        <f ca="1">IFERROR(IF(0=LEN(ReferenceData!$AY$27),"",ReferenceData!$AY$27),"")</f>
        <v>36.993000000000002</v>
      </c>
      <c r="AZ27">
        <f ca="1">IFERROR(IF(0=LEN(ReferenceData!$AZ$27),"",ReferenceData!$AZ$27),"")</f>
        <v>35.628999999999998</v>
      </c>
      <c r="BA27">
        <f ca="1">IFERROR(IF(0=LEN(ReferenceData!$BA$27),"",ReferenceData!$BA$27),"")</f>
        <v>49.831000000000003</v>
      </c>
      <c r="BB27">
        <f ca="1">IFERROR(IF(0=LEN(ReferenceData!$BB$27),"",ReferenceData!$BB$27),"")</f>
        <v>4.915</v>
      </c>
      <c r="BC27">
        <f ca="1">IFERROR(IF(0=LEN(ReferenceData!$BC$27),"",ReferenceData!$BC$27),"")</f>
        <v>-71.537000000000006</v>
      </c>
      <c r="BD27">
        <f ca="1">IFERROR(IF(0=LEN(ReferenceData!$BD$27),"",ReferenceData!$BD$27),"")</f>
        <v>38.436999999999998</v>
      </c>
      <c r="BE27">
        <f ca="1">IFERROR(IF(0=LEN(ReferenceData!$BE$27),"",ReferenceData!$BE$27),"")</f>
        <v>51.564999999999998</v>
      </c>
      <c r="BF27">
        <f ca="1">IFERROR(IF(0=LEN(ReferenceData!$BF$27),"",ReferenceData!$BF$27),"")</f>
        <v>19.378499999999999</v>
      </c>
      <c r="BG27">
        <f ca="1">IFERROR(IF(0=LEN(ReferenceData!$BG$27),"",ReferenceData!$BG$27),"")</f>
        <v>33.656999999999996</v>
      </c>
      <c r="BH27">
        <f ca="1">IFERROR(IF(0=LEN(ReferenceData!$BH$27),"",ReferenceData!$BH$27),"")</f>
        <v>-11.18</v>
      </c>
      <c r="BI27">
        <f ca="1">IFERROR(IF(0=LEN(ReferenceData!$BI$27),"",ReferenceData!$BI$27),"")</f>
        <v>19.422999999999998</v>
      </c>
      <c r="BJ27">
        <f ca="1">IFERROR(IF(0=LEN(ReferenceData!$BJ$27),"",ReferenceData!$BJ$27),"")</f>
        <v>34.231499999999997</v>
      </c>
      <c r="BK27">
        <f ca="1">IFERROR(IF(0=LEN(ReferenceData!$BK$27),"",ReferenceData!$BK$27),"")</f>
        <v>39.444000000000003</v>
      </c>
      <c r="BL27">
        <f ca="1">IFERROR(IF(0=LEN(ReferenceData!$BL$27),"",ReferenceData!$BL$27),"")</f>
        <v>61.097000000000001</v>
      </c>
      <c r="BM27">
        <f ca="1">IFERROR(IF(0=LEN(ReferenceData!$BM$27),"",ReferenceData!$BM$27),"")</f>
        <v>64.158000000000001</v>
      </c>
    </row>
    <row r="28" spans="1:65">
      <c r="A28" t="str">
        <f>IFERROR(IF(0=LEN(ReferenceData!$A$28),"",ReferenceData!$A$28),"")</f>
        <v xml:space="preserve">    Single Family Rental REITs</v>
      </c>
      <c r="B28" t="str">
        <f>IFERROR(IF(0=LEN(ReferenceData!$B$28),"",ReferenceData!$B$28),"")</f>
        <v>RECFFOSF Index</v>
      </c>
      <c r="C28" t="str">
        <f>IFERROR(IF(0=LEN(ReferenceData!$C$28),"",ReferenceData!$C$28),"")</f>
        <v>PR005</v>
      </c>
      <c r="D28" t="str">
        <f>IFERROR(IF(0=LEN(ReferenceData!$D$28),"",ReferenceData!$D$28),"")</f>
        <v>PX_LAST</v>
      </c>
      <c r="E28" t="str">
        <f>IFERROR(IF(0=LEN(ReferenceData!$E$28),"",ReferenceData!$E$28),"")</f>
        <v>动态</v>
      </c>
      <c r="F28">
        <f ca="1">IFERROR(IF(0=LEN(ReferenceData!$F$28),"",ReferenceData!$F$28),"")</f>
        <v>150.02517800000001</v>
      </c>
      <c r="G28">
        <f ca="1">IFERROR(IF(0=LEN(ReferenceData!$G$28),"",ReferenceData!$G$28),"")</f>
        <v>148.625</v>
      </c>
      <c r="H28">
        <f ca="1">IFERROR(IF(0=LEN(ReferenceData!$H$28),"",ReferenceData!$H$28),"")</f>
        <v>176.52099999999999</v>
      </c>
      <c r="I28">
        <f ca="1">IFERROR(IF(0=LEN(ReferenceData!$I$28),"",ReferenceData!$I$28),"")</f>
        <v>118.2</v>
      </c>
      <c r="J28">
        <f ca="1">IFERROR(IF(0=LEN(ReferenceData!$J$28),"",ReferenceData!$J$28),"")</f>
        <v>117.67100000000001</v>
      </c>
      <c r="K28">
        <f ca="1">IFERROR(IF(0=LEN(ReferenceData!$K$28),"",ReferenceData!$K$28),"")</f>
        <v>88.182000000000002</v>
      </c>
      <c r="L28">
        <f ca="1">IFERROR(IF(0=LEN(ReferenceData!$L$28),"",ReferenceData!$L$28),"")</f>
        <v>99.075000000000003</v>
      </c>
      <c r="M28">
        <f ca="1">IFERROR(IF(0=LEN(ReferenceData!$M$28),"",ReferenceData!$M$28),"")</f>
        <v>78.02</v>
      </c>
      <c r="N28">
        <f ca="1">IFERROR(IF(0=LEN(ReferenceData!$N$28),"",ReferenceData!$N$28),"")</f>
        <v>42.249000000000002</v>
      </c>
      <c r="O28">
        <f ca="1">IFERROR(IF(0=LEN(ReferenceData!$O$28),"",ReferenceData!$O$28),"")</f>
        <v>56.767000000000003</v>
      </c>
      <c r="P28">
        <f ca="1">IFERROR(IF(0=LEN(ReferenceData!$P$28),"",ReferenceData!$P$28),"")</f>
        <v>67.656000000000006</v>
      </c>
      <c r="Q28">
        <f ca="1">IFERROR(IF(0=LEN(ReferenceData!$Q$28),"",ReferenceData!$Q$28),"")</f>
        <v>52.21</v>
      </c>
      <c r="R28">
        <f ca="1">IFERROR(IF(0=LEN(ReferenceData!$R$28),"",ReferenceData!$R$28),"")</f>
        <v>45.686</v>
      </c>
      <c r="S28">
        <f ca="1">IFERROR(IF(0=LEN(ReferenceData!$S$28),"",ReferenceData!$S$28),"")</f>
        <v>-7.8140000000000001</v>
      </c>
      <c r="T28">
        <f ca="1">IFERROR(IF(0=LEN(ReferenceData!$T$28),"",ReferenceData!$T$28),"")</f>
        <v>28.271999999999998</v>
      </c>
      <c r="U28">
        <f ca="1">IFERROR(IF(0=LEN(ReferenceData!$U$28),"",ReferenceData!$U$28),"")</f>
        <v>17.594000000000001</v>
      </c>
      <c r="V28">
        <f ca="1">IFERROR(IF(0=LEN(ReferenceData!$V$28),"",ReferenceData!$V$28),"")</f>
        <v>21.529</v>
      </c>
      <c r="W28">
        <f ca="1">IFERROR(IF(0=LEN(ReferenceData!$W$28),"",ReferenceData!$W$28),"")</f>
        <v>20.835999999999999</v>
      </c>
      <c r="X28">
        <f ca="1">IFERROR(IF(0=LEN(ReferenceData!$X$28),"",ReferenceData!$X$28),"")</f>
        <v>-5.5659999999999998</v>
      </c>
      <c r="Y28">
        <f ca="1">IFERROR(IF(0=LEN(ReferenceData!$Y$28),"",ReferenceData!$Y$28),"")</f>
        <v>-2.5329999999999999</v>
      </c>
      <c r="Z28">
        <f ca="1">IFERROR(IF(0=LEN(ReferenceData!$Z$28),"",ReferenceData!$Z$28),"")</f>
        <v>0</v>
      </c>
      <c r="AA28">
        <f ca="1">IFERROR(IF(0=LEN(ReferenceData!$AA$28),"",ReferenceData!$AA$28),"")</f>
        <v>0</v>
      </c>
      <c r="AB28">
        <f ca="1">IFERROR(IF(0=LEN(ReferenceData!$AB$28),"",ReferenceData!$AB$28),"")</f>
        <v>0</v>
      </c>
      <c r="AC28">
        <f ca="1">IFERROR(IF(0=LEN(ReferenceData!$AC$28),"",ReferenceData!$AC$28),"")</f>
        <v>0</v>
      </c>
      <c r="AD28">
        <f ca="1">IFERROR(IF(0=LEN(ReferenceData!$AD$28),"",ReferenceData!$AD$28),"")</f>
        <v>0</v>
      </c>
      <c r="AE28">
        <f ca="1">IFERROR(IF(0=LEN(ReferenceData!$AE$28),"",ReferenceData!$AE$28),"")</f>
        <v>0</v>
      </c>
      <c r="AF28">
        <f ca="1">IFERROR(IF(0=LEN(ReferenceData!$AF$28),"",ReferenceData!$AF$28),"")</f>
        <v>0</v>
      </c>
      <c r="AG28">
        <f ca="1">IFERROR(IF(0=LEN(ReferenceData!$AG$28),"",ReferenceData!$AG$28),"")</f>
        <v>0</v>
      </c>
      <c r="AH28">
        <f ca="1">IFERROR(IF(0=LEN(ReferenceData!$AH$28),"",ReferenceData!$AH$28),"")</f>
        <v>0</v>
      </c>
      <c r="AI28">
        <f ca="1">IFERROR(IF(0=LEN(ReferenceData!$AI$28),"",ReferenceData!$AI$28),"")</f>
        <v>0</v>
      </c>
      <c r="AJ28">
        <f ca="1">IFERROR(IF(0=LEN(ReferenceData!$AJ$28),"",ReferenceData!$AJ$28),"")</f>
        <v>0</v>
      </c>
      <c r="AK28">
        <f ca="1">IFERROR(IF(0=LEN(ReferenceData!$AK$28),"",ReferenceData!$AK$28),"")</f>
        <v>0</v>
      </c>
      <c r="AL28">
        <f ca="1">IFERROR(IF(0=LEN(ReferenceData!$AL$28),"",ReferenceData!$AL$28),"")</f>
        <v>0</v>
      </c>
      <c r="AM28">
        <f ca="1">IFERROR(IF(0=LEN(ReferenceData!$AM$28),"",ReferenceData!$AM$28),"")</f>
        <v>0</v>
      </c>
      <c r="AN28">
        <f ca="1">IFERROR(IF(0=LEN(ReferenceData!$AN$28),"",ReferenceData!$AN$28),"")</f>
        <v>0</v>
      </c>
      <c r="AO28">
        <f ca="1">IFERROR(IF(0=LEN(ReferenceData!$AO$28),"",ReferenceData!$AO$28),"")</f>
        <v>0</v>
      </c>
      <c r="AP28">
        <f ca="1">IFERROR(IF(0=LEN(ReferenceData!$AP$28),"",ReferenceData!$AP$28),"")</f>
        <v>0</v>
      </c>
      <c r="AQ28">
        <f ca="1">IFERROR(IF(0=LEN(ReferenceData!$AQ$28),"",ReferenceData!$AQ$28),"")</f>
        <v>0</v>
      </c>
      <c r="AR28">
        <f ca="1">IFERROR(IF(0=LEN(ReferenceData!$AR$28),"",ReferenceData!$AR$28),"")</f>
        <v>0</v>
      </c>
      <c r="AS28">
        <f ca="1">IFERROR(IF(0=LEN(ReferenceData!$AS$28),"",ReferenceData!$AS$28),"")</f>
        <v>0</v>
      </c>
      <c r="AT28">
        <f ca="1">IFERROR(IF(0=LEN(ReferenceData!$AT$28),"",ReferenceData!$AT$28),"")</f>
        <v>0</v>
      </c>
      <c r="AU28">
        <f ca="1">IFERROR(IF(0=LEN(ReferenceData!$AU$28),"",ReferenceData!$AU$28),"")</f>
        <v>0</v>
      </c>
      <c r="AV28">
        <f ca="1">IFERROR(IF(0=LEN(ReferenceData!$AV$28),"",ReferenceData!$AV$28),"")</f>
        <v>0</v>
      </c>
      <c r="AW28">
        <f ca="1">IFERROR(IF(0=LEN(ReferenceData!$AW$28),"",ReferenceData!$AW$28),"")</f>
        <v>0</v>
      </c>
      <c r="AX28">
        <f ca="1">IFERROR(IF(0=LEN(ReferenceData!$AX$28),"",ReferenceData!$AX$28),"")</f>
        <v>0</v>
      </c>
      <c r="AY28">
        <f ca="1">IFERROR(IF(0=LEN(ReferenceData!$AY$28),"",ReferenceData!$AY$28),"")</f>
        <v>0</v>
      </c>
      <c r="AZ28">
        <f ca="1">IFERROR(IF(0=LEN(ReferenceData!$AZ$28),"",ReferenceData!$AZ$28),"")</f>
        <v>0</v>
      </c>
      <c r="BA28">
        <f ca="1">IFERROR(IF(0=LEN(ReferenceData!$BA$28),"",ReferenceData!$BA$28),"")</f>
        <v>0</v>
      </c>
      <c r="BB28">
        <f ca="1">IFERROR(IF(0=LEN(ReferenceData!$BB$28),"",ReferenceData!$BB$28),"")</f>
        <v>0</v>
      </c>
      <c r="BC28">
        <f ca="1">IFERROR(IF(0=LEN(ReferenceData!$BC$28),"",ReferenceData!$BC$28),"")</f>
        <v>0</v>
      </c>
      <c r="BD28">
        <f ca="1">IFERROR(IF(0=LEN(ReferenceData!$BD$28),"",ReferenceData!$BD$28),"")</f>
        <v>0</v>
      </c>
      <c r="BE28">
        <f ca="1">IFERROR(IF(0=LEN(ReferenceData!$BE$28),"",ReferenceData!$BE$28),"")</f>
        <v>0</v>
      </c>
      <c r="BF28">
        <f ca="1">IFERROR(IF(0=LEN(ReferenceData!$BF$28),"",ReferenceData!$BF$28),"")</f>
        <v>0</v>
      </c>
      <c r="BG28">
        <f ca="1">IFERROR(IF(0=LEN(ReferenceData!$BG$28),"",ReferenceData!$BG$28),"")</f>
        <v>0</v>
      </c>
      <c r="BH28">
        <f ca="1">IFERROR(IF(0=LEN(ReferenceData!$BH$28),"",ReferenceData!$BH$28),"")</f>
        <v>0</v>
      </c>
      <c r="BI28">
        <f ca="1">IFERROR(IF(0=LEN(ReferenceData!$BI$28),"",ReferenceData!$BI$28),"")</f>
        <v>0</v>
      </c>
      <c r="BJ28">
        <f ca="1">IFERROR(IF(0=LEN(ReferenceData!$BJ$28),"",ReferenceData!$BJ$28),"")</f>
        <v>0</v>
      </c>
      <c r="BK28">
        <f ca="1">IFERROR(IF(0=LEN(ReferenceData!$BK$28),"",ReferenceData!$BK$28),"")</f>
        <v>0</v>
      </c>
      <c r="BL28">
        <f ca="1">IFERROR(IF(0=LEN(ReferenceData!$BL$28),"",ReferenceData!$BL$28),"")</f>
        <v>0</v>
      </c>
      <c r="BM28">
        <f ca="1">IFERROR(IF(0=LEN(ReferenceData!$BM$28),"",ReferenceData!$BM$28),"")</f>
        <v>0</v>
      </c>
    </row>
    <row r="29" spans="1:65">
      <c r="A29" t="str">
        <f>IFERROR(IF(0=LEN(ReferenceData!$A$29),"",ReferenceData!$A$29),"")</f>
        <v xml:space="preserve">    Diversified REITs</v>
      </c>
      <c r="B29" t="str">
        <f>IFERROR(IF(0=LEN(ReferenceData!$B$29),"",ReferenceData!$B$29),"")</f>
        <v>RECFFODV Index</v>
      </c>
      <c r="C29" t="str">
        <f>IFERROR(IF(0=LEN(ReferenceData!$C$29),"",ReferenceData!$C$29),"")</f>
        <v>PR005</v>
      </c>
      <c r="D29" t="str">
        <f>IFERROR(IF(0=LEN(ReferenceData!$D$29),"",ReferenceData!$D$29),"")</f>
        <v>PX_LAST</v>
      </c>
      <c r="E29" t="str">
        <f>IFERROR(IF(0=LEN(ReferenceData!$E$29),"",ReferenceData!$E$29),"")</f>
        <v>动态</v>
      </c>
      <c r="F29">
        <f ca="1">IFERROR(IF(0=LEN(ReferenceData!$F$29),"",ReferenceData!$F$29),"")</f>
        <v>879.66209400000002</v>
      </c>
      <c r="G29">
        <f ca="1">IFERROR(IF(0=LEN(ReferenceData!$G$29),"",ReferenceData!$G$29),"")</f>
        <v>858.11</v>
      </c>
      <c r="H29">
        <f ca="1">IFERROR(IF(0=LEN(ReferenceData!$H$29),"",ReferenceData!$H$29),"")</f>
        <v>1099.376</v>
      </c>
      <c r="I29">
        <f ca="1">IFERROR(IF(0=LEN(ReferenceData!$I$29),"",ReferenceData!$I$29),"")</f>
        <v>979.27800000000002</v>
      </c>
      <c r="J29">
        <f ca="1">IFERROR(IF(0=LEN(ReferenceData!$J$29),"",ReferenceData!$J$29),"")</f>
        <v>1352.702</v>
      </c>
      <c r="K29">
        <f ca="1">IFERROR(IF(0=LEN(ReferenceData!$K$29),"",ReferenceData!$K$29),"")</f>
        <v>623.10699999999997</v>
      </c>
      <c r="L29">
        <f ca="1">IFERROR(IF(0=LEN(ReferenceData!$L$29),"",ReferenceData!$L$29),"")</f>
        <v>906.20600000000002</v>
      </c>
      <c r="M29">
        <f ca="1">IFERROR(IF(0=LEN(ReferenceData!$M$29),"",ReferenceData!$M$29),"")</f>
        <v>815.11300000000006</v>
      </c>
      <c r="N29">
        <f ca="1">IFERROR(IF(0=LEN(ReferenceData!$N$29),"",ReferenceData!$N$29),"")</f>
        <v>642.59699999999998</v>
      </c>
      <c r="O29">
        <f ca="1">IFERROR(IF(0=LEN(ReferenceData!$O$29),"",ReferenceData!$O$29),"")</f>
        <v>1253.9670000000001</v>
      </c>
      <c r="P29">
        <f ca="1">IFERROR(IF(0=LEN(ReferenceData!$P$29),"",ReferenceData!$P$29),"")</f>
        <v>1362.076</v>
      </c>
      <c r="Q29">
        <f ca="1">IFERROR(IF(0=LEN(ReferenceData!$Q$29),"",ReferenceData!$Q$29),"")</f>
        <v>993.40599999999995</v>
      </c>
      <c r="R29">
        <f ca="1">IFERROR(IF(0=LEN(ReferenceData!$R$29),"",ReferenceData!$R$29),"")</f>
        <v>962.46699999999998</v>
      </c>
      <c r="S29">
        <f ca="1">IFERROR(IF(0=LEN(ReferenceData!$S$29),"",ReferenceData!$S$29),"")</f>
        <v>770.30200000000002</v>
      </c>
      <c r="T29">
        <f ca="1">IFERROR(IF(0=LEN(ReferenceData!$T$29),"",ReferenceData!$T$29),"")</f>
        <v>768.63900000000001</v>
      </c>
      <c r="U29">
        <f ca="1">IFERROR(IF(0=LEN(ReferenceData!$U$29),"",ReferenceData!$U$29),"")</f>
        <v>854.14400000000001</v>
      </c>
      <c r="V29">
        <f ca="1">IFERROR(IF(0=LEN(ReferenceData!$V$29),"",ReferenceData!$V$29),"")</f>
        <v>444.09800000000001</v>
      </c>
      <c r="W29">
        <f ca="1">IFERROR(IF(0=LEN(ReferenceData!$W$29),"",ReferenceData!$W$29),"")</f>
        <v>659.01099999999997</v>
      </c>
      <c r="X29">
        <f ca="1">IFERROR(IF(0=LEN(ReferenceData!$X$29),"",ReferenceData!$X$29),"")</f>
        <v>618.40700000000004</v>
      </c>
      <c r="Y29">
        <f ca="1">IFERROR(IF(0=LEN(ReferenceData!$Y$29),"",ReferenceData!$Y$29),"")</f>
        <v>564.92600000000004</v>
      </c>
      <c r="Z29">
        <f ca="1">IFERROR(IF(0=LEN(ReferenceData!$Z$29),"",ReferenceData!$Z$29),"")</f>
        <v>350.15499999999997</v>
      </c>
      <c r="AA29">
        <f ca="1">IFERROR(IF(0=LEN(ReferenceData!$AA$29),"",ReferenceData!$AA$29),"")</f>
        <v>505.91800000000001</v>
      </c>
      <c r="AB29">
        <f ca="1">IFERROR(IF(0=LEN(ReferenceData!$AB$29),"",ReferenceData!$AB$29),"")</f>
        <v>406.75</v>
      </c>
      <c r="AC29">
        <f ca="1">IFERROR(IF(0=LEN(ReferenceData!$AC$29),"",ReferenceData!$AC$29),"")</f>
        <v>579.30200000000002</v>
      </c>
      <c r="AD29">
        <f ca="1">IFERROR(IF(0=LEN(ReferenceData!$AD$29),"",ReferenceData!$AD$29),"")</f>
        <v>376.88200000000001</v>
      </c>
      <c r="AE29">
        <f ca="1">IFERROR(IF(0=LEN(ReferenceData!$AE$29),"",ReferenceData!$AE$29),"")</f>
        <v>393.87</v>
      </c>
      <c r="AF29">
        <f ca="1">IFERROR(IF(0=LEN(ReferenceData!$AF$29),"",ReferenceData!$AF$29),"")</f>
        <v>435.92099999999999</v>
      </c>
      <c r="AG29">
        <f ca="1">IFERROR(IF(0=LEN(ReferenceData!$AG$29),"",ReferenceData!$AG$29),"")</f>
        <v>699.21900000000005</v>
      </c>
      <c r="AH29">
        <f ca="1">IFERROR(IF(0=LEN(ReferenceData!$AH$29),"",ReferenceData!$AH$29),"")</f>
        <v>585.02</v>
      </c>
      <c r="AI29">
        <f ca="1">IFERROR(IF(0=LEN(ReferenceData!$AI$29),"",ReferenceData!$AI$29),"")</f>
        <v>366.84</v>
      </c>
      <c r="AJ29">
        <f ca="1">IFERROR(IF(0=LEN(ReferenceData!$AJ$29),"",ReferenceData!$AJ$29),"")</f>
        <v>310.27199999999999</v>
      </c>
      <c r="AK29">
        <f ca="1">IFERROR(IF(0=LEN(ReferenceData!$AK$29),"",ReferenceData!$AK$29),"")</f>
        <v>454.86200000000002</v>
      </c>
      <c r="AL29">
        <f ca="1">IFERROR(IF(0=LEN(ReferenceData!$AL$29),"",ReferenceData!$AL$29),"")</f>
        <v>50.689</v>
      </c>
      <c r="AM29">
        <f ca="1">IFERROR(IF(0=LEN(ReferenceData!$AM$29),"",ReferenceData!$AM$29),"")</f>
        <v>296.38900000000001</v>
      </c>
      <c r="AN29">
        <f ca="1">IFERROR(IF(0=LEN(ReferenceData!$AN$29),"",ReferenceData!$AN$29),"")</f>
        <v>8.4320000000000004</v>
      </c>
      <c r="AO29">
        <f ca="1">IFERROR(IF(0=LEN(ReferenceData!$AO$29),"",ReferenceData!$AO$29),"")</f>
        <v>309.45100000000002</v>
      </c>
      <c r="AP29">
        <f ca="1">IFERROR(IF(0=LEN(ReferenceData!$AP$29),"",ReferenceData!$AP$29),"")</f>
        <v>-71.17</v>
      </c>
      <c r="AQ29">
        <f ca="1">IFERROR(IF(0=LEN(ReferenceData!$AQ$29),"",ReferenceData!$AQ$29),"")</f>
        <v>301.39600000000002</v>
      </c>
      <c r="AR29">
        <f ca="1">IFERROR(IF(0=LEN(ReferenceData!$AR$29),"",ReferenceData!$AR$29),"")</f>
        <v>340.61</v>
      </c>
      <c r="AS29">
        <f ca="1">IFERROR(IF(0=LEN(ReferenceData!$AS$29),"",ReferenceData!$AS$29),"")</f>
        <v>631.84500000000003</v>
      </c>
      <c r="AT29">
        <f ca="1">IFERROR(IF(0=LEN(ReferenceData!$AT$29),"",ReferenceData!$AT$29),"")</f>
        <v>241.42250000000001</v>
      </c>
      <c r="AU29">
        <f ca="1">IFERROR(IF(0=LEN(ReferenceData!$AU$29),"",ReferenceData!$AU$29),"")</f>
        <v>359.63499999999999</v>
      </c>
      <c r="AV29">
        <f ca="1">IFERROR(IF(0=LEN(ReferenceData!$AV$29),"",ReferenceData!$AV$29),"")</f>
        <v>451.56799999999998</v>
      </c>
      <c r="AW29">
        <f ca="1">IFERROR(IF(0=LEN(ReferenceData!$AW$29),"",ReferenceData!$AW$29),"")</f>
        <v>491.45</v>
      </c>
      <c r="AX29">
        <f ca="1">IFERROR(IF(0=LEN(ReferenceData!$AX$29),"",ReferenceData!$AX$29),"")</f>
        <v>395.73599999999999</v>
      </c>
      <c r="AY29">
        <f ca="1">IFERROR(IF(0=LEN(ReferenceData!$AY$29),"",ReferenceData!$AY$29),"")</f>
        <v>369.93599999999998</v>
      </c>
      <c r="AZ29">
        <f ca="1">IFERROR(IF(0=LEN(ReferenceData!$AZ$29),"",ReferenceData!$AZ$29),"")</f>
        <v>459.08600000000001</v>
      </c>
      <c r="BA29">
        <f ca="1">IFERROR(IF(0=LEN(ReferenceData!$BA$29),"",ReferenceData!$BA$29),"")</f>
        <v>433.64600000000002</v>
      </c>
      <c r="BB29">
        <f ca="1">IFERROR(IF(0=LEN(ReferenceData!$BB$29),"",ReferenceData!$BB$29),"")</f>
        <v>378.27850000000001</v>
      </c>
      <c r="BC29">
        <f ca="1">IFERROR(IF(0=LEN(ReferenceData!$BC$29),"",ReferenceData!$BC$29),"")</f>
        <v>287.49200000000002</v>
      </c>
      <c r="BD29">
        <f ca="1">IFERROR(IF(0=LEN(ReferenceData!$BD$29),"",ReferenceData!$BD$29),"")</f>
        <v>409.78300000000002</v>
      </c>
      <c r="BE29">
        <f ca="1">IFERROR(IF(0=LEN(ReferenceData!$BE$29),"",ReferenceData!$BE$29),"")</f>
        <v>410.34300000000002</v>
      </c>
      <c r="BF29">
        <f ca="1">IFERROR(IF(0=LEN(ReferenceData!$BF$29),"",ReferenceData!$BF$29),"")</f>
        <v>428.524</v>
      </c>
      <c r="BG29">
        <f ca="1">IFERROR(IF(0=LEN(ReferenceData!$BG$29),"",ReferenceData!$BG$29),"")</f>
        <v>312.71699999999998</v>
      </c>
      <c r="BH29">
        <f ca="1">IFERROR(IF(0=LEN(ReferenceData!$BH$29),"",ReferenceData!$BH$29),"")</f>
        <v>310.983</v>
      </c>
      <c r="BI29">
        <f ca="1">IFERROR(IF(0=LEN(ReferenceData!$BI$29),"",ReferenceData!$BI$29),"")</f>
        <v>276.49799999999999</v>
      </c>
      <c r="BJ29">
        <f ca="1">IFERROR(IF(0=LEN(ReferenceData!$BJ$29),"",ReferenceData!$BJ$29),"")</f>
        <v>327.90499999999997</v>
      </c>
      <c r="BK29">
        <f ca="1">IFERROR(IF(0=LEN(ReferenceData!$BK$29),"",ReferenceData!$BK$29),"")</f>
        <v>283.863</v>
      </c>
      <c r="BL29">
        <f ca="1">IFERROR(IF(0=LEN(ReferenceData!$BL$29),"",ReferenceData!$BL$29),"")</f>
        <v>271.09800000000001</v>
      </c>
      <c r="BM29">
        <f ca="1">IFERROR(IF(0=LEN(ReferenceData!$BM$29),"",ReferenceData!$BM$29),"")</f>
        <v>283.52999999999997</v>
      </c>
    </row>
    <row r="30" spans="1:65">
      <c r="A30" t="str">
        <f>IFERROR(IF(0=LEN(ReferenceData!$A$30),"",ReferenceData!$A$30),"")</f>
        <v xml:space="preserve">    Lodging/Resort REITs</v>
      </c>
      <c r="B30" t="str">
        <f>IFERROR(IF(0=LEN(ReferenceData!$B$30),"",ReferenceData!$B$30),"")</f>
        <v>RECFFOLR Index</v>
      </c>
      <c r="C30" t="str">
        <f>IFERROR(IF(0=LEN(ReferenceData!$C$30),"",ReferenceData!$C$30),"")</f>
        <v>PR005</v>
      </c>
      <c r="D30" t="str">
        <f>IFERROR(IF(0=LEN(ReferenceData!$D$30),"",ReferenceData!$D$30),"")</f>
        <v>PX_LAST</v>
      </c>
      <c r="E30" t="str">
        <f>IFERROR(IF(0=LEN(ReferenceData!$E$30),"",ReferenceData!$E$30),"")</f>
        <v>动态</v>
      </c>
      <c r="F30">
        <f ca="1">IFERROR(IF(0=LEN(ReferenceData!$F$30),"",ReferenceData!$F$30),"")</f>
        <v>1305.5938739999999</v>
      </c>
      <c r="G30">
        <f ca="1">IFERROR(IF(0=LEN(ReferenceData!$G$30),"",ReferenceData!$G$30),"")</f>
        <v>1272.9870000000001</v>
      </c>
      <c r="H30">
        <f ca="1">IFERROR(IF(0=LEN(ReferenceData!$H$30),"",ReferenceData!$H$30),"")</f>
        <v>1545.1780000000001</v>
      </c>
      <c r="I30">
        <f ca="1">IFERROR(IF(0=LEN(ReferenceData!$I$30),"",ReferenceData!$I$30),"")</f>
        <v>1144.4390000000001</v>
      </c>
      <c r="J30">
        <f ca="1">IFERROR(IF(0=LEN(ReferenceData!$J$30),"",ReferenceData!$J$30),"")</f>
        <v>1082.912</v>
      </c>
      <c r="K30">
        <f ca="1">IFERROR(IF(0=LEN(ReferenceData!$K$30),"",ReferenceData!$K$30),"")</f>
        <v>1158.1089999999999</v>
      </c>
      <c r="L30">
        <f ca="1">IFERROR(IF(0=LEN(ReferenceData!$L$30),"",ReferenceData!$L$30),"")</f>
        <v>1411.1089999999999</v>
      </c>
      <c r="M30">
        <f ca="1">IFERROR(IF(0=LEN(ReferenceData!$M$30),"",ReferenceData!$M$30),"")</f>
        <v>1005.332</v>
      </c>
      <c r="N30">
        <f ca="1">IFERROR(IF(0=LEN(ReferenceData!$N$30),"",ReferenceData!$N$30),"")</f>
        <v>1034.96</v>
      </c>
      <c r="O30">
        <f ca="1">IFERROR(IF(0=LEN(ReferenceData!$O$30),"",ReferenceData!$O$30),"")</f>
        <v>1215.1320000000001</v>
      </c>
      <c r="P30">
        <f ca="1">IFERROR(IF(0=LEN(ReferenceData!$P$30),"",ReferenceData!$P$30),"")</f>
        <v>1309.704</v>
      </c>
      <c r="Q30">
        <f ca="1">IFERROR(IF(0=LEN(ReferenceData!$Q$30),"",ReferenceData!$Q$30),"")</f>
        <v>821.346</v>
      </c>
      <c r="R30">
        <f ca="1">IFERROR(IF(0=LEN(ReferenceData!$R$30),"",ReferenceData!$R$30),"")</f>
        <v>933.48500000000001</v>
      </c>
      <c r="S30">
        <f ca="1">IFERROR(IF(0=LEN(ReferenceData!$S$30),"",ReferenceData!$S$30),"")</f>
        <v>1044.5889999999999</v>
      </c>
      <c r="T30">
        <f ca="1">IFERROR(IF(0=LEN(ReferenceData!$T$30),"",ReferenceData!$T$30),"")</f>
        <v>1080.133</v>
      </c>
      <c r="U30">
        <f ca="1">IFERROR(IF(0=LEN(ReferenceData!$U$30),"",ReferenceData!$U$30),"")</f>
        <v>649.94899999999996</v>
      </c>
      <c r="V30">
        <f ca="1">IFERROR(IF(0=LEN(ReferenceData!$V$30),"",ReferenceData!$V$30),"")</f>
        <v>723.64800000000002</v>
      </c>
      <c r="W30">
        <f ca="1">IFERROR(IF(0=LEN(ReferenceData!$W$30),"",ReferenceData!$W$30),"")</f>
        <v>734.29700000000003</v>
      </c>
      <c r="X30">
        <f ca="1">IFERROR(IF(0=LEN(ReferenceData!$X$30),"",ReferenceData!$X$30),"")</f>
        <v>896.755</v>
      </c>
      <c r="Y30">
        <f ca="1">IFERROR(IF(0=LEN(ReferenceData!$Y$30),"",ReferenceData!$Y$30),"")</f>
        <v>550.86699999999996</v>
      </c>
      <c r="Z30">
        <f ca="1">IFERROR(IF(0=LEN(ReferenceData!$Z$30),"",ReferenceData!$Z$30),"")</f>
        <v>544.49900000000002</v>
      </c>
      <c r="AA30">
        <f ca="1">IFERROR(IF(0=LEN(ReferenceData!$AA$30),"",ReferenceData!$AA$30),"")</f>
        <v>481.18</v>
      </c>
      <c r="AB30">
        <f ca="1">IFERROR(IF(0=LEN(ReferenceData!$AB$30),"",ReferenceData!$AB$30),"")</f>
        <v>667.31899999999996</v>
      </c>
      <c r="AC30">
        <f ca="1">IFERROR(IF(0=LEN(ReferenceData!$AC$30),"",ReferenceData!$AC$30),"")</f>
        <v>286.61799999999999</v>
      </c>
      <c r="AD30">
        <f ca="1">IFERROR(IF(0=LEN(ReferenceData!$AD$30),"",ReferenceData!$AD$30),"")</f>
        <v>529.64099999999996</v>
      </c>
      <c r="AE30">
        <f ca="1">IFERROR(IF(0=LEN(ReferenceData!$AE$30),"",ReferenceData!$AE$30),"")</f>
        <v>417.49700000000001</v>
      </c>
      <c r="AF30">
        <f ca="1">IFERROR(IF(0=LEN(ReferenceData!$AF$30),"",ReferenceData!$AF$30),"")</f>
        <v>493.18200000000002</v>
      </c>
      <c r="AG30">
        <f ca="1">IFERROR(IF(0=LEN(ReferenceData!$AG$30),"",ReferenceData!$AG$30),"")</f>
        <v>293.13900000000001</v>
      </c>
      <c r="AH30">
        <f ca="1">IFERROR(IF(0=LEN(ReferenceData!$AH$30),"",ReferenceData!$AH$30),"")</f>
        <v>273.27800000000002</v>
      </c>
      <c r="AI30">
        <f ca="1">IFERROR(IF(0=LEN(ReferenceData!$AI$30),"",ReferenceData!$AI$30),"")</f>
        <v>225.71199999999999</v>
      </c>
      <c r="AJ30">
        <f ca="1">IFERROR(IF(0=LEN(ReferenceData!$AJ$30),"",ReferenceData!$AJ$30),"")</f>
        <v>397.65800000000002</v>
      </c>
      <c r="AK30">
        <f ca="1">IFERROR(IF(0=LEN(ReferenceData!$AK$30),"",ReferenceData!$AK$30),"")</f>
        <v>148.75800000000001</v>
      </c>
      <c r="AL30">
        <f ca="1">IFERROR(IF(0=LEN(ReferenceData!$AL$30),"",ReferenceData!$AL$30),"")</f>
        <v>194.465</v>
      </c>
      <c r="AM30">
        <f ca="1">IFERROR(IF(0=LEN(ReferenceData!$AM$30),"",ReferenceData!$AM$30),"")</f>
        <v>157.751</v>
      </c>
      <c r="AN30">
        <f ca="1">IFERROR(IF(0=LEN(ReferenceData!$AN$30),"",ReferenceData!$AN$30),"")</f>
        <v>-40.122</v>
      </c>
      <c r="AO30">
        <f ca="1">IFERROR(IF(0=LEN(ReferenceData!$AO$30),"",ReferenceData!$AO$30),"")</f>
        <v>252.14500000000001</v>
      </c>
      <c r="AP30">
        <f ca="1">IFERROR(IF(0=LEN(ReferenceData!$AP$30),"",ReferenceData!$AP$30),"")</f>
        <v>290.80900000000003</v>
      </c>
      <c r="AQ30">
        <f ca="1">IFERROR(IF(0=LEN(ReferenceData!$AQ$30),"",ReferenceData!$AQ$30),"")</f>
        <v>360.327</v>
      </c>
      <c r="AR30">
        <f ca="1">IFERROR(IF(0=LEN(ReferenceData!$AR$30),"",ReferenceData!$AR$30),"")</f>
        <v>662.04100000000005</v>
      </c>
      <c r="AS30">
        <f ca="1">IFERROR(IF(0=LEN(ReferenceData!$AS$30),"",ReferenceData!$AS$30),"")</f>
        <v>437.75200000000001</v>
      </c>
      <c r="AT30">
        <f ca="1">IFERROR(IF(0=LEN(ReferenceData!$AT$30),"",ReferenceData!$AT$30),"")</f>
        <v>762.95650000000001</v>
      </c>
      <c r="AU30">
        <f ca="1">IFERROR(IF(0=LEN(ReferenceData!$AU$30),"",ReferenceData!$AU$30),"")</f>
        <v>542.85699999999997</v>
      </c>
      <c r="AV30">
        <f ca="1">IFERROR(IF(0=LEN(ReferenceData!$AV$30),"",ReferenceData!$AV$30),"")</f>
        <v>667.60199999999998</v>
      </c>
      <c r="AW30">
        <f ca="1">IFERROR(IF(0=LEN(ReferenceData!$AW$30),"",ReferenceData!$AW$30),"")</f>
        <v>466.34800000000001</v>
      </c>
      <c r="AX30">
        <f ca="1">IFERROR(IF(0=LEN(ReferenceData!$AX$30),"",ReferenceData!$AX$30),"")</f>
        <v>602.71299999999997</v>
      </c>
      <c r="AY30">
        <f ca="1">IFERROR(IF(0=LEN(ReferenceData!$AY$30),"",ReferenceData!$AY$30),"")</f>
        <v>472.04899999999998</v>
      </c>
      <c r="AZ30">
        <f ca="1">IFERROR(IF(0=LEN(ReferenceData!$AZ$30),"",ReferenceData!$AZ$30),"")</f>
        <v>565.45899999999995</v>
      </c>
      <c r="BA30">
        <f ca="1">IFERROR(IF(0=LEN(ReferenceData!$BA$30),"",ReferenceData!$BA$30),"")</f>
        <v>345.74799999999999</v>
      </c>
      <c r="BB30">
        <f ca="1">IFERROR(IF(0=LEN(ReferenceData!$BB$30),"",ReferenceData!$BB$30),"")</f>
        <v>23.69</v>
      </c>
      <c r="BC30">
        <f ca="1">IFERROR(IF(0=LEN(ReferenceData!$BC$30),"",ReferenceData!$BC$30),"")</f>
        <v>215.97800000000001</v>
      </c>
      <c r="BD30">
        <f ca="1">IFERROR(IF(0=LEN(ReferenceData!$BD$30),"",ReferenceData!$BD$30),"")</f>
        <v>395.64800000000002</v>
      </c>
      <c r="BE30">
        <f ca="1">IFERROR(IF(0=LEN(ReferenceData!$BE$30),"",ReferenceData!$BE$30),"")</f>
        <v>249.434</v>
      </c>
      <c r="BF30">
        <f ca="1">IFERROR(IF(0=LEN(ReferenceData!$BF$30),"",ReferenceData!$BF$30),"")</f>
        <v>240.03800000000001</v>
      </c>
      <c r="BG30">
        <f ca="1">IFERROR(IF(0=LEN(ReferenceData!$BG$30),"",ReferenceData!$BG$30),"")</f>
        <v>143.70500000000001</v>
      </c>
      <c r="BH30">
        <f ca="1">IFERROR(IF(0=LEN(ReferenceData!$BH$30),"",ReferenceData!$BH$30),"")</f>
        <v>216.571</v>
      </c>
      <c r="BI30">
        <f ca="1">IFERROR(IF(0=LEN(ReferenceData!$BI$30),"",ReferenceData!$BI$30),"")</f>
        <v>119.85899999999999</v>
      </c>
      <c r="BJ30">
        <f ca="1">IFERROR(IF(0=LEN(ReferenceData!$BJ$30),"",ReferenceData!$BJ$30),"")</f>
        <v>89.278000000000006</v>
      </c>
      <c r="BK30">
        <f ca="1">IFERROR(IF(0=LEN(ReferenceData!$BK$30),"",ReferenceData!$BK$30),"")</f>
        <v>-3.3540000000000001</v>
      </c>
      <c r="BL30">
        <f ca="1">IFERROR(IF(0=LEN(ReferenceData!$BL$30),"",ReferenceData!$BL$30),"")</f>
        <v>-19.097000000000001</v>
      </c>
      <c r="BM30">
        <f ca="1">IFERROR(IF(0=LEN(ReferenceData!$BM$30),"",ReferenceData!$BM$30),"")</f>
        <v>98.840999999999994</v>
      </c>
    </row>
    <row r="31" spans="1:65">
      <c r="A31" t="str">
        <f>IFERROR(IF(0=LEN(ReferenceData!$A$31),"",ReferenceData!$A$31),"")</f>
        <v xml:space="preserve">    Self Storage REITs</v>
      </c>
      <c r="B31" t="str">
        <f>IFERROR(IF(0=LEN(ReferenceData!$B$31),"",ReferenceData!$B$31),"")</f>
        <v>RECFFOSS Index</v>
      </c>
      <c r="C31" t="str">
        <f>IFERROR(IF(0=LEN(ReferenceData!$C$31),"",ReferenceData!$C$31),"")</f>
        <v>PR005</v>
      </c>
      <c r="D31" t="str">
        <f>IFERROR(IF(0=LEN(ReferenceData!$D$31),"",ReferenceData!$D$31),"")</f>
        <v>PX_LAST</v>
      </c>
      <c r="E31" t="str">
        <f>IFERROR(IF(0=LEN(ReferenceData!$E$31),"",ReferenceData!$E$31),"")</f>
        <v>动态</v>
      </c>
      <c r="F31">
        <f ca="1">IFERROR(IF(0=LEN(ReferenceData!$F$31),"",ReferenceData!$F$31),"")</f>
        <v>780.54342780000002</v>
      </c>
      <c r="G31">
        <f ca="1">IFERROR(IF(0=LEN(ReferenceData!$G$31),"",ReferenceData!$G$31),"")</f>
        <v>719.47400000000005</v>
      </c>
      <c r="H31">
        <f ca="1">IFERROR(IF(0=LEN(ReferenceData!$H$31),"",ReferenceData!$H$31),"")</f>
        <v>700.1</v>
      </c>
      <c r="I31">
        <f ca="1">IFERROR(IF(0=LEN(ReferenceData!$I$31),"",ReferenceData!$I$31),"")</f>
        <v>689.995</v>
      </c>
      <c r="J31">
        <f ca="1">IFERROR(IF(0=LEN(ReferenceData!$J$31),"",ReferenceData!$J$31),"")</f>
        <v>756.98</v>
      </c>
      <c r="K31">
        <f ca="1">IFERROR(IF(0=LEN(ReferenceData!$K$31),"",ReferenceData!$K$31),"")</f>
        <v>691.38300000000004</v>
      </c>
      <c r="L31">
        <f ca="1">IFERROR(IF(0=LEN(ReferenceData!$L$31),"",ReferenceData!$L$31),"")</f>
        <v>649.50900000000001</v>
      </c>
      <c r="M31">
        <f ca="1">IFERROR(IF(0=LEN(ReferenceData!$M$31),"",ReferenceData!$M$31),"")</f>
        <v>581.19200000000001</v>
      </c>
      <c r="N31">
        <f ca="1">IFERROR(IF(0=LEN(ReferenceData!$N$31),"",ReferenceData!$N$31),"")</f>
        <v>592.06399999999996</v>
      </c>
      <c r="O31">
        <f ca="1">IFERROR(IF(0=LEN(ReferenceData!$O$31),"",ReferenceData!$O$31),"")</f>
        <v>612.58600000000001</v>
      </c>
      <c r="P31">
        <f ca="1">IFERROR(IF(0=LEN(ReferenceData!$P$31),"",ReferenceData!$P$31),"")</f>
        <v>564.08199999999999</v>
      </c>
      <c r="Q31">
        <f ca="1">IFERROR(IF(0=LEN(ReferenceData!$Q$31),"",ReferenceData!$Q$31),"")</f>
        <v>498.79300000000001</v>
      </c>
      <c r="R31">
        <f ca="1">IFERROR(IF(0=LEN(ReferenceData!$R$31),"",ReferenceData!$R$31),"")</f>
        <v>532.38699999999994</v>
      </c>
      <c r="S31">
        <f ca="1">IFERROR(IF(0=LEN(ReferenceData!$S$31),"",ReferenceData!$S$31),"")</f>
        <v>527.86900000000003</v>
      </c>
      <c r="T31">
        <f ca="1">IFERROR(IF(0=LEN(ReferenceData!$T$31),"",ReferenceData!$T$31),"")</f>
        <v>493.09100000000001</v>
      </c>
      <c r="U31">
        <f ca="1">IFERROR(IF(0=LEN(ReferenceData!$U$31),"",ReferenceData!$U$31),"")</f>
        <v>432.09</v>
      </c>
      <c r="V31">
        <f ca="1">IFERROR(IF(0=LEN(ReferenceData!$V$31),"",ReferenceData!$V$31),"")</f>
        <v>492.32799999999997</v>
      </c>
      <c r="W31">
        <f ca="1">IFERROR(IF(0=LEN(ReferenceData!$W$31),"",ReferenceData!$W$31),"")</f>
        <v>465.84699999999998</v>
      </c>
      <c r="X31">
        <f ca="1">IFERROR(IF(0=LEN(ReferenceData!$X$31),"",ReferenceData!$X$31),"")</f>
        <v>433.24099999999999</v>
      </c>
      <c r="Y31">
        <f ca="1">IFERROR(IF(0=LEN(ReferenceData!$Y$31),"",ReferenceData!$Y$31),"")</f>
        <v>376.65</v>
      </c>
      <c r="Z31">
        <f ca="1">IFERROR(IF(0=LEN(ReferenceData!$Z$31),"",ReferenceData!$Z$31),"")</f>
        <v>483.03199999999998</v>
      </c>
      <c r="AA31">
        <f ca="1">IFERROR(IF(0=LEN(ReferenceData!$AA$31),"",ReferenceData!$AA$31),"")</f>
        <v>455.279</v>
      </c>
      <c r="AB31">
        <f ca="1">IFERROR(IF(0=LEN(ReferenceData!$AB$31),"",ReferenceData!$AB$31),"")</f>
        <v>390.77</v>
      </c>
      <c r="AC31">
        <f ca="1">IFERROR(IF(0=LEN(ReferenceData!$AC$31),"",ReferenceData!$AC$31),"")</f>
        <v>388.05399999999997</v>
      </c>
      <c r="AD31">
        <f ca="1">IFERROR(IF(0=LEN(ReferenceData!$AD$31),"",ReferenceData!$AD$31),"")</f>
        <v>381.815</v>
      </c>
      <c r="AE31">
        <f ca="1">IFERROR(IF(0=LEN(ReferenceData!$AE$31),"",ReferenceData!$AE$31),"")</f>
        <v>359.721</v>
      </c>
      <c r="AF31">
        <f ca="1">IFERROR(IF(0=LEN(ReferenceData!$AF$31),"",ReferenceData!$AF$31),"")</f>
        <v>378.21100000000001</v>
      </c>
      <c r="AG31">
        <f ca="1">IFERROR(IF(0=LEN(ReferenceData!$AG$31),"",ReferenceData!$AG$31),"")</f>
        <v>370.29899999999998</v>
      </c>
      <c r="AH31">
        <f ca="1">IFERROR(IF(0=LEN(ReferenceData!$AH$31),"",ReferenceData!$AH$31),"")</f>
        <v>351.95800000000003</v>
      </c>
      <c r="AI31">
        <f ca="1">IFERROR(IF(0=LEN(ReferenceData!$AI$31),"",ReferenceData!$AI$31),"")</f>
        <v>404.37700000000001</v>
      </c>
      <c r="AJ31">
        <f ca="1">IFERROR(IF(0=LEN(ReferenceData!$AJ$31),"",ReferenceData!$AJ$31),"")</f>
        <v>274.30700000000002</v>
      </c>
      <c r="AK31">
        <f ca="1">IFERROR(IF(0=LEN(ReferenceData!$AK$31),"",ReferenceData!$AK$31),"")</f>
        <v>272.78899999999999</v>
      </c>
      <c r="AL31">
        <f ca="1">IFERROR(IF(0=LEN(ReferenceData!$AL$31),"",ReferenceData!$AL$31),"")</f>
        <v>325.75099999999998</v>
      </c>
      <c r="AM31">
        <f ca="1">IFERROR(IF(0=LEN(ReferenceData!$AM$31),"",ReferenceData!$AM$31),"")</f>
        <v>365.70400000000001</v>
      </c>
      <c r="AN31">
        <f ca="1">IFERROR(IF(0=LEN(ReferenceData!$AN$31),"",ReferenceData!$AN$31),"")</f>
        <v>339.91500000000002</v>
      </c>
      <c r="AO31">
        <f ca="1">IFERROR(IF(0=LEN(ReferenceData!$AO$31),"",ReferenceData!$AO$31),"")</f>
        <v>324.053</v>
      </c>
      <c r="AP31">
        <f ca="1">IFERROR(IF(0=LEN(ReferenceData!$AP$31),"",ReferenceData!$AP$31),"")</f>
        <v>354.07299999999998</v>
      </c>
      <c r="AQ31">
        <f ca="1">IFERROR(IF(0=LEN(ReferenceData!$AQ$31),"",ReferenceData!$AQ$31),"")</f>
        <v>318.55700000000002</v>
      </c>
      <c r="AR31">
        <f ca="1">IFERROR(IF(0=LEN(ReferenceData!$AR$31),"",ReferenceData!$AR$31),"")</f>
        <v>314.61900000000003</v>
      </c>
      <c r="AS31">
        <f ca="1">IFERROR(IF(0=LEN(ReferenceData!$AS$31),"",ReferenceData!$AS$31),"")</f>
        <v>361.76100000000002</v>
      </c>
      <c r="AT31">
        <f ca="1">IFERROR(IF(0=LEN(ReferenceData!$AT$31),"",ReferenceData!$AT$31),"")</f>
        <v>365.5025</v>
      </c>
      <c r="AU31">
        <f ca="1">IFERROR(IF(0=LEN(ReferenceData!$AU$31),"",ReferenceData!$AU$31),"")</f>
        <v>373.94</v>
      </c>
      <c r="AV31">
        <f ca="1">IFERROR(IF(0=LEN(ReferenceData!$AV$31),"",ReferenceData!$AV$31),"")</f>
        <v>312.154</v>
      </c>
      <c r="AW31">
        <f ca="1">IFERROR(IF(0=LEN(ReferenceData!$AW$31),"",ReferenceData!$AW$31),"")</f>
        <v>296.77300000000002</v>
      </c>
      <c r="AX31">
        <f ca="1">IFERROR(IF(0=LEN(ReferenceData!$AX$31),"",ReferenceData!$AX$31),"")</f>
        <v>276.66699999999997</v>
      </c>
      <c r="AY31">
        <f ca="1">IFERROR(IF(0=LEN(ReferenceData!$AY$31),"",ReferenceData!$AY$31),"")</f>
        <v>254.28100000000001</v>
      </c>
      <c r="AZ31">
        <f ca="1">IFERROR(IF(0=LEN(ReferenceData!$AZ$31),"",ReferenceData!$AZ$31),"")</f>
        <v>272.52800000000002</v>
      </c>
      <c r="BA31">
        <f ca="1">IFERROR(IF(0=LEN(ReferenceData!$BA$31),"",ReferenceData!$BA$31),"")</f>
        <v>245.179</v>
      </c>
      <c r="BB31">
        <f ca="1">IFERROR(IF(0=LEN(ReferenceData!$BB$31),"",ReferenceData!$BB$31),"")</f>
        <v>246.30699999999999</v>
      </c>
      <c r="BC31">
        <f ca="1">IFERROR(IF(0=LEN(ReferenceData!$BC$31),"",ReferenceData!$BC$31),"")</f>
        <v>232.17</v>
      </c>
      <c r="BD31">
        <f ca="1">IFERROR(IF(0=LEN(ReferenceData!$BD$31),"",ReferenceData!$BD$31),"")</f>
        <v>219.369</v>
      </c>
      <c r="BE31">
        <f ca="1">IFERROR(IF(0=LEN(ReferenceData!$BE$31),"",ReferenceData!$BE$31),"")</f>
        <v>206.24700000000001</v>
      </c>
      <c r="BF31">
        <f ca="1">IFERROR(IF(0=LEN(ReferenceData!$BF$31),"",ReferenceData!$BF$31),"")</f>
        <v>184.14599999999999</v>
      </c>
      <c r="BG31">
        <f ca="1">IFERROR(IF(0=LEN(ReferenceData!$BG$31),"",ReferenceData!$BG$31),"")</f>
        <v>200.09200000000001</v>
      </c>
      <c r="BH31">
        <f ca="1">IFERROR(IF(0=LEN(ReferenceData!$BH$31),"",ReferenceData!$BH$31),"")</f>
        <v>192.36799999999999</v>
      </c>
      <c r="BI31">
        <f ca="1">IFERROR(IF(0=LEN(ReferenceData!$BI$31),"",ReferenceData!$BI$31),"")</f>
        <v>172.81299999999999</v>
      </c>
      <c r="BJ31">
        <f ca="1">IFERROR(IF(0=LEN(ReferenceData!$BJ$31),"",ReferenceData!$BJ$31),"")</f>
        <v>180.90549999999999</v>
      </c>
      <c r="BK31">
        <f ca="1">IFERROR(IF(0=LEN(ReferenceData!$BK$31),"",ReferenceData!$BK$31),"")</f>
        <v>191.98699999999999</v>
      </c>
      <c r="BL31">
        <f ca="1">IFERROR(IF(0=LEN(ReferenceData!$BL$31),"",ReferenceData!$BL$31),"")</f>
        <v>174.77099999999999</v>
      </c>
      <c r="BM31">
        <f ca="1">IFERROR(IF(0=LEN(ReferenceData!$BM$31),"",ReferenceData!$BM$31),"")</f>
        <v>172.60900000000001</v>
      </c>
    </row>
    <row r="32" spans="1:65">
      <c r="A32" t="str">
        <f>IFERROR(IF(0=LEN(ReferenceData!$A$32),"",ReferenceData!$A$32),"")</f>
        <v xml:space="preserve">    Health Care REITs</v>
      </c>
      <c r="B32" t="str">
        <f>IFERROR(IF(0=LEN(ReferenceData!$B$32),"",ReferenceData!$B$32),"")</f>
        <v>RECFFOHC Index</v>
      </c>
      <c r="C32" t="str">
        <f>IFERROR(IF(0=LEN(ReferenceData!$C$32),"",ReferenceData!$C$32),"")</f>
        <v>PR005</v>
      </c>
      <c r="D32" t="str">
        <f>IFERROR(IF(0=LEN(ReferenceData!$D$32),"",ReferenceData!$D$32),"")</f>
        <v>PX_LAST</v>
      </c>
      <c r="E32" t="str">
        <f>IFERROR(IF(0=LEN(ReferenceData!$E$32),"",ReferenceData!$E$32),"")</f>
        <v>动态</v>
      </c>
      <c r="F32">
        <f ca="1">IFERROR(IF(0=LEN(ReferenceData!$F$32),"",ReferenceData!$F$32),"")</f>
        <v>1406.0893639999999</v>
      </c>
      <c r="G32">
        <f ca="1">IFERROR(IF(0=LEN(ReferenceData!$G$32),"",ReferenceData!$G$32),"")</f>
        <v>1349.1759999999999</v>
      </c>
      <c r="H32">
        <f ca="1">IFERROR(IF(0=LEN(ReferenceData!$H$32),"",ReferenceData!$H$32),"")</f>
        <v>1674.8209999999999</v>
      </c>
      <c r="I32">
        <f ca="1">IFERROR(IF(0=LEN(ReferenceData!$I$32),"",ReferenceData!$I$32),"")</f>
        <v>1796.6590000000001</v>
      </c>
      <c r="J32">
        <f ca="1">IFERROR(IF(0=LEN(ReferenceData!$J$32),"",ReferenceData!$J$32),"")</f>
        <v>1724.0519999999999</v>
      </c>
      <c r="K32">
        <f ca="1">IFERROR(IF(0=LEN(ReferenceData!$K$32),"",ReferenceData!$K$32),"")</f>
        <v>1743.4829999999999</v>
      </c>
      <c r="L32">
        <f ca="1">IFERROR(IF(0=LEN(ReferenceData!$L$32),"",ReferenceData!$L$32),"")</f>
        <v>1829.711</v>
      </c>
      <c r="M32">
        <f ca="1">IFERROR(IF(0=LEN(ReferenceData!$M$32),"",ReferenceData!$M$32),"")</f>
        <v>1743.3789999999999</v>
      </c>
      <c r="N32">
        <f ca="1">IFERROR(IF(0=LEN(ReferenceData!$N$32),"",ReferenceData!$N$32),"")</f>
        <v>883.22799999999995</v>
      </c>
      <c r="O32">
        <f ca="1">IFERROR(IF(0=LEN(ReferenceData!$O$32),"",ReferenceData!$O$32),"")</f>
        <v>1531.7819999999999</v>
      </c>
      <c r="P32">
        <f ca="1">IFERROR(IF(0=LEN(ReferenceData!$P$32),"",ReferenceData!$P$32),"")</f>
        <v>1469.5909999999999</v>
      </c>
      <c r="Q32">
        <f ca="1">IFERROR(IF(0=LEN(ReferenceData!$Q$32),"",ReferenceData!$Q$32),"")</f>
        <v>1017.204</v>
      </c>
      <c r="R32">
        <f ca="1">IFERROR(IF(0=LEN(ReferenceData!$R$32),"",ReferenceData!$R$32),"")</f>
        <v>1402.614</v>
      </c>
      <c r="S32">
        <f ca="1">IFERROR(IF(0=LEN(ReferenceData!$S$32),"",ReferenceData!$S$32),"")</f>
        <v>1440.933</v>
      </c>
      <c r="T32">
        <f ca="1">IFERROR(IF(0=LEN(ReferenceData!$T$32),"",ReferenceData!$T$32),"")</f>
        <v>1235.931</v>
      </c>
      <c r="U32">
        <f ca="1">IFERROR(IF(0=LEN(ReferenceData!$U$32),"",ReferenceData!$U$32),"")</f>
        <v>1286.212</v>
      </c>
      <c r="V32">
        <f ca="1">IFERROR(IF(0=LEN(ReferenceData!$V$32),"",ReferenceData!$V$32),"")</f>
        <v>1282.704</v>
      </c>
      <c r="W32">
        <f ca="1">IFERROR(IF(0=LEN(ReferenceData!$W$32),"",ReferenceData!$W$32),"")</f>
        <v>1204.8140000000001</v>
      </c>
      <c r="X32">
        <f ca="1">IFERROR(IF(0=LEN(ReferenceData!$X$32),"",ReferenceData!$X$32),"")</f>
        <v>1135.4190000000001</v>
      </c>
      <c r="Y32">
        <f ca="1">IFERROR(IF(0=LEN(ReferenceData!$Y$32),"",ReferenceData!$Y$32),"")</f>
        <v>1076.135</v>
      </c>
      <c r="Z32">
        <f ca="1">IFERROR(IF(0=LEN(ReferenceData!$Z$32),"",ReferenceData!$Z$32),"")</f>
        <v>1081.5550000000001</v>
      </c>
      <c r="AA32">
        <f ca="1">IFERROR(IF(0=LEN(ReferenceData!$AA$32),"",ReferenceData!$AA$32),"")</f>
        <v>988.38599999999997</v>
      </c>
      <c r="AB32">
        <f ca="1">IFERROR(IF(0=LEN(ReferenceData!$AB$32),"",ReferenceData!$AB$32),"")</f>
        <v>930.17899999999997</v>
      </c>
      <c r="AC32">
        <f ca="1">IFERROR(IF(0=LEN(ReferenceData!$AC$32),"",ReferenceData!$AC$32),"")</f>
        <v>868.34699999999998</v>
      </c>
      <c r="AD32">
        <f ca="1">IFERROR(IF(0=LEN(ReferenceData!$AD$32),"",ReferenceData!$AD$32),"")</f>
        <v>860.88199999999995</v>
      </c>
      <c r="AE32">
        <f ca="1">IFERROR(IF(0=LEN(ReferenceData!$AE$32),"",ReferenceData!$AE$32),"")</f>
        <v>872.30399999999997</v>
      </c>
      <c r="AF32">
        <f ca="1">IFERROR(IF(0=LEN(ReferenceData!$AF$32),"",ReferenceData!$AF$32),"")</f>
        <v>766.19500000000005</v>
      </c>
      <c r="AG32">
        <f ca="1">IFERROR(IF(0=LEN(ReferenceData!$AG$32),"",ReferenceData!$AG$32),"")</f>
        <v>582.32899999999995</v>
      </c>
      <c r="AH32">
        <f ca="1">IFERROR(IF(0=LEN(ReferenceData!$AH$32),"",ReferenceData!$AH$32),"")</f>
        <v>527.197</v>
      </c>
      <c r="AI32">
        <f ca="1">IFERROR(IF(0=LEN(ReferenceData!$AI$32),"",ReferenceData!$AI$32),"")</f>
        <v>478.11099999999999</v>
      </c>
      <c r="AJ32">
        <f ca="1">IFERROR(IF(0=LEN(ReferenceData!$AJ$32),"",ReferenceData!$AJ$32),"")</f>
        <v>562.58000000000004</v>
      </c>
      <c r="AK32">
        <f ca="1">IFERROR(IF(0=LEN(ReferenceData!$AK$32),"",ReferenceData!$AK$32),"")</f>
        <v>547.36800000000005</v>
      </c>
      <c r="AL32">
        <f ca="1">IFERROR(IF(0=LEN(ReferenceData!$AL$32),"",ReferenceData!$AL$32),"")</f>
        <v>519.84199999999998</v>
      </c>
      <c r="AM32">
        <f ca="1">IFERROR(IF(0=LEN(ReferenceData!$AM$32),"",ReferenceData!$AM$32),"")</f>
        <v>423.98700000000002</v>
      </c>
      <c r="AN32">
        <f ca="1">IFERROR(IF(0=LEN(ReferenceData!$AN$32),"",ReferenceData!$AN$32),"")</f>
        <v>563.44899999999996</v>
      </c>
      <c r="AO32">
        <f ca="1">IFERROR(IF(0=LEN(ReferenceData!$AO$32),"",ReferenceData!$AO$32),"")</f>
        <v>435.50700000000001</v>
      </c>
      <c r="AP32">
        <f ca="1">IFERROR(IF(0=LEN(ReferenceData!$AP$32),"",ReferenceData!$AP$32),"")</f>
        <v>492.39699999999999</v>
      </c>
      <c r="AQ32">
        <f ca="1">IFERROR(IF(0=LEN(ReferenceData!$AQ$32),"",ReferenceData!$AQ$32),"")</f>
        <v>580.57600000000002</v>
      </c>
      <c r="AR32">
        <f ca="1">IFERROR(IF(0=LEN(ReferenceData!$AR$32),"",ReferenceData!$AR$32),"")</f>
        <v>490.96300000000002</v>
      </c>
      <c r="AS32">
        <f ca="1">IFERROR(IF(0=LEN(ReferenceData!$AS$32),"",ReferenceData!$AS$32),"")</f>
        <v>488.29500000000002</v>
      </c>
      <c r="AT32">
        <f ca="1">IFERROR(IF(0=LEN(ReferenceData!$AT$32),"",ReferenceData!$AT$32),"")</f>
        <v>477.13299999999998</v>
      </c>
      <c r="AU32">
        <f ca="1">IFERROR(IF(0=LEN(ReferenceData!$AU$32),"",ReferenceData!$AU$32),"")</f>
        <v>474.23200000000003</v>
      </c>
      <c r="AV32">
        <f ca="1">IFERROR(IF(0=LEN(ReferenceData!$AV$32),"",ReferenceData!$AV$32),"")</f>
        <v>472.14100000000002</v>
      </c>
      <c r="AW32">
        <f ca="1">IFERROR(IF(0=LEN(ReferenceData!$AW$32),"",ReferenceData!$AW$32),"")</f>
        <v>416.49</v>
      </c>
      <c r="AX32">
        <f ca="1">IFERROR(IF(0=LEN(ReferenceData!$AX$32),"",ReferenceData!$AX$32),"")</f>
        <v>366.21499999999997</v>
      </c>
      <c r="AY32">
        <f ca="1">IFERROR(IF(0=LEN(ReferenceData!$AY$32),"",ReferenceData!$AY$32),"")</f>
        <v>348.40800000000002</v>
      </c>
      <c r="AZ32">
        <f ca="1">IFERROR(IF(0=LEN(ReferenceData!$AZ$32),"",ReferenceData!$AZ$32),"")</f>
        <v>346.70100000000002</v>
      </c>
      <c r="BA32">
        <f ca="1">IFERROR(IF(0=LEN(ReferenceData!$BA$32),"",ReferenceData!$BA$32),"")</f>
        <v>330.31599999999997</v>
      </c>
      <c r="BB32">
        <f ca="1">IFERROR(IF(0=LEN(ReferenceData!$BB$32),"",ReferenceData!$BB$32),"")</f>
        <v>324.92950000000002</v>
      </c>
      <c r="BC32">
        <f ca="1">IFERROR(IF(0=LEN(ReferenceData!$BC$32),"",ReferenceData!$BC$32),"")</f>
        <v>302.50799999999998</v>
      </c>
      <c r="BD32">
        <f ca="1">IFERROR(IF(0=LEN(ReferenceData!$BD$32),"",ReferenceData!$BD$32),"")</f>
        <v>260.90899999999999</v>
      </c>
      <c r="BE32">
        <f ca="1">IFERROR(IF(0=LEN(ReferenceData!$BE$32),"",ReferenceData!$BE$32),"")</f>
        <v>285.55200000000002</v>
      </c>
      <c r="BF32">
        <f ca="1">IFERROR(IF(0=LEN(ReferenceData!$BF$32),"",ReferenceData!$BF$32),"")</f>
        <v>280.51</v>
      </c>
      <c r="BG32">
        <f ca="1">IFERROR(IF(0=LEN(ReferenceData!$BG$32),"",ReferenceData!$BG$32),"")</f>
        <v>254.05799999999999</v>
      </c>
      <c r="BH32">
        <f ca="1">IFERROR(IF(0=LEN(ReferenceData!$BH$32),"",ReferenceData!$BH$32),"")</f>
        <v>254.65</v>
      </c>
      <c r="BI32">
        <f ca="1">IFERROR(IF(0=LEN(ReferenceData!$BI$32),"",ReferenceData!$BI$32),"")</f>
        <v>185.631</v>
      </c>
      <c r="BJ32">
        <f ca="1">IFERROR(IF(0=LEN(ReferenceData!$BJ$32),"",ReferenceData!$BJ$32),"")</f>
        <v>238.29400000000001</v>
      </c>
      <c r="BK32">
        <f ca="1">IFERROR(IF(0=LEN(ReferenceData!$BK$32),"",ReferenceData!$BK$32),"")</f>
        <v>239.654</v>
      </c>
      <c r="BL32">
        <f ca="1">IFERROR(IF(0=LEN(ReferenceData!$BL$32),"",ReferenceData!$BL$32),"")</f>
        <v>215.02</v>
      </c>
      <c r="BM32">
        <f ca="1">IFERROR(IF(0=LEN(ReferenceData!$BM$32),"",ReferenceData!$BM$32),"")</f>
        <v>230.358</v>
      </c>
    </row>
    <row r="33" spans="1:65">
      <c r="A33" t="str">
        <f>IFERROR(IF(0=LEN(ReferenceData!$A$33),"",ReferenceData!$A$33),"")</f>
        <v xml:space="preserve">    Data Center REITs</v>
      </c>
      <c r="B33" t="str">
        <f>IFERROR(IF(0=LEN(ReferenceData!$B$33),"",ReferenceData!$B$33),"")</f>
        <v>RECFFODC Index</v>
      </c>
      <c r="C33" t="str">
        <f>IFERROR(IF(0=LEN(ReferenceData!$C$33),"",ReferenceData!$C$33),"")</f>
        <v>PR005</v>
      </c>
      <c r="D33" t="str">
        <f>IFERROR(IF(0=LEN(ReferenceData!$D$33),"",ReferenceData!$D$33),"")</f>
        <v>PX_LAST</v>
      </c>
      <c r="E33" t="str">
        <f>IFERROR(IF(0=LEN(ReferenceData!$E$33),"",ReferenceData!$E$33),"")</f>
        <v>动态</v>
      </c>
      <c r="F33">
        <f ca="1">IFERROR(IF(0=LEN(ReferenceData!$F$33),"",ReferenceData!$F$33),"")</f>
        <v>742.71</v>
      </c>
      <c r="G33">
        <f ca="1">IFERROR(IF(0=LEN(ReferenceData!$G$33),"",ReferenceData!$G$33),"")</f>
        <v>655.09100000000001</v>
      </c>
      <c r="H33">
        <f ca="1">IFERROR(IF(0=LEN(ReferenceData!$H$33),"",ReferenceData!$H$33),"")</f>
        <v>670.46500000000003</v>
      </c>
      <c r="I33">
        <f ca="1">IFERROR(IF(0=LEN(ReferenceData!$I$33),"",ReferenceData!$I$33),"")</f>
        <v>626.58000000000004</v>
      </c>
      <c r="J33">
        <f ca="1">IFERROR(IF(0=LEN(ReferenceData!$J$33),"",ReferenceData!$J$33),"")</f>
        <v>681.21</v>
      </c>
      <c r="K33">
        <f ca="1">IFERROR(IF(0=LEN(ReferenceData!$K$33),"",ReferenceData!$K$33),"")</f>
        <v>584.279</v>
      </c>
      <c r="L33">
        <f ca="1">IFERROR(IF(0=LEN(ReferenceData!$L$33),"",ReferenceData!$L$33),"")</f>
        <v>596.25099999999998</v>
      </c>
      <c r="M33">
        <f ca="1">IFERROR(IF(0=LEN(ReferenceData!$M$33),"",ReferenceData!$M$33),"")</f>
        <v>503.17200000000003</v>
      </c>
      <c r="N33">
        <f ca="1">IFERROR(IF(0=LEN(ReferenceData!$N$33),"",ReferenceData!$N$33),"")</f>
        <v>409.11700000000002</v>
      </c>
      <c r="O33">
        <f ca="1">IFERROR(IF(0=LEN(ReferenceData!$O$33),"",ReferenceData!$O$33),"")</f>
        <v>487.05700000000002</v>
      </c>
      <c r="P33">
        <f ca="1">IFERROR(IF(0=LEN(ReferenceData!$P$33),"",ReferenceData!$P$33),"")</f>
        <v>479.93799999999999</v>
      </c>
      <c r="Q33">
        <f ca="1">IFERROR(IF(0=LEN(ReferenceData!$Q$33),"",ReferenceData!$Q$33),"")</f>
        <v>529.14400000000001</v>
      </c>
      <c r="R33">
        <f ca="1">IFERROR(IF(0=LEN(ReferenceData!$R$33),"",ReferenceData!$R$33),"")</f>
        <v>313.97699999999998</v>
      </c>
      <c r="S33">
        <f ca="1">IFERROR(IF(0=LEN(ReferenceData!$S$33),"",ReferenceData!$S$33),"")</f>
        <v>293.96699999999998</v>
      </c>
      <c r="T33">
        <f ca="1">IFERROR(IF(0=LEN(ReferenceData!$T$33),"",ReferenceData!$T$33),"")</f>
        <v>290.279</v>
      </c>
      <c r="U33">
        <f ca="1">IFERROR(IF(0=LEN(ReferenceData!$U$33),"",ReferenceData!$U$33),"")</f>
        <v>288.084</v>
      </c>
      <c r="V33">
        <f ca="1">IFERROR(IF(0=LEN(ReferenceData!$V$33),"",ReferenceData!$V$33),"")</f>
        <v>277.64999999999998</v>
      </c>
      <c r="W33">
        <f ca="1">IFERROR(IF(0=LEN(ReferenceData!$W$33),"",ReferenceData!$W$33),"")</f>
        <v>208.483</v>
      </c>
      <c r="X33">
        <f ca="1">IFERROR(IF(0=LEN(ReferenceData!$X$33),"",ReferenceData!$X$33),"")</f>
        <v>245.92500000000001</v>
      </c>
      <c r="Y33">
        <f ca="1">IFERROR(IF(0=LEN(ReferenceData!$Y$33),"",ReferenceData!$Y$33),"")</f>
        <v>212.965</v>
      </c>
      <c r="Z33">
        <f ca="1">IFERROR(IF(0=LEN(ReferenceData!$Z$33),"",ReferenceData!$Z$33),"")</f>
        <v>217.387</v>
      </c>
      <c r="AA33">
        <f ca="1">IFERROR(IF(0=LEN(ReferenceData!$AA$33),"",ReferenceData!$AA$33),"")</f>
        <v>211.86</v>
      </c>
      <c r="AB33">
        <f ca="1">IFERROR(IF(0=LEN(ReferenceData!$AB$33),"",ReferenceData!$AB$33),"")</f>
        <v>191.85599999999999</v>
      </c>
      <c r="AC33">
        <f ca="1">IFERROR(IF(0=LEN(ReferenceData!$AC$33),"",ReferenceData!$AC$33),"")</f>
        <v>183.85</v>
      </c>
      <c r="AD33">
        <f ca="1">IFERROR(IF(0=LEN(ReferenceData!$AD$33),"",ReferenceData!$AD$33),"")</f>
        <v>178.03700000000001</v>
      </c>
      <c r="AE33">
        <f ca="1">IFERROR(IF(0=LEN(ReferenceData!$AE$33),"",ReferenceData!$AE$33),"")</f>
        <v>179.43700000000001</v>
      </c>
      <c r="AF33">
        <f ca="1">IFERROR(IF(0=LEN(ReferenceData!$AF$33),"",ReferenceData!$AF$33),"")</f>
        <v>173.672</v>
      </c>
      <c r="AG33">
        <f ca="1">IFERROR(IF(0=LEN(ReferenceData!$AG$33),"",ReferenceData!$AG$33),"")</f>
        <v>164.39500000000001</v>
      </c>
      <c r="AH33">
        <f ca="1">IFERROR(IF(0=LEN(ReferenceData!$AH$33),"",ReferenceData!$AH$33),"")</f>
        <v>155.06899999999999</v>
      </c>
      <c r="AI33">
        <f ca="1">IFERROR(IF(0=LEN(ReferenceData!$AI$33),"",ReferenceData!$AI$33),"")</f>
        <v>122.002</v>
      </c>
      <c r="AJ33">
        <f ca="1">IFERROR(IF(0=LEN(ReferenceData!$AJ$33),"",ReferenceData!$AJ$33),"")</f>
        <v>105.70399999999999</v>
      </c>
      <c r="AK33">
        <f ca="1">IFERROR(IF(0=LEN(ReferenceData!$AK$33),"",ReferenceData!$AK$33),"")</f>
        <v>104.554</v>
      </c>
      <c r="AL33">
        <f ca="1">IFERROR(IF(0=LEN(ReferenceData!$AL$33),"",ReferenceData!$AL$33),"")</f>
        <v>83.706000000000003</v>
      </c>
      <c r="AM33">
        <f ca="1">IFERROR(IF(0=LEN(ReferenceData!$AM$33),"",ReferenceData!$AM$33),"")</f>
        <v>94.355999999999995</v>
      </c>
      <c r="AN33">
        <f ca="1">IFERROR(IF(0=LEN(ReferenceData!$AN$33),"",ReferenceData!$AN$33),"")</f>
        <v>89.66</v>
      </c>
      <c r="AO33">
        <f ca="1">IFERROR(IF(0=LEN(ReferenceData!$AO$33),"",ReferenceData!$AO$33),"")</f>
        <v>81.284000000000006</v>
      </c>
      <c r="AP33">
        <f ca="1">IFERROR(IF(0=LEN(ReferenceData!$AP$33),"",ReferenceData!$AP$33),"")</f>
        <v>88.293999999999997</v>
      </c>
      <c r="AQ33">
        <f ca="1">IFERROR(IF(0=LEN(ReferenceData!$AQ$33),"",ReferenceData!$AQ$33),"")</f>
        <v>82.876000000000005</v>
      </c>
      <c r="AR33">
        <f ca="1">IFERROR(IF(0=LEN(ReferenceData!$AR$33),"",ReferenceData!$AR$33),"")</f>
        <v>73.515000000000001</v>
      </c>
      <c r="AS33">
        <f ca="1">IFERROR(IF(0=LEN(ReferenceData!$AS$33),"",ReferenceData!$AS$33),"")</f>
        <v>69.712999999999994</v>
      </c>
      <c r="AT33">
        <f ca="1">IFERROR(IF(0=LEN(ReferenceData!$AT$33),"",ReferenceData!$AT$33),"")</f>
        <v>-138.79400000000001</v>
      </c>
      <c r="AU33">
        <f ca="1">IFERROR(IF(0=LEN(ReferenceData!$AU$33),"",ReferenceData!$AU$33),"")</f>
        <v>35.933999999999997</v>
      </c>
      <c r="AV33">
        <f ca="1">IFERROR(IF(0=LEN(ReferenceData!$AV$33),"",ReferenceData!$AV$33),"")</f>
        <v>35.619</v>
      </c>
      <c r="AW33">
        <f ca="1">IFERROR(IF(0=LEN(ReferenceData!$AW$33),"",ReferenceData!$AW$33),"")</f>
        <v>35.033000000000001</v>
      </c>
      <c r="AX33">
        <f ca="1">IFERROR(IF(0=LEN(ReferenceData!$AX$33),"",ReferenceData!$AX$33),"")</f>
        <v>33.024999999999999</v>
      </c>
      <c r="AY33">
        <f ca="1">IFERROR(IF(0=LEN(ReferenceData!$AY$33),"",ReferenceData!$AY$33),"")</f>
        <v>26.244</v>
      </c>
      <c r="AZ33">
        <f ca="1">IFERROR(IF(0=LEN(ReferenceData!$AZ$33),"",ReferenceData!$AZ$33),"")</f>
        <v>23.228000000000002</v>
      </c>
      <c r="BA33">
        <f ca="1">IFERROR(IF(0=LEN(ReferenceData!$BA$33),"",ReferenceData!$BA$33),"")</f>
        <v>21.672999999999998</v>
      </c>
      <c r="BB33">
        <f ca="1">IFERROR(IF(0=LEN(ReferenceData!$BB$33),"",ReferenceData!$BB$33),"")</f>
        <v>21.276</v>
      </c>
      <c r="BC33">
        <f ca="1">IFERROR(IF(0=LEN(ReferenceData!$BC$33),"",ReferenceData!$BC$33),"")</f>
        <v>19.882999999999999</v>
      </c>
      <c r="BD33">
        <f ca="1">IFERROR(IF(0=LEN(ReferenceData!$BD$33),"",ReferenceData!$BD$33),"")</f>
        <v>19.597000000000001</v>
      </c>
      <c r="BE33">
        <f ca="1">IFERROR(IF(0=LEN(ReferenceData!$BE$33),"",ReferenceData!$BE$33),"")</f>
        <v>15.77</v>
      </c>
      <c r="BF33">
        <f ca="1">IFERROR(IF(0=LEN(ReferenceData!$BF$33),"",ReferenceData!$BF$33),"")</f>
        <v>-9.0139999999999993</v>
      </c>
      <c r="BG33">
        <f ca="1">IFERROR(IF(0=LEN(ReferenceData!$BG$33),"",ReferenceData!$BG$33),"")</f>
        <v>0</v>
      </c>
      <c r="BH33">
        <f ca="1">IFERROR(IF(0=LEN(ReferenceData!$BH$33),"",ReferenceData!$BH$33),"")</f>
        <v>0</v>
      </c>
      <c r="BI33">
        <f ca="1">IFERROR(IF(0=LEN(ReferenceData!$BI$33),"",ReferenceData!$BI$33),"")</f>
        <v>0</v>
      </c>
      <c r="BJ33">
        <f ca="1">IFERROR(IF(0=LEN(ReferenceData!$BJ$33),"",ReferenceData!$BJ$33),"")</f>
        <v>0</v>
      </c>
      <c r="BK33">
        <f ca="1">IFERROR(IF(0=LEN(ReferenceData!$BK$33),"",ReferenceData!$BK$33),"")</f>
        <v>0</v>
      </c>
      <c r="BL33">
        <f ca="1">IFERROR(IF(0=LEN(ReferenceData!$BL$33),"",ReferenceData!$BL$33),"")</f>
        <v>0</v>
      </c>
      <c r="BM33">
        <f ca="1">IFERROR(IF(0=LEN(ReferenceData!$BM$33),"",ReferenceData!$BM$33),"")</f>
        <v>0</v>
      </c>
    </row>
    <row r="34" spans="1:65">
      <c r="A34" t="str">
        <f>IFERROR(IF(0=LEN(ReferenceData!$A$34),"",ReferenceData!$A$34),"")</f>
        <v xml:space="preserve">    Specialty REITs</v>
      </c>
      <c r="B34" t="str">
        <f>IFERROR(IF(0=LEN(ReferenceData!$B$34),"",ReferenceData!$B$34),"")</f>
        <v>RECFFOSP Index</v>
      </c>
      <c r="C34" t="str">
        <f>IFERROR(IF(0=LEN(ReferenceData!$C$34),"",ReferenceData!$C$34),"")</f>
        <v>PR005</v>
      </c>
      <c r="D34" t="str">
        <f>IFERROR(IF(0=LEN(ReferenceData!$D$34),"",ReferenceData!$D$34),"")</f>
        <v>PX_LAST</v>
      </c>
      <c r="E34" t="str">
        <f>IFERROR(IF(0=LEN(ReferenceData!$E$34),"",ReferenceData!$E$34),"")</f>
        <v>动态</v>
      </c>
      <c r="F34">
        <f ca="1">IFERROR(IF(0=LEN(ReferenceData!$F$34),"",ReferenceData!$F$34),"")</f>
        <v>635.39370359999998</v>
      </c>
      <c r="G34">
        <f ca="1">IFERROR(IF(0=LEN(ReferenceData!$G$34),"",ReferenceData!$G$34),"")</f>
        <v>654.57799999999997</v>
      </c>
      <c r="H34">
        <f ca="1">IFERROR(IF(0=LEN(ReferenceData!$H$34),"",ReferenceData!$H$34),"")</f>
        <v>697.35299999999995</v>
      </c>
      <c r="I34">
        <f ca="1">IFERROR(IF(0=LEN(ReferenceData!$I$34),"",ReferenceData!$I$34),"")</f>
        <v>579.81799999999998</v>
      </c>
      <c r="J34">
        <f ca="1">IFERROR(IF(0=LEN(ReferenceData!$J$34),"",ReferenceData!$J$34),"")</f>
        <v>660.19399999999996</v>
      </c>
      <c r="K34">
        <f ca="1">IFERROR(IF(0=LEN(ReferenceData!$K$34),"",ReferenceData!$K$34),"")</f>
        <v>614.69399999999996</v>
      </c>
      <c r="L34">
        <f ca="1">IFERROR(IF(0=LEN(ReferenceData!$L$34),"",ReferenceData!$L$34),"")</f>
        <v>547.80600000000004</v>
      </c>
      <c r="M34">
        <f ca="1">IFERROR(IF(0=LEN(ReferenceData!$M$34),"",ReferenceData!$M$34),"")</f>
        <v>492.27699999999999</v>
      </c>
      <c r="N34">
        <f ca="1">IFERROR(IF(0=LEN(ReferenceData!$N$34),"",ReferenceData!$N$34),"")</f>
        <v>501.49700000000001</v>
      </c>
      <c r="O34">
        <f ca="1">IFERROR(IF(0=LEN(ReferenceData!$O$34),"",ReferenceData!$O$34),"")</f>
        <v>0</v>
      </c>
      <c r="P34">
        <f ca="1">IFERROR(IF(0=LEN(ReferenceData!$P$34),"",ReferenceData!$P$34),"")</f>
        <v>0</v>
      </c>
      <c r="Q34">
        <f ca="1">IFERROR(IF(0=LEN(ReferenceData!$Q$34),"",ReferenceData!$Q$34),"")</f>
        <v>0</v>
      </c>
      <c r="R34">
        <f ca="1">IFERROR(IF(0=LEN(ReferenceData!$R$34),"",ReferenceData!$R$34),"")</f>
        <v>0</v>
      </c>
      <c r="S34">
        <f ca="1">IFERROR(IF(0=LEN(ReferenceData!$S$34),"",ReferenceData!$S$34),"")</f>
        <v>0</v>
      </c>
      <c r="T34">
        <f ca="1">IFERROR(IF(0=LEN(ReferenceData!$T$34),"",ReferenceData!$T$34),"")</f>
        <v>0</v>
      </c>
      <c r="U34">
        <f ca="1">IFERROR(IF(0=LEN(ReferenceData!$U$34),"",ReferenceData!$U$34),"")</f>
        <v>0</v>
      </c>
      <c r="V34">
        <f ca="1">IFERROR(IF(0=LEN(ReferenceData!$V$34),"",ReferenceData!$V$34),"")</f>
        <v>0</v>
      </c>
      <c r="W34">
        <f ca="1">IFERROR(IF(0=LEN(ReferenceData!$W$34),"",ReferenceData!$W$34),"")</f>
        <v>0</v>
      </c>
      <c r="X34">
        <f ca="1">IFERROR(IF(0=LEN(ReferenceData!$X$34),"",ReferenceData!$X$34),"")</f>
        <v>0</v>
      </c>
      <c r="Y34">
        <f ca="1">IFERROR(IF(0=LEN(ReferenceData!$Y$34),"",ReferenceData!$Y$34),"")</f>
        <v>0</v>
      </c>
      <c r="Z34">
        <f ca="1">IFERROR(IF(0=LEN(ReferenceData!$Z$34),"",ReferenceData!$Z$34),"")</f>
        <v>0</v>
      </c>
      <c r="AA34">
        <f ca="1">IFERROR(IF(0=LEN(ReferenceData!$AA$34),"",ReferenceData!$AA$34),"")</f>
        <v>0</v>
      </c>
      <c r="AB34">
        <f ca="1">IFERROR(IF(0=LEN(ReferenceData!$AB$34),"",ReferenceData!$AB$34),"")</f>
        <v>0</v>
      </c>
      <c r="AC34">
        <f ca="1">IFERROR(IF(0=LEN(ReferenceData!$AC$34),"",ReferenceData!$AC$34),"")</f>
        <v>0</v>
      </c>
      <c r="AD34">
        <f ca="1">IFERROR(IF(0=LEN(ReferenceData!$AD$34),"",ReferenceData!$AD$34),"")</f>
        <v>0</v>
      </c>
      <c r="AE34">
        <f ca="1">IFERROR(IF(0=LEN(ReferenceData!$AE$34),"",ReferenceData!$AE$34),"")</f>
        <v>0</v>
      </c>
      <c r="AF34">
        <f ca="1">IFERROR(IF(0=LEN(ReferenceData!$AF$34),"",ReferenceData!$AF$34),"")</f>
        <v>0</v>
      </c>
      <c r="AG34">
        <f ca="1">IFERROR(IF(0=LEN(ReferenceData!$AG$34),"",ReferenceData!$AG$34),"")</f>
        <v>0</v>
      </c>
      <c r="AH34">
        <f ca="1">IFERROR(IF(0=LEN(ReferenceData!$AH$34),"",ReferenceData!$AH$34),"")</f>
        <v>0</v>
      </c>
      <c r="AI34">
        <f ca="1">IFERROR(IF(0=LEN(ReferenceData!$AI$34),"",ReferenceData!$AI$34),"")</f>
        <v>40.673999999999999</v>
      </c>
      <c r="AJ34">
        <f ca="1">IFERROR(IF(0=LEN(ReferenceData!$AJ$34),"",ReferenceData!$AJ$34),"")</f>
        <v>21.696999999999999</v>
      </c>
      <c r="AK34">
        <f ca="1">IFERROR(IF(0=LEN(ReferenceData!$AK$34),"",ReferenceData!$AK$34),"")</f>
        <v>33.828000000000003</v>
      </c>
      <c r="AL34">
        <f ca="1">IFERROR(IF(0=LEN(ReferenceData!$AL$34),"",ReferenceData!$AL$34),"")</f>
        <v>16.968</v>
      </c>
      <c r="AM34">
        <f ca="1">IFERROR(IF(0=LEN(ReferenceData!$AM$34),"",ReferenceData!$AM$34),"")</f>
        <v>-71.167000000000002</v>
      </c>
      <c r="AN34">
        <f ca="1">IFERROR(IF(0=LEN(ReferenceData!$AN$34),"",ReferenceData!$AN$34),"")</f>
        <v>30.114000000000001</v>
      </c>
      <c r="AO34">
        <f ca="1">IFERROR(IF(0=LEN(ReferenceData!$AO$34),"",ReferenceData!$AO$34),"")</f>
        <v>28.952999999999999</v>
      </c>
      <c r="AP34">
        <f ca="1">IFERROR(IF(0=LEN(ReferenceData!$AP$34),"",ReferenceData!$AP$34),"")</f>
        <v>40.335000000000001</v>
      </c>
      <c r="AQ34">
        <f ca="1">IFERROR(IF(0=LEN(ReferenceData!$AQ$34),"",ReferenceData!$AQ$34),"")</f>
        <v>40.865000000000002</v>
      </c>
      <c r="AR34">
        <f ca="1">IFERROR(IF(0=LEN(ReferenceData!$AR$34),"",ReferenceData!$AR$34),"")</f>
        <v>35.47</v>
      </c>
      <c r="AS34">
        <f ca="1">IFERROR(IF(0=LEN(ReferenceData!$AS$34),"",ReferenceData!$AS$34),"")</f>
        <v>33.734000000000002</v>
      </c>
      <c r="AT34">
        <f ca="1">IFERROR(IF(0=LEN(ReferenceData!$AT$34),"",ReferenceData!$AT$34),"")</f>
        <v>33.201999999999998</v>
      </c>
      <c r="AU34">
        <f ca="1">IFERROR(IF(0=LEN(ReferenceData!$AU$34),"",ReferenceData!$AU$34),"")</f>
        <v>29.562999999999999</v>
      </c>
      <c r="AV34">
        <f ca="1">IFERROR(IF(0=LEN(ReferenceData!$AV$34),"",ReferenceData!$AV$34),"")</f>
        <v>26.696000000000002</v>
      </c>
      <c r="AW34">
        <f ca="1">IFERROR(IF(0=LEN(ReferenceData!$AW$34),"",ReferenceData!$AW$34),"")</f>
        <v>26.199000000000002</v>
      </c>
      <c r="AX34">
        <f ca="1">IFERROR(IF(0=LEN(ReferenceData!$AX$34),"",ReferenceData!$AX$34),"")</f>
        <v>26.111000000000001</v>
      </c>
      <c r="AY34">
        <f ca="1">IFERROR(IF(0=LEN(ReferenceData!$AY$34),"",ReferenceData!$AY$34),"")</f>
        <v>64.007000000000005</v>
      </c>
      <c r="AZ34">
        <f ca="1">IFERROR(IF(0=LEN(ReferenceData!$AZ$34),"",ReferenceData!$AZ$34),"")</f>
        <v>56.734999999999999</v>
      </c>
      <c r="BA34">
        <f ca="1">IFERROR(IF(0=LEN(ReferenceData!$BA$34),"",ReferenceData!$BA$34),"")</f>
        <v>29.718</v>
      </c>
      <c r="BB34">
        <f ca="1">IFERROR(IF(0=LEN(ReferenceData!$BB$34),"",ReferenceData!$BB$34),"")</f>
        <v>28.251999999999999</v>
      </c>
      <c r="BC34">
        <f ca="1">IFERROR(IF(0=LEN(ReferenceData!$BC$34),"",ReferenceData!$BC$34),"")</f>
        <v>92.713999999999999</v>
      </c>
      <c r="BD34">
        <f ca="1">IFERROR(IF(0=LEN(ReferenceData!$BD$34),"",ReferenceData!$BD$34),"")</f>
        <v>83.757000000000005</v>
      </c>
      <c r="BE34">
        <f ca="1">IFERROR(IF(0=LEN(ReferenceData!$BE$34),"",ReferenceData!$BE$34),"")</f>
        <v>73.465000000000003</v>
      </c>
      <c r="BF34">
        <f ca="1">IFERROR(IF(0=LEN(ReferenceData!$BF$34),"",ReferenceData!$BF$34),"")</f>
        <v>73.543999999999997</v>
      </c>
      <c r="BG34">
        <f ca="1">IFERROR(IF(0=LEN(ReferenceData!$BG$34),"",ReferenceData!$BG$34),"")</f>
        <v>73.448999999999998</v>
      </c>
      <c r="BH34">
        <f ca="1">IFERROR(IF(0=LEN(ReferenceData!$BH$34),"",ReferenceData!$BH$34),"")</f>
        <v>62.411000000000001</v>
      </c>
      <c r="BI34">
        <f ca="1">IFERROR(IF(0=LEN(ReferenceData!$BI$34),"",ReferenceData!$BI$34),"")</f>
        <v>67.489999999999995</v>
      </c>
      <c r="BJ34">
        <f ca="1">IFERROR(IF(0=LEN(ReferenceData!$BJ$34),"",ReferenceData!$BJ$34),"")</f>
        <v>54.095999999999997</v>
      </c>
      <c r="BK34">
        <f ca="1">IFERROR(IF(0=LEN(ReferenceData!$BK$34),"",ReferenceData!$BK$34),"")</f>
        <v>58.670999999999999</v>
      </c>
      <c r="BL34">
        <f ca="1">IFERROR(IF(0=LEN(ReferenceData!$BL$34),"",ReferenceData!$BL$34),"")</f>
        <v>40.15</v>
      </c>
      <c r="BM34">
        <f ca="1">IFERROR(IF(0=LEN(ReferenceData!$BM$34),"",ReferenceData!$BM$34),"")</f>
        <v>38.628</v>
      </c>
    </row>
    <row r="35" spans="1:65">
      <c r="A35" t="str">
        <f>IFERROR(IF(0=LEN(ReferenceData!$A$35),"",ReferenceData!$A$35),"")</f>
        <v xml:space="preserve">    </v>
      </c>
      <c r="B35" t="str">
        <f>IFERROR(IF(0=LEN(ReferenceData!$B$35),"",ReferenceData!$B$35),"")</f>
        <v/>
      </c>
      <c r="C35" t="str">
        <f>IFERROR(IF(0=LEN(ReferenceData!$C$35),"",ReferenceData!$C$35),"")</f>
        <v/>
      </c>
      <c r="D35" t="str">
        <f>IFERROR(IF(0=LEN(ReferenceData!$D$35),"",ReferenceData!$D$35),"")</f>
        <v/>
      </c>
      <c r="E35" t="str">
        <f>IFERROR(IF(0=LEN(ReferenceData!$E$35),"",ReferenceData!$E$35),"")</f>
        <v>静态</v>
      </c>
      <c r="F35" t="str">
        <f ca="1">IFERROR(IF(0=LEN(ReferenceData!$F$35),"",ReferenceData!$F$35),"")</f>
        <v/>
      </c>
      <c r="G35" t="str">
        <f ca="1">IFERROR(IF(0=LEN(ReferenceData!$G$35),"",ReferenceData!$G$35),"")</f>
        <v/>
      </c>
      <c r="H35" t="str">
        <f ca="1">IFERROR(IF(0=LEN(ReferenceData!$H$35),"",ReferenceData!$H$35),"")</f>
        <v/>
      </c>
      <c r="I35" t="str">
        <f ca="1">IFERROR(IF(0=LEN(ReferenceData!$I$35),"",ReferenceData!$I$35),"")</f>
        <v/>
      </c>
      <c r="J35" t="str">
        <f ca="1">IFERROR(IF(0=LEN(ReferenceData!$J$35),"",ReferenceData!$J$35),"")</f>
        <v/>
      </c>
      <c r="K35" t="str">
        <f ca="1">IFERROR(IF(0=LEN(ReferenceData!$K$35),"",ReferenceData!$K$35),"")</f>
        <v/>
      </c>
      <c r="L35" t="str">
        <f ca="1">IFERROR(IF(0=LEN(ReferenceData!$L$35),"",ReferenceData!$L$35),"")</f>
        <v/>
      </c>
      <c r="M35" t="str">
        <f ca="1">IFERROR(IF(0=LEN(ReferenceData!$M$35),"",ReferenceData!$M$35),"")</f>
        <v/>
      </c>
      <c r="N35" t="str">
        <f ca="1">IFERROR(IF(0=LEN(ReferenceData!$N$35),"",ReferenceData!$N$35),"")</f>
        <v/>
      </c>
      <c r="O35" t="str">
        <f ca="1">IFERROR(IF(0=LEN(ReferenceData!$O$35),"",ReferenceData!$O$35),"")</f>
        <v/>
      </c>
      <c r="P35" t="str">
        <f ca="1">IFERROR(IF(0=LEN(ReferenceData!$P$35),"",ReferenceData!$P$35),"")</f>
        <v/>
      </c>
      <c r="Q35" t="str">
        <f ca="1">IFERROR(IF(0=LEN(ReferenceData!$Q$35),"",ReferenceData!$Q$35),"")</f>
        <v/>
      </c>
      <c r="R35" t="str">
        <f ca="1">IFERROR(IF(0=LEN(ReferenceData!$R$35),"",ReferenceData!$R$35),"")</f>
        <v/>
      </c>
      <c r="S35" t="str">
        <f ca="1">IFERROR(IF(0=LEN(ReferenceData!$S$35),"",ReferenceData!$S$35),"")</f>
        <v/>
      </c>
      <c r="T35" t="str">
        <f ca="1">IFERROR(IF(0=LEN(ReferenceData!$T$35),"",ReferenceData!$T$35),"")</f>
        <v/>
      </c>
      <c r="U35" t="str">
        <f ca="1">IFERROR(IF(0=LEN(ReferenceData!$U$35),"",ReferenceData!$U$35),"")</f>
        <v/>
      </c>
      <c r="V35" t="str">
        <f ca="1">IFERROR(IF(0=LEN(ReferenceData!$V$35),"",ReferenceData!$V$35),"")</f>
        <v/>
      </c>
      <c r="W35" t="str">
        <f ca="1">IFERROR(IF(0=LEN(ReferenceData!$W$35),"",ReferenceData!$W$35),"")</f>
        <v/>
      </c>
      <c r="X35" t="str">
        <f ca="1">IFERROR(IF(0=LEN(ReferenceData!$X$35),"",ReferenceData!$X$35),"")</f>
        <v/>
      </c>
      <c r="Y35" t="str">
        <f ca="1">IFERROR(IF(0=LEN(ReferenceData!$Y$35),"",ReferenceData!$Y$35),"")</f>
        <v/>
      </c>
      <c r="Z35" t="str">
        <f ca="1">IFERROR(IF(0=LEN(ReferenceData!$Z$35),"",ReferenceData!$Z$35),"")</f>
        <v/>
      </c>
      <c r="AA35" t="str">
        <f ca="1">IFERROR(IF(0=LEN(ReferenceData!$AA$35),"",ReferenceData!$AA$35),"")</f>
        <v/>
      </c>
      <c r="AB35" t="str">
        <f ca="1">IFERROR(IF(0=LEN(ReferenceData!$AB$35),"",ReferenceData!$AB$35),"")</f>
        <v/>
      </c>
      <c r="AC35" t="str">
        <f ca="1">IFERROR(IF(0=LEN(ReferenceData!$AC$35),"",ReferenceData!$AC$35),"")</f>
        <v/>
      </c>
      <c r="AD35" t="str">
        <f ca="1">IFERROR(IF(0=LEN(ReferenceData!$AD$35),"",ReferenceData!$AD$35),"")</f>
        <v/>
      </c>
      <c r="AE35" t="str">
        <f ca="1">IFERROR(IF(0=LEN(ReferenceData!$AE$35),"",ReferenceData!$AE$35),"")</f>
        <v/>
      </c>
      <c r="AF35" t="str">
        <f ca="1">IFERROR(IF(0=LEN(ReferenceData!$AF$35),"",ReferenceData!$AF$35),"")</f>
        <v/>
      </c>
      <c r="AG35" t="str">
        <f ca="1">IFERROR(IF(0=LEN(ReferenceData!$AG$35),"",ReferenceData!$AG$35),"")</f>
        <v/>
      </c>
      <c r="AH35" t="str">
        <f ca="1">IFERROR(IF(0=LEN(ReferenceData!$AH$35),"",ReferenceData!$AH$35),"")</f>
        <v/>
      </c>
      <c r="AI35" t="str">
        <f ca="1">IFERROR(IF(0=LEN(ReferenceData!$AI$35),"",ReferenceData!$AI$35),"")</f>
        <v/>
      </c>
      <c r="AJ35" t="str">
        <f ca="1">IFERROR(IF(0=LEN(ReferenceData!$AJ$35),"",ReferenceData!$AJ$35),"")</f>
        <v/>
      </c>
      <c r="AK35" t="str">
        <f ca="1">IFERROR(IF(0=LEN(ReferenceData!$AK$35),"",ReferenceData!$AK$35),"")</f>
        <v/>
      </c>
      <c r="AL35" t="str">
        <f ca="1">IFERROR(IF(0=LEN(ReferenceData!$AL$35),"",ReferenceData!$AL$35),"")</f>
        <v/>
      </c>
      <c r="AM35" t="str">
        <f ca="1">IFERROR(IF(0=LEN(ReferenceData!$AM$35),"",ReferenceData!$AM$35),"")</f>
        <v/>
      </c>
      <c r="AN35" t="str">
        <f ca="1">IFERROR(IF(0=LEN(ReferenceData!$AN$35),"",ReferenceData!$AN$35),"")</f>
        <v/>
      </c>
      <c r="AO35" t="str">
        <f ca="1">IFERROR(IF(0=LEN(ReferenceData!$AO$35),"",ReferenceData!$AO$35),"")</f>
        <v/>
      </c>
      <c r="AP35" t="str">
        <f ca="1">IFERROR(IF(0=LEN(ReferenceData!$AP$35),"",ReferenceData!$AP$35),"")</f>
        <v/>
      </c>
      <c r="AQ35" t="str">
        <f ca="1">IFERROR(IF(0=LEN(ReferenceData!$AQ$35),"",ReferenceData!$AQ$35),"")</f>
        <v/>
      </c>
      <c r="AR35" t="str">
        <f ca="1">IFERROR(IF(0=LEN(ReferenceData!$AR$35),"",ReferenceData!$AR$35),"")</f>
        <v/>
      </c>
      <c r="AS35" t="str">
        <f ca="1">IFERROR(IF(0=LEN(ReferenceData!$AS$35),"",ReferenceData!$AS$35),"")</f>
        <v/>
      </c>
      <c r="AT35" t="str">
        <f ca="1">IFERROR(IF(0=LEN(ReferenceData!$AT$35),"",ReferenceData!$AT$35),"")</f>
        <v/>
      </c>
      <c r="AU35" t="str">
        <f ca="1">IFERROR(IF(0=LEN(ReferenceData!$AU$35),"",ReferenceData!$AU$35),"")</f>
        <v/>
      </c>
      <c r="AV35" t="str">
        <f ca="1">IFERROR(IF(0=LEN(ReferenceData!$AV$35),"",ReferenceData!$AV$35),"")</f>
        <v/>
      </c>
      <c r="AW35" t="str">
        <f ca="1">IFERROR(IF(0=LEN(ReferenceData!$AW$35),"",ReferenceData!$AW$35),"")</f>
        <v/>
      </c>
      <c r="AX35" t="str">
        <f ca="1">IFERROR(IF(0=LEN(ReferenceData!$AX$35),"",ReferenceData!$AX$35),"")</f>
        <v/>
      </c>
      <c r="AY35" t="str">
        <f ca="1">IFERROR(IF(0=LEN(ReferenceData!$AY$35),"",ReferenceData!$AY$35),"")</f>
        <v/>
      </c>
      <c r="AZ35" t="str">
        <f ca="1">IFERROR(IF(0=LEN(ReferenceData!$AZ$35),"",ReferenceData!$AZ$35),"")</f>
        <v/>
      </c>
      <c r="BA35" t="str">
        <f ca="1">IFERROR(IF(0=LEN(ReferenceData!$BA$35),"",ReferenceData!$BA$35),"")</f>
        <v/>
      </c>
      <c r="BB35" t="str">
        <f ca="1">IFERROR(IF(0=LEN(ReferenceData!$BB$35),"",ReferenceData!$BB$35),"")</f>
        <v/>
      </c>
      <c r="BC35" t="str">
        <f ca="1">IFERROR(IF(0=LEN(ReferenceData!$BC$35),"",ReferenceData!$BC$35),"")</f>
        <v/>
      </c>
      <c r="BD35" t="str">
        <f ca="1">IFERROR(IF(0=LEN(ReferenceData!$BD$35),"",ReferenceData!$BD$35),"")</f>
        <v/>
      </c>
      <c r="BE35" t="str">
        <f ca="1">IFERROR(IF(0=LEN(ReferenceData!$BE$35),"",ReferenceData!$BE$35),"")</f>
        <v/>
      </c>
      <c r="BF35" t="str">
        <f ca="1">IFERROR(IF(0=LEN(ReferenceData!$BF$35),"",ReferenceData!$BF$35),"")</f>
        <v/>
      </c>
      <c r="BG35" t="str">
        <f ca="1">IFERROR(IF(0=LEN(ReferenceData!$BG$35),"",ReferenceData!$BG$35),"")</f>
        <v/>
      </c>
      <c r="BH35" t="str">
        <f ca="1">IFERROR(IF(0=LEN(ReferenceData!$BH$35),"",ReferenceData!$BH$35),"")</f>
        <v/>
      </c>
      <c r="BI35" t="str">
        <f ca="1">IFERROR(IF(0=LEN(ReferenceData!$BI$35),"",ReferenceData!$BI$35),"")</f>
        <v/>
      </c>
      <c r="BJ35" t="str">
        <f ca="1">IFERROR(IF(0=LEN(ReferenceData!$BJ$35),"",ReferenceData!$BJ$35),"")</f>
        <v/>
      </c>
      <c r="BK35" t="str">
        <f ca="1">IFERROR(IF(0=LEN(ReferenceData!$BK$35),"",ReferenceData!$BK$35),"")</f>
        <v/>
      </c>
      <c r="BL35" t="str">
        <f ca="1">IFERROR(IF(0=LEN(ReferenceData!$BL$35),"",ReferenceData!$BL$35),"")</f>
        <v/>
      </c>
      <c r="BM35" t="str">
        <f ca="1">IFERROR(IF(0=LEN(ReferenceData!$BM$35),"",ReferenceData!$BM$35),"")</f>
        <v/>
      </c>
    </row>
    <row r="36" spans="1:65">
      <c r="A36" t="str">
        <f>IFERROR(IF(0=LEN(ReferenceData!$A$36),"",ReferenceData!$A$36),"")</f>
        <v xml:space="preserve">    Sequential % Change in FFO for All Equity REITs</v>
      </c>
      <c r="B36" t="str">
        <f>IFERROR(IF(0=LEN(ReferenceData!$B$36),"",ReferenceData!$B$36),"")</f>
        <v>RECFFOQQ Index</v>
      </c>
      <c r="C36" t="str">
        <f>IFERROR(IF(0=LEN(ReferenceData!$C$36),"",ReferenceData!$C$36),"")</f>
        <v>PR005</v>
      </c>
      <c r="D36" t="str">
        <f>IFERROR(IF(0=LEN(ReferenceData!$D$36),"",ReferenceData!$D$36),"")</f>
        <v>PX_LAST</v>
      </c>
      <c r="E36" t="str">
        <f>IFERROR(IF(0=LEN(ReferenceData!$E$36),"",ReferenceData!$E$36),"")</f>
        <v>动态</v>
      </c>
      <c r="F36">
        <f ca="1">IFERROR(IF(0=LEN(ReferenceData!$F$36),"",ReferenceData!$F$36),"")</f>
        <v>3.164370243</v>
      </c>
      <c r="G36">
        <f ca="1">IFERROR(IF(0=LEN(ReferenceData!$G$36),"",ReferenceData!$G$36),"")</f>
        <v>-5.3116847109999998</v>
      </c>
      <c r="H36">
        <f ca="1">IFERROR(IF(0=LEN(ReferenceData!$H$36),"",ReferenceData!$H$36),"")</f>
        <v>7.3288858269999997</v>
      </c>
      <c r="I36">
        <f ca="1">IFERROR(IF(0=LEN(ReferenceData!$I$36),"",ReferenceData!$I$36),"")</f>
        <v>-3.2799330790000001</v>
      </c>
      <c r="J36">
        <f ca="1">IFERROR(IF(0=LEN(ReferenceData!$J$36),"",ReferenceData!$J$36),"")</f>
        <v>8.7021998509999996</v>
      </c>
      <c r="K36">
        <f ca="1">IFERROR(IF(0=LEN(ReferenceData!$K$36),"",ReferenceData!$K$36),"")</f>
        <v>-5.3536551689999996</v>
      </c>
      <c r="L36">
        <f ca="1">IFERROR(IF(0=LEN(ReferenceData!$L$36),"",ReferenceData!$L$36),"")</f>
        <v>9.3391756729999997</v>
      </c>
      <c r="M36">
        <f ca="1">IFERROR(IF(0=LEN(ReferenceData!$M$36),"",ReferenceData!$M$36),"")</f>
        <v>8.5266156189999993</v>
      </c>
      <c r="N36">
        <f ca="1">IFERROR(IF(0=LEN(ReferenceData!$N$36),"",ReferenceData!$N$36),"")</f>
        <v>-8.3492508539999992</v>
      </c>
      <c r="O36">
        <f ca="1">IFERROR(IF(0=LEN(ReferenceData!$O$36),"",ReferenceData!$O$36),"")</f>
        <v>1.901138564</v>
      </c>
      <c r="P36">
        <f ca="1">IFERROR(IF(0=LEN(ReferenceData!$P$36),"",ReferenceData!$P$36),"")</f>
        <v>16.290083410000001</v>
      </c>
      <c r="Q36">
        <f ca="1">IFERROR(IF(0=LEN(ReferenceData!$Q$36),"",ReferenceData!$Q$36),"")</f>
        <v>-1.7586424430000001</v>
      </c>
      <c r="R36">
        <f ca="1">IFERROR(IF(0=LEN(ReferenceData!$R$36),"",ReferenceData!$R$36),"")</f>
        <v>1.3032189670000001</v>
      </c>
      <c r="S36">
        <f ca="1">IFERROR(IF(0=LEN(ReferenceData!$S$36),"",ReferenceData!$S$36),"")</f>
        <v>6.6255357400000001</v>
      </c>
      <c r="T36">
        <f ca="1">IFERROR(IF(0=LEN(ReferenceData!$T$36),"",ReferenceData!$T$36),"")</f>
        <v>6.0671543000000003</v>
      </c>
      <c r="U36">
        <f ca="1">IFERROR(IF(0=LEN(ReferenceData!$U$36),"",ReferenceData!$U$36),"")</f>
        <v>4.7792886040000004</v>
      </c>
      <c r="V36">
        <f ca="1">IFERROR(IF(0=LEN(ReferenceData!$V$36),"",ReferenceData!$V$36),"")</f>
        <v>7.7894640539999997</v>
      </c>
      <c r="W36">
        <f ca="1">IFERROR(IF(0=LEN(ReferenceData!$W$36),"",ReferenceData!$W$36),"")</f>
        <v>1.08895363</v>
      </c>
      <c r="X36">
        <f ca="1">IFERROR(IF(0=LEN(ReferenceData!$X$36),"",ReferenceData!$X$36),"")</f>
        <v>11.725484140000001</v>
      </c>
      <c r="Y36">
        <f ca="1">IFERROR(IF(0=LEN(ReferenceData!$Y$36),"",ReferenceData!$Y$36),"")</f>
        <v>1.761550913</v>
      </c>
      <c r="Z36">
        <f ca="1">IFERROR(IF(0=LEN(ReferenceData!$Z$36),"",ReferenceData!$Z$36),"")</f>
        <v>1.0215141400000001</v>
      </c>
      <c r="AA36">
        <f ca="1">IFERROR(IF(0=LEN(ReferenceData!$AA$36),"",ReferenceData!$AA$36),"")</f>
        <v>3.29255611</v>
      </c>
      <c r="AB36">
        <f ca="1">IFERROR(IF(0=LEN(ReferenceData!$AB$36),"",ReferenceData!$AB$36),"")</f>
        <v>8.5001074350000003</v>
      </c>
      <c r="AC36">
        <f ca="1">IFERROR(IF(0=LEN(ReferenceData!$AC$36),"",ReferenceData!$AC$36),"")</f>
        <v>8.0907184290000007</v>
      </c>
      <c r="AD36">
        <f ca="1">IFERROR(IF(0=LEN(ReferenceData!$AD$36),"",ReferenceData!$AD$36),"")</f>
        <v>-5.6947627990000003</v>
      </c>
      <c r="AE36">
        <f ca="1">IFERROR(IF(0=LEN(ReferenceData!$AE$36),"",ReferenceData!$AE$36),"")</f>
        <v>14.617828100000001</v>
      </c>
      <c r="AF36">
        <f ca="1">IFERROR(IF(0=LEN(ReferenceData!$AF$36),"",ReferenceData!$AF$36),"")</f>
        <v>-3.1133532289999999</v>
      </c>
      <c r="AG36">
        <f ca="1">IFERROR(IF(0=LEN(ReferenceData!$AG$36),"",ReferenceData!$AG$36),"")</f>
        <v>41.039463359999999</v>
      </c>
      <c r="AH36">
        <f ca="1">IFERROR(IF(0=LEN(ReferenceData!$AH$36),"",ReferenceData!$AH$36),"")</f>
        <v>-9.0810549159999994</v>
      </c>
      <c r="AI36">
        <f ca="1">IFERROR(IF(0=LEN(ReferenceData!$AI$36),"",ReferenceData!$AI$36),"")</f>
        <v>2.4801579710000001</v>
      </c>
      <c r="AJ36">
        <f ca="1">IFERROR(IF(0=LEN(ReferenceData!$AJ$36),"",ReferenceData!$AJ$36),"")</f>
        <v>2.0313231940000001</v>
      </c>
      <c r="AK36">
        <f ca="1">IFERROR(IF(0=LEN(ReferenceData!$AK$36),"",ReferenceData!$AK$36),"")</f>
        <v>37.534633390000003</v>
      </c>
      <c r="AL36">
        <f ca="1">IFERROR(IF(0=LEN(ReferenceData!$AL$36),"",ReferenceData!$AL$36),"")</f>
        <v>-15.899067499999999</v>
      </c>
      <c r="AM36">
        <f ca="1">IFERROR(IF(0=LEN(ReferenceData!$AM$36),"",ReferenceData!$AM$36),"")</f>
        <v>19.228431239999999</v>
      </c>
      <c r="AN36">
        <f ca="1">IFERROR(IF(0=LEN(ReferenceData!$AN$36),"",ReferenceData!$AN$36),"")</f>
        <v>-35.061237990000002</v>
      </c>
      <c r="AO36">
        <f ca="1">IFERROR(IF(0=LEN(ReferenceData!$AO$36),"",ReferenceData!$AO$36),"")</f>
        <v>115.0567144</v>
      </c>
      <c r="AP36">
        <f ca="1">IFERROR(IF(0=LEN(ReferenceData!$AP$36),"",ReferenceData!$AP$36),"")</f>
        <v>-55.774737160000001</v>
      </c>
      <c r="AQ36">
        <f ca="1">IFERROR(IF(0=LEN(ReferenceData!$AQ$36),"",ReferenceData!$AQ$36),"")</f>
        <v>-7.1399749430000004</v>
      </c>
      <c r="AR36">
        <f ca="1">IFERROR(IF(0=LEN(ReferenceData!$AR$36),"",ReferenceData!$AR$36),"")</f>
        <v>-1.8949947309999999</v>
      </c>
      <c r="AS36">
        <f ca="1">IFERROR(IF(0=LEN(ReferenceData!$AS$36),"",ReferenceData!$AS$36),"")</f>
        <v>3.0710865319999998</v>
      </c>
      <c r="AT36">
        <f ca="1">IFERROR(IF(0=LEN(ReferenceData!$AT$36),"",ReferenceData!$AT$36),"")</f>
        <v>-2.3857282799999999</v>
      </c>
      <c r="AU36">
        <f ca="1">IFERROR(IF(0=LEN(ReferenceData!$AU$36),"",ReferenceData!$AU$36),"")</f>
        <v>-4.094437031</v>
      </c>
      <c r="AV36">
        <f ca="1">IFERROR(IF(0=LEN(ReferenceData!$AV$36),"",ReferenceData!$AV$36),"")</f>
        <v>-0.34608492000000002</v>
      </c>
      <c r="AW36">
        <f ca="1">IFERROR(IF(0=LEN(ReferenceData!$AW$36),"",ReferenceData!$AW$36),"")</f>
        <v>3.7351066880000001</v>
      </c>
      <c r="AX36">
        <f ca="1">IFERROR(IF(0=LEN(ReferenceData!$AX$36),"",ReferenceData!$AX$36),"")</f>
        <v>12.052988859999999</v>
      </c>
      <c r="AY36">
        <f ca="1">IFERROR(IF(0=LEN(ReferenceData!$AY$36),"",ReferenceData!$AY$36),"")</f>
        <v>-9.4259772139999995</v>
      </c>
      <c r="AZ36">
        <f ca="1">IFERROR(IF(0=LEN(ReferenceData!$AZ$36),"",ReferenceData!$AZ$36),"")</f>
        <v>5.0486986390000004</v>
      </c>
      <c r="BA36">
        <f ca="1">IFERROR(IF(0=LEN(ReferenceData!$BA$36),"",ReferenceData!$BA$36),"")</f>
        <v>9.1136717330000003</v>
      </c>
      <c r="BB36">
        <f ca="1">IFERROR(IF(0=LEN(ReferenceData!$BB$36),"",ReferenceData!$BB$36),"")</f>
        <v>0.94741891899999997</v>
      </c>
      <c r="BC36">
        <f ca="1">IFERROR(IF(0=LEN(ReferenceData!$BC$36),"",ReferenceData!$BC$36),"")</f>
        <v>-2.821815451</v>
      </c>
      <c r="BD36">
        <f ca="1">IFERROR(IF(0=LEN(ReferenceData!$BD$36),"",ReferenceData!$BD$36),"")</f>
        <v>-2.5620216789999999</v>
      </c>
      <c r="BE36">
        <f ca="1">IFERROR(IF(0=LEN(ReferenceData!$BE$36),"",ReferenceData!$BE$36),"")</f>
        <v>1.634120585</v>
      </c>
      <c r="BF36">
        <f ca="1">IFERROR(IF(0=LEN(ReferenceData!$BF$36),"",ReferenceData!$BF$36),"")</f>
        <v>11.76212421</v>
      </c>
      <c r="BG36">
        <f ca="1">IFERROR(IF(0=LEN(ReferenceData!$BG$36),"",ReferenceData!$BG$36),"")</f>
        <v>-1.196835358</v>
      </c>
      <c r="BH36">
        <f ca="1">IFERROR(IF(0=LEN(ReferenceData!$BH$36),"",ReferenceData!$BH$36),"")</f>
        <v>4.3459423729999997</v>
      </c>
      <c r="BI36">
        <f ca="1">IFERROR(IF(0=LEN(ReferenceData!$BI$36),"",ReferenceData!$BI$36),"")</f>
        <v>-2.0967037550000001</v>
      </c>
      <c r="BJ36">
        <f ca="1">IFERROR(IF(0=LEN(ReferenceData!$BJ$36),"",ReferenceData!$BJ$36),"")</f>
        <v>5.7620322379999998</v>
      </c>
      <c r="BK36">
        <f ca="1">IFERROR(IF(0=LEN(ReferenceData!$BK$36),"",ReferenceData!$BK$36),"")</f>
        <v>4.9428278329999999</v>
      </c>
      <c r="BL36">
        <f ca="1">IFERROR(IF(0=LEN(ReferenceData!$BL$36),"",ReferenceData!$BL$36),"")</f>
        <v>-4.9519391309999996</v>
      </c>
      <c r="BM36">
        <f ca="1">IFERROR(IF(0=LEN(ReferenceData!$BM$36),"",ReferenceData!$BM$36),"")</f>
        <v>4.2741512129999997</v>
      </c>
    </row>
    <row r="37" spans="1:65">
      <c r="A37" t="str">
        <f>IFERROR(IF(0=LEN(ReferenceData!$A$37),"",ReferenceData!$A$37),"")</f>
        <v xml:space="preserve">    YoY % Change in FFO for All Equity REITs</v>
      </c>
      <c r="B37" t="str">
        <f>IFERROR(IF(0=LEN(ReferenceData!$B$37),"",ReferenceData!$B$37),"")</f>
        <v>RECFFOYY Index</v>
      </c>
      <c r="C37" t="str">
        <f>IFERROR(IF(0=LEN(ReferenceData!$C$37),"",ReferenceData!$C$37),"")</f>
        <v>PR005</v>
      </c>
      <c r="D37" t="str">
        <f>IFERROR(IF(0=LEN(ReferenceData!$D$37),"",ReferenceData!$D$37),"")</f>
        <v>PX_LAST</v>
      </c>
      <c r="E37" t="str">
        <f>IFERROR(IF(0=LEN(ReferenceData!$E$37),"",ReferenceData!$E$37),"")</f>
        <v>动态</v>
      </c>
      <c r="F37">
        <f ca="1">IFERROR(IF(0=LEN(ReferenceData!$F$37),"",ReferenceData!$F$37),"")</f>
        <v>1.404990883</v>
      </c>
      <c r="G37">
        <f ca="1">IFERROR(IF(0=LEN(ReferenceData!$G$37),"",ReferenceData!$G$37),"")</f>
        <v>6.8483775830000004</v>
      </c>
      <c r="H37">
        <f ca="1">IFERROR(IF(0=LEN(ReferenceData!$H$37),"",ReferenceData!$H$37),"")</f>
        <v>6.801017195</v>
      </c>
      <c r="I37">
        <f ca="1">IFERROR(IF(0=LEN(ReferenceData!$I$37),"",ReferenceData!$I$37),"")</f>
        <v>8.8014199640000008</v>
      </c>
      <c r="J37">
        <f ca="1">IFERROR(IF(0=LEN(ReferenceData!$J$37),"",ReferenceData!$J$37),"")</f>
        <v>22.082730699999999</v>
      </c>
      <c r="K37">
        <f ca="1">IFERROR(IF(0=LEN(ReferenceData!$K$37),"",ReferenceData!$K$37),"")</f>
        <v>2.9323577799999998</v>
      </c>
      <c r="L37">
        <f ca="1">IFERROR(IF(0=LEN(ReferenceData!$L$37),"",ReferenceData!$L$37),"")</f>
        <v>10.822287660000001</v>
      </c>
      <c r="M37">
        <f ca="1">IFERROR(IF(0=LEN(ReferenceData!$M$37),"",ReferenceData!$M$37),"")</f>
        <v>17.867479759999998</v>
      </c>
      <c r="N37">
        <f ca="1">IFERROR(IF(0=LEN(ReferenceData!$N$37),"",ReferenceData!$N$37),"")</f>
        <v>6.6969715939999999</v>
      </c>
      <c r="O37">
        <f ca="1">IFERROR(IF(0=LEN(ReferenceData!$O$37),"",ReferenceData!$O$37),"")</f>
        <v>17.934078849999999</v>
      </c>
      <c r="P37">
        <f ca="1">IFERROR(IF(0=LEN(ReferenceData!$P$37),"",ReferenceData!$P$37),"")</f>
        <v>23.40180411</v>
      </c>
      <c r="Q37">
        <f ca="1">IFERROR(IF(0=LEN(ReferenceData!$Q$37),"",ReferenceData!$Q$37),"")</f>
        <v>12.553691710000001</v>
      </c>
      <c r="R37">
        <f ca="1">IFERROR(IF(0=LEN(ReferenceData!$R$37),"",ReferenceData!$R$37),"")</f>
        <v>20.04410403</v>
      </c>
      <c r="S37">
        <f ca="1">IFERROR(IF(0=LEN(ReferenceData!$S$37),"",ReferenceData!$S$37),"")</f>
        <v>27.73029099</v>
      </c>
      <c r="T37">
        <f ca="1">IFERROR(IF(0=LEN(ReferenceData!$T$37),"",ReferenceData!$T$37),"")</f>
        <v>21.097834330000001</v>
      </c>
      <c r="U37">
        <f ca="1">IFERROR(IF(0=LEN(ReferenceData!$U$37),"",ReferenceData!$U$37),"")</f>
        <v>27.55800095</v>
      </c>
      <c r="V37">
        <f ca="1">IFERROR(IF(0=LEN(ReferenceData!$V$37),"",ReferenceData!$V$37),"")</f>
        <v>23.884215869999998</v>
      </c>
      <c r="W37">
        <f ca="1">IFERROR(IF(0=LEN(ReferenceData!$W$37),"",ReferenceData!$W$37),"")</f>
        <v>16.105698960000002</v>
      </c>
      <c r="X37">
        <f ca="1">IFERROR(IF(0=LEN(ReferenceData!$X$37),"",ReferenceData!$X$37),"")</f>
        <v>18.63664619</v>
      </c>
      <c r="Y37">
        <f ca="1">IFERROR(IF(0=LEN(ReferenceData!$Y$37),"",ReferenceData!$Y$37),"")</f>
        <v>15.21175277</v>
      </c>
      <c r="Z37">
        <f ca="1">IFERROR(IF(0=LEN(ReferenceData!$Z$37),"",ReferenceData!$Z$37),"")</f>
        <v>22.377469850000001</v>
      </c>
      <c r="AA37">
        <f ca="1">IFERROR(IF(0=LEN(ReferenceData!$AA$37),"",ReferenceData!$AA$37),"")</f>
        <v>14.24137146</v>
      </c>
      <c r="AB37">
        <f ca="1">IFERROR(IF(0=LEN(ReferenceData!$AB$37),"",ReferenceData!$AB$37),"")</f>
        <v>26.76710083</v>
      </c>
      <c r="AC37">
        <f ca="1">IFERROR(IF(0=LEN(ReferenceData!$AC$37),"",ReferenceData!$AC$37),"")</f>
        <v>13.198407</v>
      </c>
      <c r="AD37">
        <f ca="1">IFERROR(IF(0=LEN(ReferenceData!$AD$37),"",ReferenceData!$AD$37),"")</f>
        <v>47.7041027</v>
      </c>
      <c r="AE37">
        <f ca="1">IFERROR(IF(0=LEN(ReferenceData!$AE$37),"",ReferenceData!$AE$37),"")</f>
        <v>42.40037564</v>
      </c>
      <c r="AF37">
        <f ca="1">IFERROR(IF(0=LEN(ReferenceData!$AF$37),"",ReferenceData!$AF$37),"")</f>
        <v>27.320620470000001</v>
      </c>
      <c r="AG37">
        <f ca="1">IFERROR(IF(0=LEN(ReferenceData!$AG$37),"",ReferenceData!$AG$37),"")</f>
        <v>34.081339479999997</v>
      </c>
      <c r="AH37">
        <f ca="1">IFERROR(IF(0=LEN(ReferenceData!$AH$37),"",ReferenceData!$AH$37),"")</f>
        <v>30.749418850000001</v>
      </c>
      <c r="AI37">
        <f ca="1">IFERROR(IF(0=LEN(ReferenceData!$AI$37),"",ReferenceData!$AI$37),"")</f>
        <v>20.944518649999999</v>
      </c>
      <c r="AJ37">
        <f ca="1">IFERROR(IF(0=LEN(ReferenceData!$AJ$37),"",ReferenceData!$AJ$37),"")</f>
        <v>40.71041176</v>
      </c>
      <c r="AK37">
        <f ca="1">IFERROR(IF(0=LEN(ReferenceData!$AK$37),"",ReferenceData!$AK$37),"")</f>
        <v>-10.443580900000001</v>
      </c>
      <c r="AL37">
        <f ca="1">IFERROR(IF(0=LEN(ReferenceData!$AL$37),"",ReferenceData!$AL$37),"")</f>
        <v>40.035340730000001</v>
      </c>
      <c r="AM37">
        <f ca="1">IFERROR(IF(0=LEN(ReferenceData!$AM$37),"",ReferenceData!$AM$37),"")</f>
        <v>-26.36110485</v>
      </c>
      <c r="AN37">
        <f ca="1">IFERROR(IF(0=LEN(ReferenceData!$AN$37),"",ReferenceData!$AN$37),"")</f>
        <v>-42.64698799</v>
      </c>
      <c r="AO37">
        <f ca="1">IFERROR(IF(0=LEN(ReferenceData!$AO$37),"",ReferenceData!$AO$37),"")</f>
        <v>-13.35502292</v>
      </c>
      <c r="AP37">
        <f ca="1">IFERROR(IF(0=LEN(ReferenceData!$AP$37),"",ReferenceData!$AP$37),"")</f>
        <v>-58.473317360000003</v>
      </c>
      <c r="AQ37">
        <f ca="1">IFERROR(IF(0=LEN(ReferenceData!$AQ$37),"",ReferenceData!$AQ$37),"")</f>
        <v>-8.3420510700000001</v>
      </c>
      <c r="AR37">
        <f ca="1">IFERROR(IF(0=LEN(ReferenceData!$AR$37),"",ReferenceData!$AR$37),"")</f>
        <v>-5.3359377480000001</v>
      </c>
      <c r="AS37">
        <f ca="1">IFERROR(IF(0=LEN(ReferenceData!$AS$37),"",ReferenceData!$AS$37),"")</f>
        <v>-3.8413545259999999</v>
      </c>
      <c r="AT37">
        <f ca="1">IFERROR(IF(0=LEN(ReferenceData!$AT$37),"",ReferenceData!$AT$37),"")</f>
        <v>-3.2218667440000002</v>
      </c>
      <c r="AU37">
        <f ca="1">IFERROR(IF(0=LEN(ReferenceData!$AU$37),"",ReferenceData!$AU$37),"")</f>
        <v>11.0931721</v>
      </c>
      <c r="AV37">
        <f ca="1">IFERROR(IF(0=LEN(ReferenceData!$AV$37),"",ReferenceData!$AV$37),"")</f>
        <v>4.9173289779999996</v>
      </c>
      <c r="AW37">
        <f ca="1">IFERROR(IF(0=LEN(ReferenceData!$AW$37),"",ReferenceData!$AW$37),"")</f>
        <v>10.59704844</v>
      </c>
      <c r="AX37">
        <f ca="1">IFERROR(IF(0=LEN(ReferenceData!$AX$37),"",ReferenceData!$AX$37),"")</f>
        <v>16.331398539999999</v>
      </c>
      <c r="AY37">
        <f ca="1">IFERROR(IF(0=LEN(ReferenceData!$AY$37),"",ReferenceData!$AY$37),"")</f>
        <v>4.8017954850000004</v>
      </c>
      <c r="AZ37">
        <f ca="1">IFERROR(IF(0=LEN(ReferenceData!$AZ$37),"",ReferenceData!$AZ$37),"")</f>
        <v>12.44336852</v>
      </c>
      <c r="BA37">
        <f ca="1">IFERROR(IF(0=LEN(ReferenceData!$BA$37),"",ReferenceData!$BA$37),"")</f>
        <v>4.2969084479999999</v>
      </c>
      <c r="BB37">
        <f ca="1">IFERROR(IF(0=LEN(ReferenceData!$BB$37),"",ReferenceData!$BB$37),"")</f>
        <v>-2.8524620110000001</v>
      </c>
      <c r="BC37">
        <f ca="1">IFERROR(IF(0=LEN(ReferenceData!$BC$37),"",ReferenceData!$BC$37),"")</f>
        <v>7.5551541929999999</v>
      </c>
      <c r="BD37">
        <f ca="1">IFERROR(IF(0=LEN(ReferenceData!$BD$37),"",ReferenceData!$BD$37),"")</f>
        <v>9.3536543929999993</v>
      </c>
      <c r="BE37">
        <f ca="1">IFERROR(IF(0=LEN(ReferenceData!$BE$37),"",ReferenceData!$BE$37),"")</f>
        <v>17.10639235</v>
      </c>
      <c r="BF37">
        <f ca="1">IFERROR(IF(0=LEN(ReferenceData!$BF$37),"",ReferenceData!$BF$37),"")</f>
        <v>12.80760592</v>
      </c>
      <c r="BG37">
        <f ca="1">IFERROR(IF(0=LEN(ReferenceData!$BG$37),"",ReferenceData!$BG$37),"")</f>
        <v>6.7513859329999999</v>
      </c>
      <c r="BH37">
        <f ca="1">IFERROR(IF(0=LEN(ReferenceData!$BH$37),"",ReferenceData!$BH$37),"")</f>
        <v>13.384954370000001</v>
      </c>
      <c r="BI37">
        <f ca="1">IFERROR(IF(0=LEN(ReferenceData!$BI$37),"",ReferenceData!$BI$37),"")</f>
        <v>3.2816398979999999</v>
      </c>
      <c r="BJ37">
        <f ca="1">IFERROR(IF(0=LEN(ReferenceData!$BJ$37),"",ReferenceData!$BJ$37),"")</f>
        <v>10.00247948</v>
      </c>
      <c r="BK37">
        <f ca="1">IFERROR(IF(0=LEN(ReferenceData!$BK$37),"",ReferenceData!$BK$37),"")</f>
        <v>-4.5907691079999999</v>
      </c>
      <c r="BL37">
        <f ca="1">IFERROR(IF(0=LEN(ReferenceData!$BL$37),"",ReferenceData!$BL$37),"")</f>
        <v>-11.71310944</v>
      </c>
      <c r="BM37">
        <f ca="1">IFERROR(IF(0=LEN(ReferenceData!$BM$37),"",ReferenceData!$BM$37),"")</f>
        <v>0.142455575</v>
      </c>
    </row>
    <row r="38" spans="1:65">
      <c r="A38" t="str">
        <f>IFERROR(IF(0=LEN(ReferenceData!$A$38),"",ReferenceData!$A$38),"")</f>
        <v xml:space="preserve">    </v>
      </c>
      <c r="B38" t="str">
        <f>IFERROR(IF(0=LEN(ReferenceData!$B$38),"",ReferenceData!$B$38),"")</f>
        <v/>
      </c>
      <c r="C38" t="str">
        <f>IFERROR(IF(0=LEN(ReferenceData!$C$38),"",ReferenceData!$C$38),"")</f>
        <v/>
      </c>
      <c r="D38" t="str">
        <f>IFERROR(IF(0=LEN(ReferenceData!$D$38),"",ReferenceData!$D$38),"")</f>
        <v/>
      </c>
      <c r="E38" t="str">
        <f>IFERROR(IF(0=LEN(ReferenceData!$E$38),"",ReferenceData!$E$38),"")</f>
        <v>静态</v>
      </c>
      <c r="F38" t="str">
        <f ca="1">IFERROR(IF(0=LEN(ReferenceData!$F$38),"",ReferenceData!$F$38),"")</f>
        <v/>
      </c>
      <c r="G38" t="str">
        <f ca="1">IFERROR(IF(0=LEN(ReferenceData!$G$38),"",ReferenceData!$G$38),"")</f>
        <v/>
      </c>
      <c r="H38" t="str">
        <f ca="1">IFERROR(IF(0=LEN(ReferenceData!$H$38),"",ReferenceData!$H$38),"")</f>
        <v/>
      </c>
      <c r="I38" t="str">
        <f ca="1">IFERROR(IF(0=LEN(ReferenceData!$I$38),"",ReferenceData!$I$38),"")</f>
        <v/>
      </c>
      <c r="J38" t="str">
        <f ca="1">IFERROR(IF(0=LEN(ReferenceData!$J$38),"",ReferenceData!$J$38),"")</f>
        <v/>
      </c>
      <c r="K38" t="str">
        <f ca="1">IFERROR(IF(0=LEN(ReferenceData!$K$38),"",ReferenceData!$K$38),"")</f>
        <v/>
      </c>
      <c r="L38" t="str">
        <f ca="1">IFERROR(IF(0=LEN(ReferenceData!$L$38),"",ReferenceData!$L$38),"")</f>
        <v/>
      </c>
      <c r="M38" t="str">
        <f ca="1">IFERROR(IF(0=LEN(ReferenceData!$M$38),"",ReferenceData!$M$38),"")</f>
        <v/>
      </c>
      <c r="N38" t="str">
        <f ca="1">IFERROR(IF(0=LEN(ReferenceData!$N$38),"",ReferenceData!$N$38),"")</f>
        <v/>
      </c>
      <c r="O38" t="str">
        <f ca="1">IFERROR(IF(0=LEN(ReferenceData!$O$38),"",ReferenceData!$O$38),"")</f>
        <v/>
      </c>
      <c r="P38" t="str">
        <f ca="1">IFERROR(IF(0=LEN(ReferenceData!$P$38),"",ReferenceData!$P$38),"")</f>
        <v/>
      </c>
      <c r="Q38" t="str">
        <f ca="1">IFERROR(IF(0=LEN(ReferenceData!$Q$38),"",ReferenceData!$Q$38),"")</f>
        <v/>
      </c>
      <c r="R38" t="str">
        <f ca="1">IFERROR(IF(0=LEN(ReferenceData!$R$38),"",ReferenceData!$R$38),"")</f>
        <v/>
      </c>
      <c r="S38" t="str">
        <f ca="1">IFERROR(IF(0=LEN(ReferenceData!$S$38),"",ReferenceData!$S$38),"")</f>
        <v/>
      </c>
      <c r="T38" t="str">
        <f ca="1">IFERROR(IF(0=LEN(ReferenceData!$T$38),"",ReferenceData!$T$38),"")</f>
        <v/>
      </c>
      <c r="U38" t="str">
        <f ca="1">IFERROR(IF(0=LEN(ReferenceData!$U$38),"",ReferenceData!$U$38),"")</f>
        <v/>
      </c>
      <c r="V38" t="str">
        <f ca="1">IFERROR(IF(0=LEN(ReferenceData!$V$38),"",ReferenceData!$V$38),"")</f>
        <v/>
      </c>
      <c r="W38" t="str">
        <f ca="1">IFERROR(IF(0=LEN(ReferenceData!$W$38),"",ReferenceData!$W$38),"")</f>
        <v/>
      </c>
      <c r="X38" t="str">
        <f ca="1">IFERROR(IF(0=LEN(ReferenceData!$X$38),"",ReferenceData!$X$38),"")</f>
        <v/>
      </c>
      <c r="Y38" t="str">
        <f ca="1">IFERROR(IF(0=LEN(ReferenceData!$Y$38),"",ReferenceData!$Y$38),"")</f>
        <v/>
      </c>
      <c r="Z38" t="str">
        <f ca="1">IFERROR(IF(0=LEN(ReferenceData!$Z$38),"",ReferenceData!$Z$38),"")</f>
        <v/>
      </c>
      <c r="AA38" t="str">
        <f ca="1">IFERROR(IF(0=LEN(ReferenceData!$AA$38),"",ReferenceData!$AA$38),"")</f>
        <v/>
      </c>
      <c r="AB38" t="str">
        <f ca="1">IFERROR(IF(0=LEN(ReferenceData!$AB$38),"",ReferenceData!$AB$38),"")</f>
        <v/>
      </c>
      <c r="AC38" t="str">
        <f ca="1">IFERROR(IF(0=LEN(ReferenceData!$AC$38),"",ReferenceData!$AC$38),"")</f>
        <v/>
      </c>
      <c r="AD38" t="str">
        <f ca="1">IFERROR(IF(0=LEN(ReferenceData!$AD$38),"",ReferenceData!$AD$38),"")</f>
        <v/>
      </c>
      <c r="AE38" t="str">
        <f ca="1">IFERROR(IF(0=LEN(ReferenceData!$AE$38),"",ReferenceData!$AE$38),"")</f>
        <v/>
      </c>
      <c r="AF38" t="str">
        <f ca="1">IFERROR(IF(0=LEN(ReferenceData!$AF$38),"",ReferenceData!$AF$38),"")</f>
        <v/>
      </c>
      <c r="AG38" t="str">
        <f ca="1">IFERROR(IF(0=LEN(ReferenceData!$AG$38),"",ReferenceData!$AG$38),"")</f>
        <v/>
      </c>
      <c r="AH38" t="str">
        <f ca="1">IFERROR(IF(0=LEN(ReferenceData!$AH$38),"",ReferenceData!$AH$38),"")</f>
        <v/>
      </c>
      <c r="AI38" t="str">
        <f ca="1">IFERROR(IF(0=LEN(ReferenceData!$AI$38),"",ReferenceData!$AI$38),"")</f>
        <v/>
      </c>
      <c r="AJ38" t="str">
        <f ca="1">IFERROR(IF(0=LEN(ReferenceData!$AJ$38),"",ReferenceData!$AJ$38),"")</f>
        <v/>
      </c>
      <c r="AK38" t="str">
        <f ca="1">IFERROR(IF(0=LEN(ReferenceData!$AK$38),"",ReferenceData!$AK$38),"")</f>
        <v/>
      </c>
      <c r="AL38" t="str">
        <f ca="1">IFERROR(IF(0=LEN(ReferenceData!$AL$38),"",ReferenceData!$AL$38),"")</f>
        <v/>
      </c>
      <c r="AM38" t="str">
        <f ca="1">IFERROR(IF(0=LEN(ReferenceData!$AM$38),"",ReferenceData!$AM$38),"")</f>
        <v/>
      </c>
      <c r="AN38" t="str">
        <f ca="1">IFERROR(IF(0=LEN(ReferenceData!$AN$38),"",ReferenceData!$AN$38),"")</f>
        <v/>
      </c>
      <c r="AO38" t="str">
        <f ca="1">IFERROR(IF(0=LEN(ReferenceData!$AO$38),"",ReferenceData!$AO$38),"")</f>
        <v/>
      </c>
      <c r="AP38" t="str">
        <f ca="1">IFERROR(IF(0=LEN(ReferenceData!$AP$38),"",ReferenceData!$AP$38),"")</f>
        <v/>
      </c>
      <c r="AQ38" t="str">
        <f ca="1">IFERROR(IF(0=LEN(ReferenceData!$AQ$38),"",ReferenceData!$AQ$38),"")</f>
        <v/>
      </c>
      <c r="AR38" t="str">
        <f ca="1">IFERROR(IF(0=LEN(ReferenceData!$AR$38),"",ReferenceData!$AR$38),"")</f>
        <v/>
      </c>
      <c r="AS38" t="str">
        <f ca="1">IFERROR(IF(0=LEN(ReferenceData!$AS$38),"",ReferenceData!$AS$38),"")</f>
        <v/>
      </c>
      <c r="AT38" t="str">
        <f ca="1">IFERROR(IF(0=LEN(ReferenceData!$AT$38),"",ReferenceData!$AT$38),"")</f>
        <v/>
      </c>
      <c r="AU38" t="str">
        <f ca="1">IFERROR(IF(0=LEN(ReferenceData!$AU$38),"",ReferenceData!$AU$38),"")</f>
        <v/>
      </c>
      <c r="AV38" t="str">
        <f ca="1">IFERROR(IF(0=LEN(ReferenceData!$AV$38),"",ReferenceData!$AV$38),"")</f>
        <v/>
      </c>
      <c r="AW38" t="str">
        <f ca="1">IFERROR(IF(0=LEN(ReferenceData!$AW$38),"",ReferenceData!$AW$38),"")</f>
        <v/>
      </c>
      <c r="AX38" t="str">
        <f ca="1">IFERROR(IF(0=LEN(ReferenceData!$AX$38),"",ReferenceData!$AX$38),"")</f>
        <v/>
      </c>
      <c r="AY38" t="str">
        <f ca="1">IFERROR(IF(0=LEN(ReferenceData!$AY$38),"",ReferenceData!$AY$38),"")</f>
        <v/>
      </c>
      <c r="AZ38" t="str">
        <f ca="1">IFERROR(IF(0=LEN(ReferenceData!$AZ$38),"",ReferenceData!$AZ$38),"")</f>
        <v/>
      </c>
      <c r="BA38" t="str">
        <f ca="1">IFERROR(IF(0=LEN(ReferenceData!$BA$38),"",ReferenceData!$BA$38),"")</f>
        <v/>
      </c>
      <c r="BB38" t="str">
        <f ca="1">IFERROR(IF(0=LEN(ReferenceData!$BB$38),"",ReferenceData!$BB$38),"")</f>
        <v/>
      </c>
      <c r="BC38" t="str">
        <f ca="1">IFERROR(IF(0=LEN(ReferenceData!$BC$38),"",ReferenceData!$BC$38),"")</f>
        <v/>
      </c>
      <c r="BD38" t="str">
        <f ca="1">IFERROR(IF(0=LEN(ReferenceData!$BD$38),"",ReferenceData!$BD$38),"")</f>
        <v/>
      </c>
      <c r="BE38" t="str">
        <f ca="1">IFERROR(IF(0=LEN(ReferenceData!$BE$38),"",ReferenceData!$BE$38),"")</f>
        <v/>
      </c>
      <c r="BF38" t="str">
        <f ca="1">IFERROR(IF(0=LEN(ReferenceData!$BF$38),"",ReferenceData!$BF$38),"")</f>
        <v/>
      </c>
      <c r="BG38" t="str">
        <f ca="1">IFERROR(IF(0=LEN(ReferenceData!$BG$38),"",ReferenceData!$BG$38),"")</f>
        <v/>
      </c>
      <c r="BH38" t="str">
        <f ca="1">IFERROR(IF(0=LEN(ReferenceData!$BH$38),"",ReferenceData!$BH$38),"")</f>
        <v/>
      </c>
      <c r="BI38" t="str">
        <f ca="1">IFERROR(IF(0=LEN(ReferenceData!$BI$38),"",ReferenceData!$BI$38),"")</f>
        <v/>
      </c>
      <c r="BJ38" t="str">
        <f ca="1">IFERROR(IF(0=LEN(ReferenceData!$BJ$38),"",ReferenceData!$BJ$38),"")</f>
        <v/>
      </c>
      <c r="BK38" t="str">
        <f ca="1">IFERROR(IF(0=LEN(ReferenceData!$BK$38),"",ReferenceData!$BK$38),"")</f>
        <v/>
      </c>
      <c r="BL38" t="str">
        <f ca="1">IFERROR(IF(0=LEN(ReferenceData!$BL$38),"",ReferenceData!$BL$38),"")</f>
        <v/>
      </c>
      <c r="BM38" t="str">
        <f ca="1">IFERROR(IF(0=LEN(ReferenceData!$BM$38),"",ReferenceData!$BM$38),"")</f>
        <v/>
      </c>
    </row>
    <row r="39" spans="1:65">
      <c r="A39" t="str">
        <f>IFERROR(IF(0=LEN(ReferenceData!$A$39),"",ReferenceData!$A$39),"")</f>
        <v>净营业利润总额-所有房地产投资信托</v>
      </c>
      <c r="B39" t="str">
        <f>IFERROR(IF(0=LEN(ReferenceData!$B$39),"",ReferenceData!$B$39),"")</f>
        <v>RECFNOEQ Index</v>
      </c>
      <c r="C39" t="str">
        <f>IFERROR(IF(0=LEN(ReferenceData!$C$39),"",ReferenceData!$C$39),"")</f>
        <v>PR005</v>
      </c>
      <c r="D39" t="str">
        <f>IFERROR(IF(0=LEN(ReferenceData!$D$39),"",ReferenceData!$D$39),"")</f>
        <v>PX_LAST</v>
      </c>
      <c r="E39" t="str">
        <f>IFERROR(IF(0=LEN(ReferenceData!$E$39),"",ReferenceData!$E$39),"")</f>
        <v>动态</v>
      </c>
      <c r="F39">
        <f ca="1">IFERROR(IF(0=LEN(ReferenceData!$F$39),"",ReferenceData!$F$39),"")</f>
        <v>23930.773529999999</v>
      </c>
      <c r="G39">
        <f ca="1">IFERROR(IF(0=LEN(ReferenceData!$G$39),"",ReferenceData!$G$39),"")</f>
        <v>23220.32</v>
      </c>
      <c r="H39">
        <f ca="1">IFERROR(IF(0=LEN(ReferenceData!$H$39),"",ReferenceData!$H$39),"")</f>
        <v>23498.311000000002</v>
      </c>
      <c r="I39">
        <f ca="1">IFERROR(IF(0=LEN(ReferenceData!$I$39),"",ReferenceData!$I$39),"")</f>
        <v>22492.932000000001</v>
      </c>
      <c r="J39">
        <f ca="1">IFERROR(IF(0=LEN(ReferenceData!$J$39),"",ReferenceData!$J$39),"")</f>
        <v>21785.314999999999</v>
      </c>
      <c r="K39">
        <f ca="1">IFERROR(IF(0=LEN(ReferenceData!$K$39),"",ReferenceData!$K$39),"")</f>
        <v>21643.241000000002</v>
      </c>
      <c r="L39">
        <f ca="1">IFERROR(IF(0=LEN(ReferenceData!$L$39),"",ReferenceData!$L$39),"")</f>
        <v>21641.659</v>
      </c>
      <c r="M39">
        <f ca="1">IFERROR(IF(0=LEN(ReferenceData!$M$39),"",ReferenceData!$M$39),"")</f>
        <v>20475.269</v>
      </c>
      <c r="N39">
        <f ca="1">IFERROR(IF(0=LEN(ReferenceData!$N$39),"",ReferenceData!$N$39),"")</f>
        <v>20676.576000000001</v>
      </c>
      <c r="O39">
        <f ca="1">IFERROR(IF(0=LEN(ReferenceData!$O$39),"",ReferenceData!$O$39),"")</f>
        <v>20635.228999999999</v>
      </c>
      <c r="P39">
        <f ca="1">IFERROR(IF(0=LEN(ReferenceData!$P$39),"",ReferenceData!$P$39),"")</f>
        <v>20251.315999999999</v>
      </c>
      <c r="Q39">
        <f ca="1">IFERROR(IF(0=LEN(ReferenceData!$Q$39),"",ReferenceData!$Q$39),"")</f>
        <v>18806.54</v>
      </c>
      <c r="R39">
        <f ca="1">IFERROR(IF(0=LEN(ReferenceData!$R$39),"",ReferenceData!$R$39),"")</f>
        <v>18075.370500000001</v>
      </c>
      <c r="S39">
        <f ca="1">IFERROR(IF(0=LEN(ReferenceData!$S$39),"",ReferenceData!$S$39),"")</f>
        <v>17018.413</v>
      </c>
      <c r="T39">
        <f ca="1">IFERROR(IF(0=LEN(ReferenceData!$T$39),"",ReferenceData!$T$39),"")</f>
        <v>16865.037</v>
      </c>
      <c r="U39">
        <f ca="1">IFERROR(IF(0=LEN(ReferenceData!$U$39),"",ReferenceData!$U$39),"")</f>
        <v>15708.17</v>
      </c>
      <c r="V39">
        <f ca="1">IFERROR(IF(0=LEN(ReferenceData!$V$39),"",ReferenceData!$V$39),"")</f>
        <v>15229.825999999999</v>
      </c>
      <c r="W39">
        <f ca="1">IFERROR(IF(0=LEN(ReferenceData!$W$39),"",ReferenceData!$W$39),"")</f>
        <v>14146.326999999999</v>
      </c>
      <c r="X39">
        <f ca="1">IFERROR(IF(0=LEN(ReferenceData!$X$39),"",ReferenceData!$X$39),"")</f>
        <v>14155.662</v>
      </c>
      <c r="Y39">
        <f ca="1">IFERROR(IF(0=LEN(ReferenceData!$Y$39),"",ReferenceData!$Y$39),"")</f>
        <v>13174.107</v>
      </c>
      <c r="Z39">
        <f ca="1">IFERROR(IF(0=LEN(ReferenceData!$Z$39),"",ReferenceData!$Z$39),"")</f>
        <v>13218.138999999999</v>
      </c>
      <c r="AA39">
        <f ca="1">IFERROR(IF(0=LEN(ReferenceData!$AA$39),"",ReferenceData!$AA$39),"")</f>
        <v>12384.773999999999</v>
      </c>
      <c r="AB39">
        <f ca="1">IFERROR(IF(0=LEN(ReferenceData!$AB$39),"",ReferenceData!$AB$39),"")</f>
        <v>12154.594999999999</v>
      </c>
      <c r="AC39">
        <f ca="1">IFERROR(IF(0=LEN(ReferenceData!$AC$39),"",ReferenceData!$AC$39),"")</f>
        <v>11259.303</v>
      </c>
      <c r="AD39">
        <f ca="1">IFERROR(IF(0=LEN(ReferenceData!$AD$39),"",ReferenceData!$AD$39),"")</f>
        <v>11093.251</v>
      </c>
      <c r="AE39">
        <f ca="1">IFERROR(IF(0=LEN(ReferenceData!$AE$39),"",ReferenceData!$AE$39),"")</f>
        <v>10676.14</v>
      </c>
      <c r="AF39">
        <f ca="1">IFERROR(IF(0=LEN(ReferenceData!$AF$39),"",ReferenceData!$AF$39),"")</f>
        <v>10344.227000000001</v>
      </c>
      <c r="AG39">
        <f ca="1">IFERROR(IF(0=LEN(ReferenceData!$AG$39),"",ReferenceData!$AG$39),"")</f>
        <v>9766.7900000000009</v>
      </c>
      <c r="AH39">
        <f ca="1">IFERROR(IF(0=LEN(ReferenceData!$AH$39),"",ReferenceData!$AH$39),"")</f>
        <v>10074.013999999999</v>
      </c>
      <c r="AI39">
        <f ca="1">IFERROR(IF(0=LEN(ReferenceData!$AI$39),"",ReferenceData!$AI$39),"")</f>
        <v>8677.0244999999995</v>
      </c>
      <c r="AJ39">
        <f ca="1">IFERROR(IF(0=LEN(ReferenceData!$AJ$39),"",ReferenceData!$AJ$39),"")</f>
        <v>8592.49</v>
      </c>
      <c r="AK39">
        <f ca="1">IFERROR(IF(0=LEN(ReferenceData!$AK$39),"",ReferenceData!$AK$39),"")</f>
        <v>8273.4580000000005</v>
      </c>
      <c r="AL39">
        <f ca="1">IFERROR(IF(0=LEN(ReferenceData!$AL$39),"",ReferenceData!$AL$39),"")</f>
        <v>8457.0470000000005</v>
      </c>
      <c r="AM39">
        <f ca="1">IFERROR(IF(0=LEN(ReferenceData!$AM$39),"",ReferenceData!$AM$39),"")</f>
        <v>8172.0150000000003</v>
      </c>
      <c r="AN39">
        <f ca="1">IFERROR(IF(0=LEN(ReferenceData!$AN$39),"",ReferenceData!$AN$39),"")</f>
        <v>8344.4619999999995</v>
      </c>
      <c r="AO39">
        <f ca="1">IFERROR(IF(0=LEN(ReferenceData!$AO$39),"",ReferenceData!$AO$39),"")</f>
        <v>8564.9380000000001</v>
      </c>
      <c r="AP39">
        <f ca="1">IFERROR(IF(0=LEN(ReferenceData!$AP$39),"",ReferenceData!$AP$39),"")</f>
        <v>8752.5935000000009</v>
      </c>
      <c r="AQ39">
        <f ca="1">IFERROR(IF(0=LEN(ReferenceData!$AQ$39),"",ReferenceData!$AQ$39),"")</f>
        <v>9209.107</v>
      </c>
      <c r="AR39">
        <f ca="1">IFERROR(IF(0=LEN(ReferenceData!$AR$39),"",ReferenceData!$AR$39),"")</f>
        <v>9584.8389999999999</v>
      </c>
      <c r="AS39">
        <f ca="1">IFERROR(IF(0=LEN(ReferenceData!$AS$39),"",ReferenceData!$AS$39),"")</f>
        <v>9248.4629999999997</v>
      </c>
      <c r="AT39">
        <f ca="1">IFERROR(IF(0=LEN(ReferenceData!$AT$39),"",ReferenceData!$AT$39),"")</f>
        <v>9028.1419999999998</v>
      </c>
      <c r="AU39">
        <f ca="1">IFERROR(IF(0=LEN(ReferenceData!$AU$39),"",ReferenceData!$AU$39),"")</f>
        <v>9532.7895000000008</v>
      </c>
      <c r="AV39">
        <f ca="1">IFERROR(IF(0=LEN(ReferenceData!$AV$39),"",ReferenceData!$AV$39),"")</f>
        <v>9615.17</v>
      </c>
      <c r="AW39">
        <f ca="1">IFERROR(IF(0=LEN(ReferenceData!$AW$39),"",ReferenceData!$AW$39),"")</f>
        <v>9131.7060000000001</v>
      </c>
      <c r="AX39">
        <f ca="1">IFERROR(IF(0=LEN(ReferenceData!$AX$39),"",ReferenceData!$AX$39),"")</f>
        <v>9933.7780000000002</v>
      </c>
      <c r="AY39">
        <f ca="1">IFERROR(IF(0=LEN(ReferenceData!$AY$39),"",ReferenceData!$AY$39),"")</f>
        <v>9489.1115000000009</v>
      </c>
      <c r="AZ39">
        <f ca="1">IFERROR(IF(0=LEN(ReferenceData!$AZ$39),"",ReferenceData!$AZ$39),"")</f>
        <v>9812.8220000000001</v>
      </c>
      <c r="BA39">
        <f ca="1">IFERROR(IF(0=LEN(ReferenceData!$BA$39),"",ReferenceData!$BA$39),"")</f>
        <v>9407.7669999999998</v>
      </c>
      <c r="BB39">
        <f ca="1">IFERROR(IF(0=LEN(ReferenceData!$BB$39),"",ReferenceData!$BB$39),"")</f>
        <v>9453.2484999999997</v>
      </c>
      <c r="BC39">
        <f ca="1">IFERROR(IF(0=LEN(ReferenceData!$BC$39),"",ReferenceData!$BC$39),"")</f>
        <v>9006.0069999999996</v>
      </c>
      <c r="BD39">
        <f ca="1">IFERROR(IF(0=LEN(ReferenceData!$BD$39),"",ReferenceData!$BD$39),"")</f>
        <v>9101.6990000000005</v>
      </c>
      <c r="BE39">
        <f ca="1">IFERROR(IF(0=LEN(ReferenceData!$BE$39),"",ReferenceData!$BE$39),"")</f>
        <v>8730.4750000000004</v>
      </c>
      <c r="BF39">
        <f ca="1">IFERROR(IF(0=LEN(ReferenceData!$BF$39),"",ReferenceData!$BF$39),"")</f>
        <v>8697.2240000000002</v>
      </c>
      <c r="BG39">
        <f ca="1">IFERROR(IF(0=LEN(ReferenceData!$BG$39),"",ReferenceData!$BG$39),"")</f>
        <v>8090.3969999999999</v>
      </c>
      <c r="BH39">
        <f ca="1">IFERROR(IF(0=LEN(ReferenceData!$BH$39),"",ReferenceData!$BH$39),"")</f>
        <v>8094.5654999999997</v>
      </c>
      <c r="BI39">
        <f ca="1">IFERROR(IF(0=LEN(ReferenceData!$BI$39),"",ReferenceData!$BI$39),"")</f>
        <v>7880.7730000000001</v>
      </c>
      <c r="BJ39">
        <f ca="1">IFERROR(IF(0=LEN(ReferenceData!$BJ$39),"",ReferenceData!$BJ$39),"")</f>
        <v>7678.6795000000002</v>
      </c>
      <c r="BK39">
        <f ca="1">IFERROR(IF(0=LEN(ReferenceData!$BK$39),"",ReferenceData!$BK$39),"")</f>
        <v>7284.4629999999997</v>
      </c>
      <c r="BL39">
        <f ca="1">IFERROR(IF(0=LEN(ReferenceData!$BL$39),"",ReferenceData!$BL$39),"")</f>
        <v>7358.08</v>
      </c>
      <c r="BM39">
        <f ca="1">IFERROR(IF(0=LEN(ReferenceData!$BM$39),"",ReferenceData!$BM$39),"")</f>
        <v>7138.5110000000004</v>
      </c>
    </row>
    <row r="40" spans="1:65">
      <c r="A40" t="str">
        <f>IFERROR(IF(0=LEN(ReferenceData!$A$40),"",ReferenceData!$A$40),"")</f>
        <v xml:space="preserve">    Office REITs</v>
      </c>
      <c r="B40" t="str">
        <f>IFERROR(IF(0=LEN(ReferenceData!$B$40),"",ReferenceData!$B$40),"")</f>
        <v>RECFNOOF Index</v>
      </c>
      <c r="C40" t="str">
        <f>IFERROR(IF(0=LEN(ReferenceData!$C$40),"",ReferenceData!$C$40),"")</f>
        <v>PR005</v>
      </c>
      <c r="D40" t="str">
        <f>IFERROR(IF(0=LEN(ReferenceData!$D$40),"",ReferenceData!$D$40),"")</f>
        <v>PX_LAST</v>
      </c>
      <c r="E40" t="str">
        <f>IFERROR(IF(0=LEN(ReferenceData!$E$40),"",ReferenceData!$E$40),"")</f>
        <v>动态</v>
      </c>
      <c r="F40">
        <f ca="1">IFERROR(IF(0=LEN(ReferenceData!$F$40),"",ReferenceData!$F$40),"")</f>
        <v>2265.1098149999998</v>
      </c>
      <c r="G40">
        <f ca="1">IFERROR(IF(0=LEN(ReferenceData!$G$40),"",ReferenceData!$G$40),"")</f>
        <v>2263.0129999999999</v>
      </c>
      <c r="H40">
        <f ca="1">IFERROR(IF(0=LEN(ReferenceData!$H$40),"",ReferenceData!$H$40),"")</f>
        <v>2360.5140000000001</v>
      </c>
      <c r="I40">
        <f ca="1">IFERROR(IF(0=LEN(ReferenceData!$I$40),"",ReferenceData!$I$40),"")</f>
        <v>2315.9119999999998</v>
      </c>
      <c r="J40">
        <f ca="1">IFERROR(IF(0=LEN(ReferenceData!$J$40),"",ReferenceData!$J$40),"")</f>
        <v>2273.4609999999998</v>
      </c>
      <c r="K40">
        <f ca="1">IFERROR(IF(0=LEN(ReferenceData!$K$40),"",ReferenceData!$K$40),"")</f>
        <v>2213.7199999999998</v>
      </c>
      <c r="L40">
        <f ca="1">IFERROR(IF(0=LEN(ReferenceData!$L$40),"",ReferenceData!$L$40),"")</f>
        <v>2458.768</v>
      </c>
      <c r="M40">
        <f ca="1">IFERROR(IF(0=LEN(ReferenceData!$M$40),"",ReferenceData!$M$40),"")</f>
        <v>2436.2310000000002</v>
      </c>
      <c r="N40">
        <f ca="1">IFERROR(IF(0=LEN(ReferenceData!$N$40),"",ReferenceData!$N$40),"")</f>
        <v>2294.8629999999998</v>
      </c>
      <c r="O40">
        <f ca="1">IFERROR(IF(0=LEN(ReferenceData!$O$40),"",ReferenceData!$O$40),"")</f>
        <v>2453.8789999999999</v>
      </c>
      <c r="P40">
        <f ca="1">IFERROR(IF(0=LEN(ReferenceData!$P$40),"",ReferenceData!$P$40),"")</f>
        <v>2424.4850000000001</v>
      </c>
      <c r="Q40">
        <f ca="1">IFERROR(IF(0=LEN(ReferenceData!$Q$40),"",ReferenceData!$Q$40),"")</f>
        <v>2154.7550000000001</v>
      </c>
      <c r="R40">
        <f ca="1">IFERROR(IF(0=LEN(ReferenceData!$R$40),"",ReferenceData!$R$40),"")</f>
        <v>2101.2809999999999</v>
      </c>
      <c r="S40">
        <f ca="1">IFERROR(IF(0=LEN(ReferenceData!$S$40),"",ReferenceData!$S$40),"")</f>
        <v>2036.7439999999999</v>
      </c>
      <c r="T40">
        <f ca="1">IFERROR(IF(0=LEN(ReferenceData!$T$40),"",ReferenceData!$T$40),"")</f>
        <v>2001.278</v>
      </c>
      <c r="U40">
        <f ca="1">IFERROR(IF(0=LEN(ReferenceData!$U$40),"",ReferenceData!$U$40),"")</f>
        <v>1888.8</v>
      </c>
      <c r="V40">
        <f ca="1">IFERROR(IF(0=LEN(ReferenceData!$V$40),"",ReferenceData!$V$40),"")</f>
        <v>1822.3209999999999</v>
      </c>
      <c r="W40">
        <f ca="1">IFERROR(IF(0=LEN(ReferenceData!$W$40),"",ReferenceData!$W$40),"")</f>
        <v>1696.683</v>
      </c>
      <c r="X40">
        <f ca="1">IFERROR(IF(0=LEN(ReferenceData!$X$40),"",ReferenceData!$X$40),"")</f>
        <v>1749.3979999999999</v>
      </c>
      <c r="Y40">
        <f ca="1">IFERROR(IF(0=LEN(ReferenceData!$Y$40),"",ReferenceData!$Y$40),"")</f>
        <v>1652.511</v>
      </c>
      <c r="Z40">
        <f ca="1">IFERROR(IF(0=LEN(ReferenceData!$Z$40),"",ReferenceData!$Z$40),"")</f>
        <v>1618.3589999999999</v>
      </c>
      <c r="AA40">
        <f ca="1">IFERROR(IF(0=LEN(ReferenceData!$AA$40),"",ReferenceData!$AA$40),"")</f>
        <v>1617.3130000000001</v>
      </c>
      <c r="AB40">
        <f ca="1">IFERROR(IF(0=LEN(ReferenceData!$AB$40),"",ReferenceData!$AB$40),"")</f>
        <v>1616.0139999999999</v>
      </c>
      <c r="AC40">
        <f ca="1">IFERROR(IF(0=LEN(ReferenceData!$AC$40),"",ReferenceData!$AC$40),"")</f>
        <v>1542.748</v>
      </c>
      <c r="AD40">
        <f ca="1">IFERROR(IF(0=LEN(ReferenceData!$AD$40),"",ReferenceData!$AD$40),"")</f>
        <v>1522.9449999999999</v>
      </c>
      <c r="AE40">
        <f ca="1">IFERROR(IF(0=LEN(ReferenceData!$AE$40),"",ReferenceData!$AE$40),"")</f>
        <v>1525.596</v>
      </c>
      <c r="AF40">
        <f ca="1">IFERROR(IF(0=LEN(ReferenceData!$AF$40),"",ReferenceData!$AF$40),"")</f>
        <v>1525.0029999999999</v>
      </c>
      <c r="AG40">
        <f ca="1">IFERROR(IF(0=LEN(ReferenceData!$AG$40),"",ReferenceData!$AG$40),"")</f>
        <v>1479.1669999999999</v>
      </c>
      <c r="AH40">
        <f ca="1">IFERROR(IF(0=LEN(ReferenceData!$AH$40),"",ReferenceData!$AH$40),"")</f>
        <v>1431.18</v>
      </c>
      <c r="AI40">
        <f ca="1">IFERROR(IF(0=LEN(ReferenceData!$AI$40),"",ReferenceData!$AI$40),"")</f>
        <v>1401.5060000000001</v>
      </c>
      <c r="AJ40">
        <f ca="1">IFERROR(IF(0=LEN(ReferenceData!$AJ$40),"",ReferenceData!$AJ$40),"")</f>
        <v>1385.6510000000001</v>
      </c>
      <c r="AK40">
        <f ca="1">IFERROR(IF(0=LEN(ReferenceData!$AK$40),"",ReferenceData!$AK$40),"")</f>
        <v>1374.548</v>
      </c>
      <c r="AL40">
        <f ca="1">IFERROR(IF(0=LEN(ReferenceData!$AL$40),"",ReferenceData!$AL$40),"")</f>
        <v>1275.731</v>
      </c>
      <c r="AM40">
        <f ca="1">IFERROR(IF(0=LEN(ReferenceData!$AM$40),"",ReferenceData!$AM$40),"")</f>
        <v>1273.7260000000001</v>
      </c>
      <c r="AN40">
        <f ca="1">IFERROR(IF(0=LEN(ReferenceData!$AN$40),"",ReferenceData!$AN$40),"")</f>
        <v>1313.2719999999999</v>
      </c>
      <c r="AO40">
        <f ca="1">IFERROR(IF(0=LEN(ReferenceData!$AO$40),"",ReferenceData!$AO$40),"")</f>
        <v>1303.9010000000001</v>
      </c>
      <c r="AP40">
        <f ca="1">IFERROR(IF(0=LEN(ReferenceData!$AP$40),"",ReferenceData!$AP$40),"")</f>
        <v>1314.9614999999999</v>
      </c>
      <c r="AQ40">
        <f ca="1">IFERROR(IF(0=LEN(ReferenceData!$AQ$40),"",ReferenceData!$AQ$40),"")</f>
        <v>1265.635</v>
      </c>
      <c r="AR40">
        <f ca="1">IFERROR(IF(0=LEN(ReferenceData!$AR$40),"",ReferenceData!$AR$40),"")</f>
        <v>1257.402</v>
      </c>
      <c r="AS40">
        <f ca="1">IFERROR(IF(0=LEN(ReferenceData!$AS$40),"",ReferenceData!$AS$40),"")</f>
        <v>1246.0229999999999</v>
      </c>
      <c r="AT40">
        <f ca="1">IFERROR(IF(0=LEN(ReferenceData!$AT$40),"",ReferenceData!$AT$40),"")</f>
        <v>1168.384</v>
      </c>
      <c r="AU40">
        <f ca="1">IFERROR(IF(0=LEN(ReferenceData!$AU$40),"",ReferenceData!$AU$40),"")</f>
        <v>1329.883</v>
      </c>
      <c r="AV40">
        <f ca="1">IFERROR(IF(0=LEN(ReferenceData!$AV$40),"",ReferenceData!$AV$40),"")</f>
        <v>1265.251</v>
      </c>
      <c r="AW40">
        <f ca="1">IFERROR(IF(0=LEN(ReferenceData!$AW$40),"",ReferenceData!$AW$40),"")</f>
        <v>1262.317</v>
      </c>
      <c r="AX40">
        <f ca="1">IFERROR(IF(0=LEN(ReferenceData!$AX$40),"",ReferenceData!$AX$40),"")</f>
        <v>1766.2460000000001</v>
      </c>
      <c r="AY40">
        <f ca="1">IFERROR(IF(0=LEN(ReferenceData!$AY$40),"",ReferenceData!$AY$40),"")</f>
        <v>1704.357</v>
      </c>
      <c r="AZ40">
        <f ca="1">IFERROR(IF(0=LEN(ReferenceData!$AZ$40),"",ReferenceData!$AZ$40),"")</f>
        <v>1841.501</v>
      </c>
      <c r="BA40">
        <f ca="1">IFERROR(IF(0=LEN(ReferenceData!$BA$40),"",ReferenceData!$BA$40),"")</f>
        <v>1860.923</v>
      </c>
      <c r="BB40">
        <f ca="1">IFERROR(IF(0=LEN(ReferenceData!$BB$40),"",ReferenceData!$BB$40),"")</f>
        <v>1841.078</v>
      </c>
      <c r="BC40">
        <f ca="1">IFERROR(IF(0=LEN(ReferenceData!$BC$40),"",ReferenceData!$BC$40),"")</f>
        <v>1852.9280000000001</v>
      </c>
      <c r="BD40">
        <f ca="1">IFERROR(IF(0=LEN(ReferenceData!$BD$40),"",ReferenceData!$BD$40),"")</f>
        <v>1906.364</v>
      </c>
      <c r="BE40">
        <f ca="1">IFERROR(IF(0=LEN(ReferenceData!$BE$40),"",ReferenceData!$BE$40),"")</f>
        <v>1928.66</v>
      </c>
      <c r="BF40">
        <f ca="1">IFERROR(IF(0=LEN(ReferenceData!$BF$40),"",ReferenceData!$BF$40),"")</f>
        <v>1831.489</v>
      </c>
      <c r="BG40">
        <f ca="1">IFERROR(IF(0=LEN(ReferenceData!$BG$40),"",ReferenceData!$BG$40),"")</f>
        <v>1766.8520000000001</v>
      </c>
      <c r="BH40">
        <f ca="1">IFERROR(IF(0=LEN(ReferenceData!$BH$40),"",ReferenceData!$BH$40),"")</f>
        <v>1734.421</v>
      </c>
      <c r="BI40">
        <f ca="1">IFERROR(IF(0=LEN(ReferenceData!$BI$40),"",ReferenceData!$BI$40),"")</f>
        <v>1718.635</v>
      </c>
      <c r="BJ40">
        <f ca="1">IFERROR(IF(0=LEN(ReferenceData!$BJ$40),"",ReferenceData!$BJ$40),"")</f>
        <v>1751.98</v>
      </c>
      <c r="BK40">
        <f ca="1">IFERROR(IF(0=LEN(ReferenceData!$BK$40),"",ReferenceData!$BK$40),"")</f>
        <v>1731.5540000000001</v>
      </c>
      <c r="BL40">
        <f ca="1">IFERROR(IF(0=LEN(ReferenceData!$BL$40),"",ReferenceData!$BL$40),"")</f>
        <v>1690.29</v>
      </c>
      <c r="BM40">
        <f ca="1">IFERROR(IF(0=LEN(ReferenceData!$BM$40),"",ReferenceData!$BM$40),"")</f>
        <v>1685.8530000000001</v>
      </c>
    </row>
    <row r="41" spans="1:65">
      <c r="A41" t="str">
        <f>IFERROR(IF(0=LEN(ReferenceData!$A$41),"",ReferenceData!$A$41),"")</f>
        <v xml:space="preserve">    Industrial REITs</v>
      </c>
      <c r="B41" t="str">
        <f>IFERROR(IF(0=LEN(ReferenceData!$B$41),"",ReferenceData!$B$41),"")</f>
        <v>RECFNOIN Index</v>
      </c>
      <c r="C41" t="str">
        <f>IFERROR(IF(0=LEN(ReferenceData!$C$41),"",ReferenceData!$C$41),"")</f>
        <v>PR005</v>
      </c>
      <c r="D41" t="str">
        <f>IFERROR(IF(0=LEN(ReferenceData!$D$41),"",ReferenceData!$D$41),"")</f>
        <v>PX_LAST</v>
      </c>
      <c r="E41" t="str">
        <f>IFERROR(IF(0=LEN(ReferenceData!$E$41),"",ReferenceData!$E$41),"")</f>
        <v>动态</v>
      </c>
      <c r="F41">
        <f ca="1">IFERROR(IF(0=LEN(ReferenceData!$F$41),"",ReferenceData!$F$41),"")</f>
        <v>1095.4873070000001</v>
      </c>
      <c r="G41">
        <f ca="1">IFERROR(IF(0=LEN(ReferenceData!$G$41),"",ReferenceData!$G$41),"")</f>
        <v>1076.732</v>
      </c>
      <c r="H41">
        <f ca="1">IFERROR(IF(0=LEN(ReferenceData!$H$41),"",ReferenceData!$H$41),"")</f>
        <v>1091.0550000000001</v>
      </c>
      <c r="I41">
        <f ca="1">IFERROR(IF(0=LEN(ReferenceData!$I$41),"",ReferenceData!$I$41),"")</f>
        <v>1093.0450000000001</v>
      </c>
      <c r="J41">
        <f ca="1">IFERROR(IF(0=LEN(ReferenceData!$J$41),"",ReferenceData!$J$41),"")</f>
        <v>1038.174</v>
      </c>
      <c r="K41">
        <f ca="1">IFERROR(IF(0=LEN(ReferenceData!$K$41),"",ReferenceData!$K$41),"")</f>
        <v>1079.3620000000001</v>
      </c>
      <c r="L41">
        <f ca="1">IFERROR(IF(0=LEN(ReferenceData!$L$41),"",ReferenceData!$L$41),"")</f>
        <v>1047.7650000000001</v>
      </c>
      <c r="M41">
        <f ca="1">IFERROR(IF(0=LEN(ReferenceData!$M$41),"",ReferenceData!$M$41),"")</f>
        <v>1035.105</v>
      </c>
      <c r="N41">
        <f ca="1">IFERROR(IF(0=LEN(ReferenceData!$N$41),"",ReferenceData!$N$41),"")</f>
        <v>1066.008</v>
      </c>
      <c r="O41">
        <f ca="1">IFERROR(IF(0=LEN(ReferenceData!$O$41),"",ReferenceData!$O$41),"")</f>
        <v>1058.3599999999999</v>
      </c>
      <c r="P41">
        <f ca="1">IFERROR(IF(0=LEN(ReferenceData!$P$41),"",ReferenceData!$P$41),"")</f>
        <v>1003.383</v>
      </c>
      <c r="Q41">
        <f ca="1">IFERROR(IF(0=LEN(ReferenceData!$Q$41),"",ReferenceData!$Q$41),"")</f>
        <v>943.47299999999996</v>
      </c>
      <c r="R41">
        <f ca="1">IFERROR(IF(0=LEN(ReferenceData!$R$41),"",ReferenceData!$R$41),"")</f>
        <v>942.37</v>
      </c>
      <c r="S41">
        <f ca="1">IFERROR(IF(0=LEN(ReferenceData!$S$41),"",ReferenceData!$S$41),"")</f>
        <v>900.01199999999994</v>
      </c>
      <c r="T41">
        <f ca="1">IFERROR(IF(0=LEN(ReferenceData!$T$41),"",ReferenceData!$T$41),"")</f>
        <v>903.86400000000003</v>
      </c>
      <c r="U41">
        <f ca="1">IFERROR(IF(0=LEN(ReferenceData!$U$41),"",ReferenceData!$U$41),"")</f>
        <v>884.75900000000001</v>
      </c>
      <c r="V41">
        <f ca="1">IFERROR(IF(0=LEN(ReferenceData!$V$41),"",ReferenceData!$V$41),"")</f>
        <v>883.947</v>
      </c>
      <c r="W41">
        <f ca="1">IFERROR(IF(0=LEN(ReferenceData!$W$41),"",ReferenceData!$W$41),"")</f>
        <v>856.65</v>
      </c>
      <c r="X41">
        <f ca="1">IFERROR(IF(0=LEN(ReferenceData!$X$41),"",ReferenceData!$X$41),"")</f>
        <v>828.85699999999997</v>
      </c>
      <c r="Y41">
        <f ca="1">IFERROR(IF(0=LEN(ReferenceData!$Y$41),"",ReferenceData!$Y$41),"")</f>
        <v>885.96600000000001</v>
      </c>
      <c r="Z41">
        <f ca="1">IFERROR(IF(0=LEN(ReferenceData!$Z$41),"",ReferenceData!$Z$41),"")</f>
        <v>913.76800000000003</v>
      </c>
      <c r="AA41">
        <f ca="1">IFERROR(IF(0=LEN(ReferenceData!$AA$41),"",ReferenceData!$AA$41),"")</f>
        <v>881.18700000000001</v>
      </c>
      <c r="AB41">
        <f ca="1">IFERROR(IF(0=LEN(ReferenceData!$AB$41),"",ReferenceData!$AB$41),"")</f>
        <v>888.35400000000004</v>
      </c>
      <c r="AC41">
        <f ca="1">IFERROR(IF(0=LEN(ReferenceData!$AC$41),"",ReferenceData!$AC$41),"")</f>
        <v>866.48199999999997</v>
      </c>
      <c r="AD41">
        <f ca="1">IFERROR(IF(0=LEN(ReferenceData!$AD$41),"",ReferenceData!$AD$41),"")</f>
        <v>823.97799999999995</v>
      </c>
      <c r="AE41">
        <f ca="1">IFERROR(IF(0=LEN(ReferenceData!$AE$41),"",ReferenceData!$AE$41),"")</f>
        <v>856.95600000000002</v>
      </c>
      <c r="AF41">
        <f ca="1">IFERROR(IF(0=LEN(ReferenceData!$AF$41),"",ReferenceData!$AF$41),"")</f>
        <v>726.34699999999998</v>
      </c>
      <c r="AG41">
        <f ca="1">IFERROR(IF(0=LEN(ReferenceData!$AG$41),"",ReferenceData!$AG$41),"")</f>
        <v>739.01099999999997</v>
      </c>
      <c r="AH41">
        <f ca="1">IFERROR(IF(0=LEN(ReferenceData!$AH$41),"",ReferenceData!$AH$41),"")</f>
        <v>753.15099999999995</v>
      </c>
      <c r="AI41">
        <f ca="1">IFERROR(IF(0=LEN(ReferenceData!$AI$41),"",ReferenceData!$AI$41),"")</f>
        <v>776.41150000000005</v>
      </c>
      <c r="AJ41">
        <f ca="1">IFERROR(IF(0=LEN(ReferenceData!$AJ$41),"",ReferenceData!$AJ$41),"")</f>
        <v>755.95699999999999</v>
      </c>
      <c r="AK41">
        <f ca="1">IFERROR(IF(0=LEN(ReferenceData!$AK$41),"",ReferenceData!$AK$41),"")</f>
        <v>743.93799999999999</v>
      </c>
      <c r="AL41">
        <f ca="1">IFERROR(IF(0=LEN(ReferenceData!$AL$41),"",ReferenceData!$AL$41),"")</f>
        <v>758.22699999999998</v>
      </c>
      <c r="AM41">
        <f ca="1">IFERROR(IF(0=LEN(ReferenceData!$AM$41),"",ReferenceData!$AM$41),"")</f>
        <v>749.61400000000003</v>
      </c>
      <c r="AN41">
        <f ca="1">IFERROR(IF(0=LEN(ReferenceData!$AN$41),"",ReferenceData!$AN$41),"")</f>
        <v>747.68200000000002</v>
      </c>
      <c r="AO41">
        <f ca="1">IFERROR(IF(0=LEN(ReferenceData!$AO$41),"",ReferenceData!$AO$41),"")</f>
        <v>972.64200000000005</v>
      </c>
      <c r="AP41">
        <f ca="1">IFERROR(IF(0=LEN(ReferenceData!$AP$41),"",ReferenceData!$AP$41),"")</f>
        <v>888.95399999999995</v>
      </c>
      <c r="AQ41">
        <f ca="1">IFERROR(IF(0=LEN(ReferenceData!$AQ$41),"",ReferenceData!$AQ$41),"")</f>
        <v>875.29100000000005</v>
      </c>
      <c r="AR41">
        <f ca="1">IFERROR(IF(0=LEN(ReferenceData!$AR$41),"",ReferenceData!$AR$41),"")</f>
        <v>1018.14</v>
      </c>
      <c r="AS41">
        <f ca="1">IFERROR(IF(0=LEN(ReferenceData!$AS$41),"",ReferenceData!$AS$41),"")</f>
        <v>1086.758</v>
      </c>
      <c r="AT41">
        <f ca="1">IFERROR(IF(0=LEN(ReferenceData!$AT$41),"",ReferenceData!$AT$41),"")</f>
        <v>921.79600000000005</v>
      </c>
      <c r="AU41">
        <f ca="1">IFERROR(IF(0=LEN(ReferenceData!$AU$41),"",ReferenceData!$AU$41),"")</f>
        <v>1090.5385000000001</v>
      </c>
      <c r="AV41">
        <f ca="1">IFERROR(IF(0=LEN(ReferenceData!$AV$41),"",ReferenceData!$AV$41),"")</f>
        <v>1027.5619999999999</v>
      </c>
      <c r="AW41">
        <f ca="1">IFERROR(IF(0=LEN(ReferenceData!$AW$41),"",ReferenceData!$AW$41),"")</f>
        <v>1033.223</v>
      </c>
      <c r="AX41">
        <f ca="1">IFERROR(IF(0=LEN(ReferenceData!$AX$41),"",ReferenceData!$AX$41),"")</f>
        <v>825.06799999999998</v>
      </c>
      <c r="AY41">
        <f ca="1">IFERROR(IF(0=LEN(ReferenceData!$AY$41),"",ReferenceData!$AY$41),"")</f>
        <v>842.33249999999998</v>
      </c>
      <c r="AZ41">
        <f ca="1">IFERROR(IF(0=LEN(ReferenceData!$AZ$41),"",ReferenceData!$AZ$41),"")</f>
        <v>843.70600000000002</v>
      </c>
      <c r="BA41">
        <f ca="1">IFERROR(IF(0=LEN(ReferenceData!$BA$41),"",ReferenceData!$BA$41),"")</f>
        <v>757.08600000000001</v>
      </c>
      <c r="BB41">
        <f ca="1">IFERROR(IF(0=LEN(ReferenceData!$BB$41),"",ReferenceData!$BB$41),"")</f>
        <v>743.12300000000005</v>
      </c>
      <c r="BC41">
        <f ca="1">IFERROR(IF(0=LEN(ReferenceData!$BC$41),"",ReferenceData!$BC$41),"")</f>
        <v>700.54399999999998</v>
      </c>
      <c r="BD41">
        <f ca="1">IFERROR(IF(0=LEN(ReferenceData!$BD$41),"",ReferenceData!$BD$41),"")</f>
        <v>756.63099999999997</v>
      </c>
      <c r="BE41">
        <f ca="1">IFERROR(IF(0=LEN(ReferenceData!$BE$41),"",ReferenceData!$BE$41),"")</f>
        <v>748.77099999999996</v>
      </c>
      <c r="BF41">
        <f ca="1">IFERROR(IF(0=LEN(ReferenceData!$BF$41),"",ReferenceData!$BF$41),"")</f>
        <v>784.54300000000001</v>
      </c>
      <c r="BG41">
        <f ca="1">IFERROR(IF(0=LEN(ReferenceData!$BG$41),"",ReferenceData!$BG$41),"")</f>
        <v>732.68499999999995</v>
      </c>
      <c r="BH41">
        <f ca="1">IFERROR(IF(0=LEN(ReferenceData!$BH$41),"",ReferenceData!$BH$41),"")</f>
        <v>726.78099999999995</v>
      </c>
      <c r="BI41">
        <f ca="1">IFERROR(IF(0=LEN(ReferenceData!$BI$41),"",ReferenceData!$BI$41),"")</f>
        <v>709.05600000000004</v>
      </c>
      <c r="BJ41">
        <f ca="1">IFERROR(IF(0=LEN(ReferenceData!$BJ$41),"",ReferenceData!$BJ$41),"")</f>
        <v>658.22550000000001</v>
      </c>
      <c r="BK41">
        <f ca="1">IFERROR(IF(0=LEN(ReferenceData!$BK$41),"",ReferenceData!$BK$41),"")</f>
        <v>625.88599999999997</v>
      </c>
      <c r="BL41">
        <f ca="1">IFERROR(IF(0=LEN(ReferenceData!$BL$41),"",ReferenceData!$BL$41),"")</f>
        <v>622.27599999999995</v>
      </c>
      <c r="BM41">
        <f ca="1">IFERROR(IF(0=LEN(ReferenceData!$BM$41),"",ReferenceData!$BM$41),"")</f>
        <v>612.03300000000002</v>
      </c>
    </row>
    <row r="42" spans="1:65">
      <c r="A42" t="str">
        <f>IFERROR(IF(0=LEN(ReferenceData!$A$42),"",ReferenceData!$A$42),"")</f>
        <v xml:space="preserve">    Retail REITs</v>
      </c>
      <c r="B42" t="str">
        <f>IFERROR(IF(0=LEN(ReferenceData!$B$42),"",ReferenceData!$B$42),"")</f>
        <v>RECFNORT Index</v>
      </c>
      <c r="C42" t="str">
        <f>IFERROR(IF(0=LEN(ReferenceData!$C$42),"",ReferenceData!$C$42),"")</f>
        <v>PR005</v>
      </c>
      <c r="D42" t="str">
        <f>IFERROR(IF(0=LEN(ReferenceData!$D$42),"",ReferenceData!$D$42),"")</f>
        <v>PX_LAST</v>
      </c>
      <c r="E42" t="str">
        <f>IFERROR(IF(0=LEN(ReferenceData!$E$42),"",ReferenceData!$E$42),"")</f>
        <v>动态</v>
      </c>
      <c r="F42">
        <f ca="1">IFERROR(IF(0=LEN(ReferenceData!$F$42),"",ReferenceData!$F$42),"")</f>
        <v>4445.0337829999999</v>
      </c>
      <c r="G42">
        <f ca="1">IFERROR(IF(0=LEN(ReferenceData!$G$42),"",ReferenceData!$G$42),"")</f>
        <v>4326.7650000000003</v>
      </c>
      <c r="H42">
        <f ca="1">IFERROR(IF(0=LEN(ReferenceData!$H$42),"",ReferenceData!$H$42),"")</f>
        <v>4320.3969999999999</v>
      </c>
      <c r="I42">
        <f ca="1">IFERROR(IF(0=LEN(ReferenceData!$I$42),"",ReferenceData!$I$42),"")</f>
        <v>4246.9740000000002</v>
      </c>
      <c r="J42">
        <f ca="1">IFERROR(IF(0=LEN(ReferenceData!$J$42),"",ReferenceData!$J$42),"")</f>
        <v>4432.598</v>
      </c>
      <c r="K42">
        <f ca="1">IFERROR(IF(0=LEN(ReferenceData!$K$42),"",ReferenceData!$K$42),"")</f>
        <v>4242.9409999999998</v>
      </c>
      <c r="L42">
        <f ca="1">IFERROR(IF(0=LEN(ReferenceData!$L$42),"",ReferenceData!$L$42),"")</f>
        <v>4194.9930000000004</v>
      </c>
      <c r="M42">
        <f ca="1">IFERROR(IF(0=LEN(ReferenceData!$M$42),"",ReferenceData!$M$42),"")</f>
        <v>4233.125</v>
      </c>
      <c r="N42">
        <f ca="1">IFERROR(IF(0=LEN(ReferenceData!$N$42),"",ReferenceData!$N$42),"")</f>
        <v>4427.8180000000002</v>
      </c>
      <c r="O42">
        <f ca="1">IFERROR(IF(0=LEN(ReferenceData!$O$42),"",ReferenceData!$O$42),"")</f>
        <v>4224.6899999999996</v>
      </c>
      <c r="P42">
        <f ca="1">IFERROR(IF(0=LEN(ReferenceData!$P$42),"",ReferenceData!$P$42),"")</f>
        <v>4152.7070000000003</v>
      </c>
      <c r="Q42">
        <f ca="1">IFERROR(IF(0=LEN(ReferenceData!$Q$42),"",ReferenceData!$Q$42),"")</f>
        <v>4417.5330000000004</v>
      </c>
      <c r="R42">
        <f ca="1">IFERROR(IF(0=LEN(ReferenceData!$R$42),"",ReferenceData!$R$42),"")</f>
        <v>4474.1809999999996</v>
      </c>
      <c r="S42">
        <f ca="1">IFERROR(IF(0=LEN(ReferenceData!$S$42),"",ReferenceData!$S$42),"")</f>
        <v>4344.1130000000003</v>
      </c>
      <c r="T42">
        <f ca="1">IFERROR(IF(0=LEN(ReferenceData!$T$42),"",ReferenceData!$T$42),"")</f>
        <v>4169.3559999999998</v>
      </c>
      <c r="U42">
        <f ca="1">IFERROR(IF(0=LEN(ReferenceData!$U$42),"",ReferenceData!$U$42),"")</f>
        <v>4040.0410000000002</v>
      </c>
      <c r="V42">
        <f ca="1">IFERROR(IF(0=LEN(ReferenceData!$V$42),"",ReferenceData!$V$42),"")</f>
        <v>4089.7620000000002</v>
      </c>
      <c r="W42">
        <f ca="1">IFERROR(IF(0=LEN(ReferenceData!$W$42),"",ReferenceData!$W$42),"")</f>
        <v>3671.4140000000002</v>
      </c>
      <c r="X42">
        <f ca="1">IFERROR(IF(0=LEN(ReferenceData!$X$42),"",ReferenceData!$X$42),"")</f>
        <v>3519.2260000000001</v>
      </c>
      <c r="Y42">
        <f ca="1">IFERROR(IF(0=LEN(ReferenceData!$Y$42),"",ReferenceData!$Y$42),"")</f>
        <v>3332.3809999999999</v>
      </c>
      <c r="Z42">
        <f ca="1">IFERROR(IF(0=LEN(ReferenceData!$Z$42),"",ReferenceData!$Z$42),"")</f>
        <v>3360.39</v>
      </c>
      <c r="AA42">
        <f ca="1">IFERROR(IF(0=LEN(ReferenceData!$AA$42),"",ReferenceData!$AA$42),"")</f>
        <v>3175.893</v>
      </c>
      <c r="AB42">
        <f ca="1">IFERROR(IF(0=LEN(ReferenceData!$AB$42),"",ReferenceData!$AB$42),"")</f>
        <v>3044.9659999999999</v>
      </c>
      <c r="AC42">
        <f ca="1">IFERROR(IF(0=LEN(ReferenceData!$AC$42),"",ReferenceData!$AC$42),"")</f>
        <v>2864.7040000000002</v>
      </c>
      <c r="AD42">
        <f ca="1">IFERROR(IF(0=LEN(ReferenceData!$AD$42),"",ReferenceData!$AD$42),"")</f>
        <v>2867.085</v>
      </c>
      <c r="AE42">
        <f ca="1">IFERROR(IF(0=LEN(ReferenceData!$AE$42),"",ReferenceData!$AE$42),"")</f>
        <v>2730.7220000000002</v>
      </c>
      <c r="AF42">
        <f ca="1">IFERROR(IF(0=LEN(ReferenceData!$AF$42),"",ReferenceData!$AF$42),"")</f>
        <v>2655.5659999999998</v>
      </c>
      <c r="AG42">
        <f ca="1">IFERROR(IF(0=LEN(ReferenceData!$AG$42),"",ReferenceData!$AG$42),"")</f>
        <v>2652.8040000000001</v>
      </c>
      <c r="AH42">
        <f ca="1">IFERROR(IF(0=LEN(ReferenceData!$AH$42),"",ReferenceData!$AH$42),"")</f>
        <v>2781.1419999999998</v>
      </c>
      <c r="AI42">
        <f ca="1">IFERROR(IF(0=LEN(ReferenceData!$AI$42),"",ReferenceData!$AI$42),"")</f>
        <v>2122.89</v>
      </c>
      <c r="AJ42">
        <f ca="1">IFERROR(IF(0=LEN(ReferenceData!$AJ$42),"",ReferenceData!$AJ$42),"")</f>
        <v>2076.1849999999999</v>
      </c>
      <c r="AK42">
        <f ca="1">IFERROR(IF(0=LEN(ReferenceData!$AK$42),"",ReferenceData!$AK$42),"")</f>
        <v>2078.0810000000001</v>
      </c>
      <c r="AL42">
        <f ca="1">IFERROR(IF(0=LEN(ReferenceData!$AL$42),"",ReferenceData!$AL$42),"")</f>
        <v>2207.7979999999998</v>
      </c>
      <c r="AM42">
        <f ca="1">IFERROR(IF(0=LEN(ReferenceData!$AM$42),"",ReferenceData!$AM$42),"")</f>
        <v>2072.279</v>
      </c>
      <c r="AN42">
        <f ca="1">IFERROR(IF(0=LEN(ReferenceData!$AN$42),"",ReferenceData!$AN$42),"")</f>
        <v>2057.8319999999999</v>
      </c>
      <c r="AO42">
        <f ca="1">IFERROR(IF(0=LEN(ReferenceData!$AO$42),"",ReferenceData!$AO$42),"")</f>
        <v>2084.19</v>
      </c>
      <c r="AP42">
        <f ca="1">IFERROR(IF(0=LEN(ReferenceData!$AP$42),"",ReferenceData!$AP$42),"")</f>
        <v>2230.9609999999998</v>
      </c>
      <c r="AQ42">
        <f ca="1">IFERROR(IF(0=LEN(ReferenceData!$AQ$42),"",ReferenceData!$AQ$42),"")</f>
        <v>2621.5740000000001</v>
      </c>
      <c r="AR42">
        <f ca="1">IFERROR(IF(0=LEN(ReferenceData!$AR$42),"",ReferenceData!$AR$42),"")</f>
        <v>2636.9389999999999</v>
      </c>
      <c r="AS42">
        <f ca="1">IFERROR(IF(0=LEN(ReferenceData!$AS$42),"",ReferenceData!$AS$42),"")</f>
        <v>2601.2530000000002</v>
      </c>
      <c r="AT42">
        <f ca="1">IFERROR(IF(0=LEN(ReferenceData!$AT$42),"",ReferenceData!$AT$42),"")</f>
        <v>2535.1244999999999</v>
      </c>
      <c r="AU42">
        <f ca="1">IFERROR(IF(0=LEN(ReferenceData!$AU$42),"",ReferenceData!$AU$42),"")</f>
        <v>2582.3890000000001</v>
      </c>
      <c r="AV42">
        <f ca="1">IFERROR(IF(0=LEN(ReferenceData!$AV$42),"",ReferenceData!$AV$42),"")</f>
        <v>2465.2629999999999</v>
      </c>
      <c r="AW42">
        <f ca="1">IFERROR(IF(0=LEN(ReferenceData!$AW$42),"",ReferenceData!$AW$42),"")</f>
        <v>2392.7359999999999</v>
      </c>
      <c r="AX42">
        <f ca="1">IFERROR(IF(0=LEN(ReferenceData!$AX$42),"",ReferenceData!$AX$42),"")</f>
        <v>2700.7919999999999</v>
      </c>
      <c r="AY42">
        <f ca="1">IFERROR(IF(0=LEN(ReferenceData!$AY$42),"",ReferenceData!$AY$42),"")</f>
        <v>2453.163</v>
      </c>
      <c r="AZ42">
        <f ca="1">IFERROR(IF(0=LEN(ReferenceData!$AZ$42),"",ReferenceData!$AZ$42),"")</f>
        <v>2531.0239999999999</v>
      </c>
      <c r="BA42">
        <f ca="1">IFERROR(IF(0=LEN(ReferenceData!$BA$42),"",ReferenceData!$BA$42),"")</f>
        <v>2584.1729999999998</v>
      </c>
      <c r="BB42">
        <f ca="1">IFERROR(IF(0=LEN(ReferenceData!$BB$42),"",ReferenceData!$BB$42),"")</f>
        <v>2693.4630000000002</v>
      </c>
      <c r="BC42">
        <f ca="1">IFERROR(IF(0=LEN(ReferenceData!$BC$42),"",ReferenceData!$BC$42),"")</f>
        <v>2536.5909999999999</v>
      </c>
      <c r="BD42">
        <f ca="1">IFERROR(IF(0=LEN(ReferenceData!$BD$42),"",ReferenceData!$BD$42),"")</f>
        <v>2490.8580000000002</v>
      </c>
      <c r="BE42">
        <f ca="1">IFERROR(IF(0=LEN(ReferenceData!$BE$42),"",ReferenceData!$BE$42),"")</f>
        <v>2439.6779999999999</v>
      </c>
      <c r="BF42">
        <f ca="1">IFERROR(IF(0=LEN(ReferenceData!$BF$42),"",ReferenceData!$BF$42),"")</f>
        <v>2504.0884999999998</v>
      </c>
      <c r="BG42">
        <f ca="1">IFERROR(IF(0=LEN(ReferenceData!$BG$42),"",ReferenceData!$BG$42),"")</f>
        <v>2228.3330000000001</v>
      </c>
      <c r="BH42">
        <f ca="1">IFERROR(IF(0=LEN(ReferenceData!$BH$42),"",ReferenceData!$BH$42),"")</f>
        <v>2190.9929999999999</v>
      </c>
      <c r="BI42">
        <f ca="1">IFERROR(IF(0=LEN(ReferenceData!$BI$42),"",ReferenceData!$BI$42),"")</f>
        <v>2140.299</v>
      </c>
      <c r="BJ42">
        <f ca="1">IFERROR(IF(0=LEN(ReferenceData!$BJ$42),"",ReferenceData!$BJ$42),"")</f>
        <v>2127.73</v>
      </c>
      <c r="BK42">
        <f ca="1">IFERROR(IF(0=LEN(ReferenceData!$BK$42),"",ReferenceData!$BK$42),"")</f>
        <v>1960.912</v>
      </c>
      <c r="BL42">
        <f ca="1">IFERROR(IF(0=LEN(ReferenceData!$BL$42),"",ReferenceData!$BL$42),"")</f>
        <v>1895.431</v>
      </c>
      <c r="BM42">
        <f ca="1">IFERROR(IF(0=LEN(ReferenceData!$BM$42),"",ReferenceData!$BM$42),"")</f>
        <v>1831.0540000000001</v>
      </c>
    </row>
    <row r="43" spans="1:65">
      <c r="A43" t="str">
        <f>IFERROR(IF(0=LEN(ReferenceData!$A$43),"",ReferenceData!$A$43),"")</f>
        <v xml:space="preserve">    Shopping Center REITs</v>
      </c>
      <c r="B43" t="str">
        <f>IFERROR(IF(0=LEN(ReferenceData!$B$43),"",ReferenceData!$B$43),"")</f>
        <v>RECFNOSC Index</v>
      </c>
      <c r="C43" t="str">
        <f>IFERROR(IF(0=LEN(ReferenceData!$C$43),"",ReferenceData!$C$43),"")</f>
        <v>PR005</v>
      </c>
      <c r="D43" t="str">
        <f>IFERROR(IF(0=LEN(ReferenceData!$D$43),"",ReferenceData!$D$43),"")</f>
        <v>PX_LAST</v>
      </c>
      <c r="E43" t="str">
        <f>IFERROR(IF(0=LEN(ReferenceData!$E$43),"",ReferenceData!$E$43),"")</f>
        <v>动态</v>
      </c>
      <c r="F43">
        <f ca="1">IFERROR(IF(0=LEN(ReferenceData!$F$43),"",ReferenceData!$F$43),"")</f>
        <v>1577.667751</v>
      </c>
      <c r="G43">
        <f ca="1">IFERROR(IF(0=LEN(ReferenceData!$G$43),"",ReferenceData!$G$43),"")</f>
        <v>1588.4970000000001</v>
      </c>
      <c r="H43">
        <f ca="1">IFERROR(IF(0=LEN(ReferenceData!$H$43),"",ReferenceData!$H$43),"")</f>
        <v>1583.4780000000001</v>
      </c>
      <c r="I43">
        <f ca="1">IFERROR(IF(0=LEN(ReferenceData!$I$43),"",ReferenceData!$I$43),"")</f>
        <v>1529.442</v>
      </c>
      <c r="J43">
        <f ca="1">IFERROR(IF(0=LEN(ReferenceData!$J$43),"",ReferenceData!$J$43),"")</f>
        <v>1562.5419999999999</v>
      </c>
      <c r="K43">
        <f ca="1">IFERROR(IF(0=LEN(ReferenceData!$K$43),"",ReferenceData!$K$43),"")</f>
        <v>1543.92</v>
      </c>
      <c r="L43">
        <f ca="1">IFERROR(IF(0=LEN(ReferenceData!$L$43),"",ReferenceData!$L$43),"")</f>
        <v>1587.818</v>
      </c>
      <c r="M43">
        <f ca="1">IFERROR(IF(0=LEN(ReferenceData!$M$43),"",ReferenceData!$M$43),"")</f>
        <v>1536.38</v>
      </c>
      <c r="N43">
        <f ca="1">IFERROR(IF(0=LEN(ReferenceData!$N$43),"",ReferenceData!$N$43),"")</f>
        <v>1554.068</v>
      </c>
      <c r="O43">
        <f ca="1">IFERROR(IF(0=LEN(ReferenceData!$O$43),"",ReferenceData!$O$43),"")</f>
        <v>1537.7660000000001</v>
      </c>
      <c r="P43">
        <f ca="1">IFERROR(IF(0=LEN(ReferenceData!$P$43),"",ReferenceData!$P$43),"")</f>
        <v>1550.7049999999999</v>
      </c>
      <c r="Q43">
        <f ca="1">IFERROR(IF(0=LEN(ReferenceData!$Q$43),"",ReferenceData!$Q$43),"")</f>
        <v>1522.6990000000001</v>
      </c>
      <c r="R43">
        <f ca="1">IFERROR(IF(0=LEN(ReferenceData!$R$43),"",ReferenceData!$R$43),"")</f>
        <v>1453.847</v>
      </c>
      <c r="S43">
        <f ca="1">IFERROR(IF(0=LEN(ReferenceData!$S$43),"",ReferenceData!$S$43),"")</f>
        <v>1472.192</v>
      </c>
      <c r="T43">
        <f ca="1">IFERROR(IF(0=LEN(ReferenceData!$T$43),"",ReferenceData!$T$43),"")</f>
        <v>1417.2170000000001</v>
      </c>
      <c r="U43">
        <f ca="1">IFERROR(IF(0=LEN(ReferenceData!$U$43),"",ReferenceData!$U$43),"")</f>
        <v>1396.4829999999999</v>
      </c>
      <c r="V43">
        <f ca="1">IFERROR(IF(0=LEN(ReferenceData!$V$43),"",ReferenceData!$V$43),"")</f>
        <v>1376.7539999999999</v>
      </c>
      <c r="W43">
        <f ca="1">IFERROR(IF(0=LEN(ReferenceData!$W$43),"",ReferenceData!$W$43),"")</f>
        <v>1094.444</v>
      </c>
      <c r="X43">
        <f ca="1">IFERROR(IF(0=LEN(ReferenceData!$X$43),"",ReferenceData!$X$43),"")</f>
        <v>1081.5989999999999</v>
      </c>
      <c r="Y43">
        <f ca="1">IFERROR(IF(0=LEN(ReferenceData!$Y$43),"",ReferenceData!$Y$43),"")</f>
        <v>1063.953</v>
      </c>
      <c r="Z43">
        <f ca="1">IFERROR(IF(0=LEN(ReferenceData!$Z$43),"",ReferenceData!$Z$43),"")</f>
        <v>1038.8599999999999</v>
      </c>
      <c r="AA43">
        <f ca="1">IFERROR(IF(0=LEN(ReferenceData!$AA$43),"",ReferenceData!$AA$43),"")</f>
        <v>1032.0050000000001</v>
      </c>
      <c r="AB43">
        <f ca="1">IFERROR(IF(0=LEN(ReferenceData!$AB$43),"",ReferenceData!$AB$43),"")</f>
        <v>1031.6210000000001</v>
      </c>
      <c r="AC43">
        <f ca="1">IFERROR(IF(0=LEN(ReferenceData!$AC$43),"",ReferenceData!$AC$43),"")</f>
        <v>900.97699999999998</v>
      </c>
      <c r="AD43">
        <f ca="1">IFERROR(IF(0=LEN(ReferenceData!$AD$43),"",ReferenceData!$AD$43),"")</f>
        <v>896.53499999999997</v>
      </c>
      <c r="AE43">
        <f ca="1">IFERROR(IF(0=LEN(ReferenceData!$AE$43),"",ReferenceData!$AE$43),"")</f>
        <v>878.33199999999999</v>
      </c>
      <c r="AF43">
        <f ca="1">IFERROR(IF(0=LEN(ReferenceData!$AF$43),"",ReferenceData!$AF$43),"")</f>
        <v>876.93299999999999</v>
      </c>
      <c r="AG43">
        <f ca="1">IFERROR(IF(0=LEN(ReferenceData!$AG$43),"",ReferenceData!$AG$43),"")</f>
        <v>868.08399999999995</v>
      </c>
      <c r="AH43">
        <f ca="1">IFERROR(IF(0=LEN(ReferenceData!$AH$43),"",ReferenceData!$AH$43),"")</f>
        <v>845.48900000000003</v>
      </c>
      <c r="AI43">
        <f ca="1">IFERROR(IF(0=LEN(ReferenceData!$AI$43),"",ReferenceData!$AI$43),"")</f>
        <v>832.10599999999999</v>
      </c>
      <c r="AJ43">
        <f ca="1">IFERROR(IF(0=LEN(ReferenceData!$AJ$43),"",ReferenceData!$AJ$43),"")</f>
        <v>824.755</v>
      </c>
      <c r="AK43">
        <f ca="1">IFERROR(IF(0=LEN(ReferenceData!$AK$43),"",ReferenceData!$AK$43),"")</f>
        <v>835.76199999999994</v>
      </c>
      <c r="AL43">
        <f ca="1">IFERROR(IF(0=LEN(ReferenceData!$AL$43),"",ReferenceData!$AL$43),"")</f>
        <v>832.01099999999997</v>
      </c>
      <c r="AM43">
        <f ca="1">IFERROR(IF(0=LEN(ReferenceData!$AM$43),"",ReferenceData!$AM$43),"")</f>
        <v>818.52099999999996</v>
      </c>
      <c r="AN43">
        <f ca="1">IFERROR(IF(0=LEN(ReferenceData!$AN$43),"",ReferenceData!$AN$43),"")</f>
        <v>803.43799999999999</v>
      </c>
      <c r="AO43">
        <f ca="1">IFERROR(IF(0=LEN(ReferenceData!$AO$43),"",ReferenceData!$AO$43),"")</f>
        <v>825.53499999999997</v>
      </c>
      <c r="AP43">
        <f ca="1">IFERROR(IF(0=LEN(ReferenceData!$AP$43),"",ReferenceData!$AP$43),"")</f>
        <v>821.26400000000001</v>
      </c>
      <c r="AQ43">
        <f ca="1">IFERROR(IF(0=LEN(ReferenceData!$AQ$43),"",ReferenceData!$AQ$43),"")</f>
        <v>820.95899999999995</v>
      </c>
      <c r="AR43">
        <f ca="1">IFERROR(IF(0=LEN(ReferenceData!$AR$43),"",ReferenceData!$AR$43),"")</f>
        <v>842.55700000000002</v>
      </c>
      <c r="AS43">
        <f ca="1">IFERROR(IF(0=LEN(ReferenceData!$AS$43),"",ReferenceData!$AS$43),"")</f>
        <v>820.83399999999995</v>
      </c>
      <c r="AT43">
        <f ca="1">IFERROR(IF(0=LEN(ReferenceData!$AT$43),"",ReferenceData!$AT$43),"")</f>
        <v>795.02700000000004</v>
      </c>
      <c r="AU43">
        <f ca="1">IFERROR(IF(0=LEN(ReferenceData!$AU$43),"",ReferenceData!$AU$43),"")</f>
        <v>805.10400000000004</v>
      </c>
      <c r="AV43">
        <f ca="1">IFERROR(IF(0=LEN(ReferenceData!$AV$43),"",ReferenceData!$AV$43),"")</f>
        <v>812.97900000000004</v>
      </c>
      <c r="AW43">
        <f ca="1">IFERROR(IF(0=LEN(ReferenceData!$AW$43),"",ReferenceData!$AW$43),"")</f>
        <v>778.87099999999998</v>
      </c>
      <c r="AX43">
        <f ca="1">IFERROR(IF(0=LEN(ReferenceData!$AX$43),"",ReferenceData!$AX$43),"")</f>
        <v>838.37</v>
      </c>
      <c r="AY43">
        <f ca="1">IFERROR(IF(0=LEN(ReferenceData!$AY$43),"",ReferenceData!$AY$43),"")</f>
        <v>819.97699999999998</v>
      </c>
      <c r="AZ43">
        <f ca="1">IFERROR(IF(0=LEN(ReferenceData!$AZ$43),"",ReferenceData!$AZ$43),"")</f>
        <v>928.48900000000003</v>
      </c>
      <c r="BA43">
        <f ca="1">IFERROR(IF(0=LEN(ReferenceData!$BA$43),"",ReferenceData!$BA$43),"")</f>
        <v>928.57</v>
      </c>
      <c r="BB43">
        <f ca="1">IFERROR(IF(0=LEN(ReferenceData!$BB$43),"",ReferenceData!$BB$43),"")</f>
        <v>908.02800000000002</v>
      </c>
      <c r="BC43">
        <f ca="1">IFERROR(IF(0=LEN(ReferenceData!$BC$43),"",ReferenceData!$BC$43),"")</f>
        <v>873.81100000000004</v>
      </c>
      <c r="BD43">
        <f ca="1">IFERROR(IF(0=LEN(ReferenceData!$BD$43),"",ReferenceData!$BD$43),"")</f>
        <v>877.51800000000003</v>
      </c>
      <c r="BE43">
        <f ca="1">IFERROR(IF(0=LEN(ReferenceData!$BE$43),"",ReferenceData!$BE$43),"")</f>
        <v>872.66600000000005</v>
      </c>
      <c r="BF43">
        <f ca="1">IFERROR(IF(0=LEN(ReferenceData!$BF$43),"",ReferenceData!$BF$43),"")</f>
        <v>865.69650000000001</v>
      </c>
      <c r="BG43">
        <f ca="1">IFERROR(IF(0=LEN(ReferenceData!$BG$43),"",ReferenceData!$BG$43),"")</f>
        <v>873.68</v>
      </c>
      <c r="BH43">
        <f ca="1">IFERROR(IF(0=LEN(ReferenceData!$BH$43),"",ReferenceData!$BH$43),"")</f>
        <v>882.74099999999999</v>
      </c>
      <c r="BI43">
        <f ca="1">IFERROR(IF(0=LEN(ReferenceData!$BI$43),"",ReferenceData!$BI$43),"")</f>
        <v>849.72900000000004</v>
      </c>
      <c r="BJ43">
        <f ca="1">IFERROR(IF(0=LEN(ReferenceData!$BJ$43),"",ReferenceData!$BJ$43),"")</f>
        <v>812.29250000000002</v>
      </c>
      <c r="BK43">
        <f ca="1">IFERROR(IF(0=LEN(ReferenceData!$BK$43),"",ReferenceData!$BK$43),"")</f>
        <v>782.505</v>
      </c>
      <c r="BL43">
        <f ca="1">IFERROR(IF(0=LEN(ReferenceData!$BL$43),"",ReferenceData!$BL$43),"")</f>
        <v>785.71299999999997</v>
      </c>
      <c r="BM43">
        <f ca="1">IFERROR(IF(0=LEN(ReferenceData!$BM$43),"",ReferenceData!$BM$43),"")</f>
        <v>753.48199999999997</v>
      </c>
    </row>
    <row r="44" spans="1:65">
      <c r="A44" t="str">
        <f>IFERROR(IF(0=LEN(ReferenceData!$A$44),"",ReferenceData!$A$44),"")</f>
        <v xml:space="preserve">    Regional Mall REITs</v>
      </c>
      <c r="B44" t="str">
        <f>IFERROR(IF(0=LEN(ReferenceData!$B$44),"",ReferenceData!$B$44),"")</f>
        <v>RECFNORM Index</v>
      </c>
      <c r="C44" t="str">
        <f>IFERROR(IF(0=LEN(ReferenceData!$C$44),"",ReferenceData!$C$44),"")</f>
        <v>PR005</v>
      </c>
      <c r="D44" t="str">
        <f>IFERROR(IF(0=LEN(ReferenceData!$D$44),"",ReferenceData!$D$44),"")</f>
        <v>PX_LAST</v>
      </c>
      <c r="E44" t="str">
        <f>IFERROR(IF(0=LEN(ReferenceData!$E$44),"",ReferenceData!$E$44),"")</f>
        <v>动态</v>
      </c>
      <c r="F44">
        <f ca="1">IFERROR(IF(0=LEN(ReferenceData!$F$44),"",ReferenceData!$F$44),"")</f>
        <v>2046.757333</v>
      </c>
      <c r="G44">
        <f ca="1">IFERROR(IF(0=LEN(ReferenceData!$G$44),"",ReferenceData!$G$44),"")</f>
        <v>1921.25</v>
      </c>
      <c r="H44">
        <f ca="1">IFERROR(IF(0=LEN(ReferenceData!$H$44),"",ReferenceData!$H$44),"")</f>
        <v>1933.9849999999999</v>
      </c>
      <c r="I44">
        <f ca="1">IFERROR(IF(0=LEN(ReferenceData!$I$44),"",ReferenceData!$I$44),"")</f>
        <v>1925.1369999999999</v>
      </c>
      <c r="J44">
        <f ca="1">IFERROR(IF(0=LEN(ReferenceData!$J$44),"",ReferenceData!$J$44),"")</f>
        <v>2091.4290000000001</v>
      </c>
      <c r="K44">
        <f ca="1">IFERROR(IF(0=LEN(ReferenceData!$K$44),"",ReferenceData!$K$44),"")</f>
        <v>1943.9190000000001</v>
      </c>
      <c r="L44">
        <f ca="1">IFERROR(IF(0=LEN(ReferenceData!$L$44),"",ReferenceData!$L$44),"")</f>
        <v>1942.0719999999999</v>
      </c>
      <c r="M44">
        <f ca="1">IFERROR(IF(0=LEN(ReferenceData!$M$44),"",ReferenceData!$M$44),"")</f>
        <v>2001.19</v>
      </c>
      <c r="N44">
        <f ca="1">IFERROR(IF(0=LEN(ReferenceData!$N$44),"",ReferenceData!$N$44),"")</f>
        <v>2187.4940000000001</v>
      </c>
      <c r="O44">
        <f ca="1">IFERROR(IF(0=LEN(ReferenceData!$O$44),"",ReferenceData!$O$44),"")</f>
        <v>2019.4839999999999</v>
      </c>
      <c r="P44">
        <f ca="1">IFERROR(IF(0=LEN(ReferenceData!$P$44),"",ReferenceData!$P$44),"")</f>
        <v>1995.625</v>
      </c>
      <c r="Q44">
        <f ca="1">IFERROR(IF(0=LEN(ReferenceData!$Q$44),"",ReferenceData!$Q$44),"")</f>
        <v>1976.327</v>
      </c>
      <c r="R44">
        <f ca="1">IFERROR(IF(0=LEN(ReferenceData!$R$44),"",ReferenceData!$R$44),"")</f>
        <v>2117.201</v>
      </c>
      <c r="S44">
        <f ca="1">IFERROR(IF(0=LEN(ReferenceData!$S$44),"",ReferenceData!$S$44),"")</f>
        <v>2016.076</v>
      </c>
      <c r="T44">
        <f ca="1">IFERROR(IF(0=LEN(ReferenceData!$T$44),"",ReferenceData!$T$44),"")</f>
        <v>1962.0830000000001</v>
      </c>
      <c r="U44">
        <f ca="1">IFERROR(IF(0=LEN(ReferenceData!$U$44),"",ReferenceData!$U$44),"")</f>
        <v>1934.7750000000001</v>
      </c>
      <c r="V44">
        <f ca="1">IFERROR(IF(0=LEN(ReferenceData!$V$44),"",ReferenceData!$V$44),"")</f>
        <v>2120.5659999999998</v>
      </c>
      <c r="W44">
        <f ca="1">IFERROR(IF(0=LEN(ReferenceData!$W$44),"",ReferenceData!$W$44),"")</f>
        <v>1906.0519999999999</v>
      </c>
      <c r="X44">
        <f ca="1">IFERROR(IF(0=LEN(ReferenceData!$X$44),"",ReferenceData!$X$44),"")</f>
        <v>1877.5239999999999</v>
      </c>
      <c r="Y44">
        <f ca="1">IFERROR(IF(0=LEN(ReferenceData!$Y$44),"",ReferenceData!$Y$44),"")</f>
        <v>1879.999</v>
      </c>
      <c r="Z44">
        <f ca="1">IFERROR(IF(0=LEN(ReferenceData!$Z$44),"",ReferenceData!$Z$44),"")</f>
        <v>2017.722</v>
      </c>
      <c r="AA44">
        <f ca="1">IFERROR(IF(0=LEN(ReferenceData!$AA$44),"",ReferenceData!$AA$44),"")</f>
        <v>1812.63</v>
      </c>
      <c r="AB44">
        <f ca="1">IFERROR(IF(0=LEN(ReferenceData!$AB$44),"",ReferenceData!$AB$44),"")</f>
        <v>1751.7260000000001</v>
      </c>
      <c r="AC44">
        <f ca="1">IFERROR(IF(0=LEN(ReferenceData!$AC$44),"",ReferenceData!$AC$44),"")</f>
        <v>1704.6089999999999</v>
      </c>
      <c r="AD44">
        <f ca="1">IFERROR(IF(0=LEN(ReferenceData!$AD$44),"",ReferenceData!$AD$44),"")</f>
        <v>1759.201</v>
      </c>
      <c r="AE44">
        <f ca="1">IFERROR(IF(0=LEN(ReferenceData!$AE$44),"",ReferenceData!$AE$44),"")</f>
        <v>1646.8589999999999</v>
      </c>
      <c r="AF44">
        <f ca="1">IFERROR(IF(0=LEN(ReferenceData!$AF$44),"",ReferenceData!$AF$44),"")</f>
        <v>1588.87</v>
      </c>
      <c r="AG44">
        <f ca="1">IFERROR(IF(0=LEN(ReferenceData!$AG$44),"",ReferenceData!$AG$44),"")</f>
        <v>1602.847</v>
      </c>
      <c r="AH44">
        <f ca="1">IFERROR(IF(0=LEN(ReferenceData!$AH$44),"",ReferenceData!$AH$44),"")</f>
        <v>1763.14</v>
      </c>
      <c r="AI44">
        <f ca="1">IFERROR(IF(0=LEN(ReferenceData!$AI$44),"",ReferenceData!$AI$44),"")</f>
        <v>1125.396</v>
      </c>
      <c r="AJ44">
        <f ca="1">IFERROR(IF(0=LEN(ReferenceData!$AJ$44),"",ReferenceData!$AJ$44),"")</f>
        <v>1091.4939999999999</v>
      </c>
      <c r="AK44">
        <f ca="1">IFERROR(IF(0=LEN(ReferenceData!$AK$44),"",ReferenceData!$AK$44),"")</f>
        <v>1083.6500000000001</v>
      </c>
      <c r="AL44">
        <f ca="1">IFERROR(IF(0=LEN(ReferenceData!$AL$44),"",ReferenceData!$AL$44),"")</f>
        <v>1216.2190000000001</v>
      </c>
      <c r="AM44">
        <f ca="1">IFERROR(IF(0=LEN(ReferenceData!$AM$44),"",ReferenceData!$AM$44),"")</f>
        <v>1097.9870000000001</v>
      </c>
      <c r="AN44">
        <f ca="1">IFERROR(IF(0=LEN(ReferenceData!$AN$44),"",ReferenceData!$AN$44),"")</f>
        <v>1096.8720000000001</v>
      </c>
      <c r="AO44">
        <f ca="1">IFERROR(IF(0=LEN(ReferenceData!$AO$44),"",ReferenceData!$AO$44),"")</f>
        <v>1101.992</v>
      </c>
      <c r="AP44">
        <f ca="1">IFERROR(IF(0=LEN(ReferenceData!$AP$44),"",ReferenceData!$AP$44),"")</f>
        <v>1252.5840000000001</v>
      </c>
      <c r="AQ44">
        <f ca="1">IFERROR(IF(0=LEN(ReferenceData!$AQ$44),"",ReferenceData!$AQ$44),"")</f>
        <v>1609.0540000000001</v>
      </c>
      <c r="AR44">
        <f ca="1">IFERROR(IF(0=LEN(ReferenceData!$AR$44),"",ReferenceData!$AR$44),"")</f>
        <v>1603.59</v>
      </c>
      <c r="AS44">
        <f ca="1">IFERROR(IF(0=LEN(ReferenceData!$AS$44),"",ReferenceData!$AS$44),"")</f>
        <v>1590.557</v>
      </c>
      <c r="AT44">
        <f ca="1">IFERROR(IF(0=LEN(ReferenceData!$AT$44),"",ReferenceData!$AT$44),"")</f>
        <v>1565.9190000000001</v>
      </c>
      <c r="AU44">
        <f ca="1">IFERROR(IF(0=LEN(ReferenceData!$AU$44),"",ReferenceData!$AU$44),"")</f>
        <v>1604.221</v>
      </c>
      <c r="AV44">
        <f ca="1">IFERROR(IF(0=LEN(ReferenceData!$AV$44),"",ReferenceData!$AV$44),"")</f>
        <v>1484.7249999999999</v>
      </c>
      <c r="AW44">
        <f ca="1">IFERROR(IF(0=LEN(ReferenceData!$AW$44),"",ReferenceData!$AW$44),"")</f>
        <v>1452.6130000000001</v>
      </c>
      <c r="AX44">
        <f ca="1">IFERROR(IF(0=LEN(ReferenceData!$AX$44),"",ReferenceData!$AX$44),"")</f>
        <v>1704.325</v>
      </c>
      <c r="AY44">
        <f ca="1">IFERROR(IF(0=LEN(ReferenceData!$AY$44),"",ReferenceData!$AY$44),"")</f>
        <v>1446.125</v>
      </c>
      <c r="AZ44">
        <f ca="1">IFERROR(IF(0=LEN(ReferenceData!$AZ$44),"",ReferenceData!$AZ$44),"")</f>
        <v>1419.2539999999999</v>
      </c>
      <c r="BA44">
        <f ca="1">IFERROR(IF(0=LEN(ReferenceData!$BA$44),"",ReferenceData!$BA$44),"")</f>
        <v>1474.8969999999999</v>
      </c>
      <c r="BB44">
        <f ca="1">IFERROR(IF(0=LEN(ReferenceData!$BB$44),"",ReferenceData!$BB$44),"")</f>
        <v>1607.86</v>
      </c>
      <c r="BC44">
        <f ca="1">IFERROR(IF(0=LEN(ReferenceData!$BC$44),"",ReferenceData!$BC$44),"")</f>
        <v>1497.114</v>
      </c>
      <c r="BD44">
        <f ca="1">IFERROR(IF(0=LEN(ReferenceData!$BD$44),"",ReferenceData!$BD$44),"")</f>
        <v>1450.8920000000001</v>
      </c>
      <c r="BE44">
        <f ca="1">IFERROR(IF(0=LEN(ReferenceData!$BE$44),"",ReferenceData!$BE$44),"")</f>
        <v>1421.8209999999999</v>
      </c>
      <c r="BF44">
        <f ca="1">IFERROR(IF(0=LEN(ReferenceData!$BF$44),"",ReferenceData!$BF$44),"")</f>
        <v>1515.731</v>
      </c>
      <c r="BG44">
        <f ca="1">IFERROR(IF(0=LEN(ReferenceData!$BG$44),"",ReferenceData!$BG$44),"")</f>
        <v>1221.55</v>
      </c>
      <c r="BH44">
        <f ca="1">IFERROR(IF(0=LEN(ReferenceData!$BH$44),"",ReferenceData!$BH$44),"")</f>
        <v>1179.53</v>
      </c>
      <c r="BI44">
        <f ca="1">IFERROR(IF(0=LEN(ReferenceData!$BI$44),"",ReferenceData!$BI$44),"")</f>
        <v>1164.8420000000001</v>
      </c>
      <c r="BJ44">
        <f ca="1">IFERROR(IF(0=LEN(ReferenceData!$BJ$44),"",ReferenceData!$BJ$44),"")</f>
        <v>1194.4815000000001</v>
      </c>
      <c r="BK44">
        <f ca="1">IFERROR(IF(0=LEN(ReferenceData!$BK$44),"",ReferenceData!$BK$44),"")</f>
        <v>1073.0440000000001</v>
      </c>
      <c r="BL44">
        <f ca="1">IFERROR(IF(0=LEN(ReferenceData!$BL$44),"",ReferenceData!$BL$44),"")</f>
        <v>1013.769</v>
      </c>
      <c r="BM44">
        <f ca="1">IFERROR(IF(0=LEN(ReferenceData!$BM$44),"",ReferenceData!$BM$44),"")</f>
        <v>983.98900000000003</v>
      </c>
    </row>
    <row r="45" spans="1:65">
      <c r="A45" t="str">
        <f>IFERROR(IF(0=LEN(ReferenceData!$A$45),"",ReferenceData!$A$45),"")</f>
        <v xml:space="preserve">    Free Standing Retail REITs</v>
      </c>
      <c r="B45" t="str">
        <f>IFERROR(IF(0=LEN(ReferenceData!$B$45),"",ReferenceData!$B$45),"")</f>
        <v>RECFNOFS Index</v>
      </c>
      <c r="C45" t="str">
        <f>IFERROR(IF(0=LEN(ReferenceData!$C$45),"",ReferenceData!$C$45),"")</f>
        <v>PR005</v>
      </c>
      <c r="D45" t="str">
        <f>IFERROR(IF(0=LEN(ReferenceData!$D$45),"",ReferenceData!$D$45),"")</f>
        <v>PX_LAST</v>
      </c>
      <c r="E45" t="str">
        <f>IFERROR(IF(0=LEN(ReferenceData!$E$45),"",ReferenceData!$E$45),"")</f>
        <v>动态</v>
      </c>
      <c r="F45">
        <f ca="1">IFERROR(IF(0=LEN(ReferenceData!$F$45),"",ReferenceData!$F$45),"")</f>
        <v>820.60869939999998</v>
      </c>
      <c r="G45">
        <f ca="1">IFERROR(IF(0=LEN(ReferenceData!$G$45),"",ReferenceData!$G$45),"")</f>
        <v>817.01800000000003</v>
      </c>
      <c r="H45">
        <f ca="1">IFERROR(IF(0=LEN(ReferenceData!$H$45),"",ReferenceData!$H$45),"")</f>
        <v>802.93399999999997</v>
      </c>
      <c r="I45">
        <f ca="1">IFERROR(IF(0=LEN(ReferenceData!$I$45),"",ReferenceData!$I$45),"")</f>
        <v>792.39499999999998</v>
      </c>
      <c r="J45">
        <f ca="1">IFERROR(IF(0=LEN(ReferenceData!$J$45),"",ReferenceData!$J$45),"")</f>
        <v>778.62699999999995</v>
      </c>
      <c r="K45">
        <f ca="1">IFERROR(IF(0=LEN(ReferenceData!$K$45),"",ReferenceData!$K$45),"")</f>
        <v>755.10199999999998</v>
      </c>
      <c r="L45">
        <f ca="1">IFERROR(IF(0=LEN(ReferenceData!$L$45),"",ReferenceData!$L$45),"")</f>
        <v>665.10299999999995</v>
      </c>
      <c r="M45">
        <f ca="1">IFERROR(IF(0=LEN(ReferenceData!$M$45),"",ReferenceData!$M$45),"")</f>
        <v>695.55499999999995</v>
      </c>
      <c r="N45">
        <f ca="1">IFERROR(IF(0=LEN(ReferenceData!$N$45),"",ReferenceData!$N$45),"")</f>
        <v>686.25599999999997</v>
      </c>
      <c r="O45">
        <f ca="1">IFERROR(IF(0=LEN(ReferenceData!$O$45),"",ReferenceData!$O$45),"")</f>
        <v>667.44</v>
      </c>
      <c r="P45">
        <f ca="1">IFERROR(IF(0=LEN(ReferenceData!$P$45),"",ReferenceData!$P$45),"")</f>
        <v>606.37699999999995</v>
      </c>
      <c r="Q45">
        <f ca="1">IFERROR(IF(0=LEN(ReferenceData!$Q$45),"",ReferenceData!$Q$45),"")</f>
        <v>918.50699999999995</v>
      </c>
      <c r="R45">
        <f ca="1">IFERROR(IF(0=LEN(ReferenceData!$R$45),"",ReferenceData!$R$45),"")</f>
        <v>903.13300000000004</v>
      </c>
      <c r="S45">
        <f ca="1">IFERROR(IF(0=LEN(ReferenceData!$S$45),"",ReferenceData!$S$45),"")</f>
        <v>855.84500000000003</v>
      </c>
      <c r="T45">
        <f ca="1">IFERROR(IF(0=LEN(ReferenceData!$T$45),"",ReferenceData!$T$45),"")</f>
        <v>790.05600000000004</v>
      </c>
      <c r="U45">
        <f ca="1">IFERROR(IF(0=LEN(ReferenceData!$U$45),"",ReferenceData!$U$45),"")</f>
        <v>708.78300000000002</v>
      </c>
      <c r="V45">
        <f ca="1">IFERROR(IF(0=LEN(ReferenceData!$V$45),"",ReferenceData!$V$45),"")</f>
        <v>592.44200000000001</v>
      </c>
      <c r="W45">
        <f ca="1">IFERROR(IF(0=LEN(ReferenceData!$W$45),"",ReferenceData!$W$45),"")</f>
        <v>670.91800000000001</v>
      </c>
      <c r="X45">
        <f ca="1">IFERROR(IF(0=LEN(ReferenceData!$X$45),"",ReferenceData!$X$45),"")</f>
        <v>560.10299999999995</v>
      </c>
      <c r="Y45">
        <f ca="1">IFERROR(IF(0=LEN(ReferenceData!$Y$45),"",ReferenceData!$Y$45),"")</f>
        <v>388.42899999999997</v>
      </c>
      <c r="Z45">
        <f ca="1">IFERROR(IF(0=LEN(ReferenceData!$Z$45),"",ReferenceData!$Z$45),"")</f>
        <v>303.80799999999999</v>
      </c>
      <c r="AA45">
        <f ca="1">IFERROR(IF(0=LEN(ReferenceData!$AA$45),"",ReferenceData!$AA$45),"")</f>
        <v>331.25799999999998</v>
      </c>
      <c r="AB45">
        <f ca="1">IFERROR(IF(0=LEN(ReferenceData!$AB$45),"",ReferenceData!$AB$45),"")</f>
        <v>261.61900000000003</v>
      </c>
      <c r="AC45">
        <f ca="1">IFERROR(IF(0=LEN(ReferenceData!$AC$45),"",ReferenceData!$AC$45),"")</f>
        <v>259.11799999999999</v>
      </c>
      <c r="AD45">
        <f ca="1">IFERROR(IF(0=LEN(ReferenceData!$AD$45),"",ReferenceData!$AD$45),"")</f>
        <v>211.34899999999999</v>
      </c>
      <c r="AE45">
        <f ca="1">IFERROR(IF(0=LEN(ReferenceData!$AE$45),"",ReferenceData!$AE$45),"")</f>
        <v>205.53100000000001</v>
      </c>
      <c r="AF45">
        <f ca="1">IFERROR(IF(0=LEN(ReferenceData!$AF$45),"",ReferenceData!$AF$45),"")</f>
        <v>189.76300000000001</v>
      </c>
      <c r="AG45">
        <f ca="1">IFERROR(IF(0=LEN(ReferenceData!$AG$45),"",ReferenceData!$AG$45),"")</f>
        <v>181.87299999999999</v>
      </c>
      <c r="AH45">
        <f ca="1">IFERROR(IF(0=LEN(ReferenceData!$AH$45),"",ReferenceData!$AH$45),"")</f>
        <v>172.51300000000001</v>
      </c>
      <c r="AI45">
        <f ca="1">IFERROR(IF(0=LEN(ReferenceData!$AI$45),"",ReferenceData!$AI$45),"")</f>
        <v>165.38800000000001</v>
      </c>
      <c r="AJ45">
        <f ca="1">IFERROR(IF(0=LEN(ReferenceData!$AJ$45),"",ReferenceData!$AJ$45),"")</f>
        <v>159.93600000000001</v>
      </c>
      <c r="AK45">
        <f ca="1">IFERROR(IF(0=LEN(ReferenceData!$AK$45),"",ReferenceData!$AK$45),"")</f>
        <v>158.66900000000001</v>
      </c>
      <c r="AL45">
        <f ca="1">IFERROR(IF(0=LEN(ReferenceData!$AL$45),"",ReferenceData!$AL$45),"")</f>
        <v>159.56800000000001</v>
      </c>
      <c r="AM45">
        <f ca="1">IFERROR(IF(0=LEN(ReferenceData!$AM$45),"",ReferenceData!$AM$45),"")</f>
        <v>155.77099999999999</v>
      </c>
      <c r="AN45">
        <f ca="1">IFERROR(IF(0=LEN(ReferenceData!$AN$45),"",ReferenceData!$AN$45),"")</f>
        <v>157.52199999999999</v>
      </c>
      <c r="AO45">
        <f ca="1">IFERROR(IF(0=LEN(ReferenceData!$AO$45),"",ReferenceData!$AO$45),"")</f>
        <v>156.66300000000001</v>
      </c>
      <c r="AP45">
        <f ca="1">IFERROR(IF(0=LEN(ReferenceData!$AP$45),"",ReferenceData!$AP$45),"")</f>
        <v>157.113</v>
      </c>
      <c r="AQ45">
        <f ca="1">IFERROR(IF(0=LEN(ReferenceData!$AQ$45),"",ReferenceData!$AQ$45),"")</f>
        <v>191.56100000000001</v>
      </c>
      <c r="AR45">
        <f ca="1">IFERROR(IF(0=LEN(ReferenceData!$AR$45),"",ReferenceData!$AR$45),"")</f>
        <v>190.792</v>
      </c>
      <c r="AS45">
        <f ca="1">IFERROR(IF(0=LEN(ReferenceData!$AS$45),"",ReferenceData!$AS$45),"")</f>
        <v>189.86199999999999</v>
      </c>
      <c r="AT45">
        <f ca="1">IFERROR(IF(0=LEN(ReferenceData!$AT$45),"",ReferenceData!$AT$45),"")</f>
        <v>174.17850000000001</v>
      </c>
      <c r="AU45">
        <f ca="1">IFERROR(IF(0=LEN(ReferenceData!$AU$45),"",ReferenceData!$AU$45),"")</f>
        <v>173.06399999999999</v>
      </c>
      <c r="AV45">
        <f ca="1">IFERROR(IF(0=LEN(ReferenceData!$AV$45),"",ReferenceData!$AV$45),"")</f>
        <v>167.559</v>
      </c>
      <c r="AW45">
        <f ca="1">IFERROR(IF(0=LEN(ReferenceData!$AW$45),"",ReferenceData!$AW$45),"")</f>
        <v>161.25200000000001</v>
      </c>
      <c r="AX45">
        <f ca="1">IFERROR(IF(0=LEN(ReferenceData!$AX$45),"",ReferenceData!$AX$45),"")</f>
        <v>158.09700000000001</v>
      </c>
      <c r="AY45">
        <f ca="1">IFERROR(IF(0=LEN(ReferenceData!$AY$45),"",ReferenceData!$AY$45),"")</f>
        <v>187.06100000000001</v>
      </c>
      <c r="AZ45">
        <f ca="1">IFERROR(IF(0=LEN(ReferenceData!$AZ$45),"",ReferenceData!$AZ$45),"")</f>
        <v>183.28100000000001</v>
      </c>
      <c r="BA45">
        <f ca="1">IFERROR(IF(0=LEN(ReferenceData!$BA$45),"",ReferenceData!$BA$45),"")</f>
        <v>180.70599999999999</v>
      </c>
      <c r="BB45">
        <f ca="1">IFERROR(IF(0=LEN(ReferenceData!$BB$45),"",ReferenceData!$BB$45),"")</f>
        <v>177.57499999999999</v>
      </c>
      <c r="BC45">
        <f ca="1">IFERROR(IF(0=LEN(ReferenceData!$BC$45),"",ReferenceData!$BC$45),"")</f>
        <v>165.666</v>
      </c>
      <c r="BD45">
        <f ca="1">IFERROR(IF(0=LEN(ReferenceData!$BD$45),"",ReferenceData!$BD$45),"")</f>
        <v>162.44800000000001</v>
      </c>
      <c r="BE45">
        <f ca="1">IFERROR(IF(0=LEN(ReferenceData!$BE$45),"",ReferenceData!$BE$45),"")</f>
        <v>145.191</v>
      </c>
      <c r="BF45">
        <f ca="1">IFERROR(IF(0=LEN(ReferenceData!$BF$45),"",ReferenceData!$BF$45),"")</f>
        <v>122.661</v>
      </c>
      <c r="BG45">
        <f ca="1">IFERROR(IF(0=LEN(ReferenceData!$BG$45),"",ReferenceData!$BG$45),"")</f>
        <v>133.10300000000001</v>
      </c>
      <c r="BH45">
        <f ca="1">IFERROR(IF(0=LEN(ReferenceData!$BH$45),"",ReferenceData!$BH$45),"")</f>
        <v>128.72200000000001</v>
      </c>
      <c r="BI45">
        <f ca="1">IFERROR(IF(0=LEN(ReferenceData!$BI$45),"",ReferenceData!$BI$45),"")</f>
        <v>125.72799999999999</v>
      </c>
      <c r="BJ45">
        <f ca="1">IFERROR(IF(0=LEN(ReferenceData!$BJ$45),"",ReferenceData!$BJ$45),"")</f>
        <v>120.956</v>
      </c>
      <c r="BK45">
        <f ca="1">IFERROR(IF(0=LEN(ReferenceData!$BK$45),"",ReferenceData!$BK$45),"")</f>
        <v>105.363</v>
      </c>
      <c r="BL45">
        <f ca="1">IFERROR(IF(0=LEN(ReferenceData!$BL$45),"",ReferenceData!$BL$45),"")</f>
        <v>95.948999999999998</v>
      </c>
      <c r="BM45">
        <f ca="1">IFERROR(IF(0=LEN(ReferenceData!$BM$45),"",ReferenceData!$BM$45),"")</f>
        <v>93.582999999999998</v>
      </c>
    </row>
    <row r="46" spans="1:65">
      <c r="A46" t="str">
        <f>IFERROR(IF(0=LEN(ReferenceData!$A$46),"",ReferenceData!$A$46),"")</f>
        <v xml:space="preserve">    Residential REITs</v>
      </c>
      <c r="B46" t="str">
        <f>IFERROR(IF(0=LEN(ReferenceData!$B$46),"",ReferenceData!$B$46),"")</f>
        <v>RECFNORS Index</v>
      </c>
      <c r="C46" t="str">
        <f>IFERROR(IF(0=LEN(ReferenceData!$C$46),"",ReferenceData!$C$46),"")</f>
        <v>PR005</v>
      </c>
      <c r="D46" t="str">
        <f>IFERROR(IF(0=LEN(ReferenceData!$D$46),"",ReferenceData!$D$46),"")</f>
        <v>PX_LAST</v>
      </c>
      <c r="E46" t="str">
        <f>IFERROR(IF(0=LEN(ReferenceData!$E$46),"",ReferenceData!$E$46),"")</f>
        <v>动态</v>
      </c>
      <c r="F46">
        <f ca="1">IFERROR(IF(0=LEN(ReferenceData!$F$46),"",ReferenceData!$F$46),"")</f>
        <v>2754.119467</v>
      </c>
      <c r="G46">
        <f ca="1">IFERROR(IF(0=LEN(ReferenceData!$G$46),"",ReferenceData!$G$46),"")</f>
        <v>2658.4229999999998</v>
      </c>
      <c r="H46">
        <f ca="1">IFERROR(IF(0=LEN(ReferenceData!$H$46),"",ReferenceData!$H$46),"")</f>
        <v>2646.4009999999998</v>
      </c>
      <c r="I46">
        <f ca="1">IFERROR(IF(0=LEN(ReferenceData!$I$46),"",ReferenceData!$I$46),"")</f>
        <v>2665.9070000000002</v>
      </c>
      <c r="J46">
        <f ca="1">IFERROR(IF(0=LEN(ReferenceData!$J$46),"",ReferenceData!$J$46),"")</f>
        <v>2456.0439999999999</v>
      </c>
      <c r="K46">
        <f ca="1">IFERROR(IF(0=LEN(ReferenceData!$K$46),"",ReferenceData!$K$46),"")</f>
        <v>2392.5770000000002</v>
      </c>
      <c r="L46">
        <f ca="1">IFERROR(IF(0=LEN(ReferenceData!$L$46),"",ReferenceData!$L$46),"")</f>
        <v>2357.018</v>
      </c>
      <c r="M46">
        <f ca="1">IFERROR(IF(0=LEN(ReferenceData!$M$46),"",ReferenceData!$M$46),"")</f>
        <v>2353.482</v>
      </c>
      <c r="N46">
        <f ca="1">IFERROR(IF(0=LEN(ReferenceData!$N$46),"",ReferenceData!$N$46),"")</f>
        <v>2360.35</v>
      </c>
      <c r="O46">
        <f ca="1">IFERROR(IF(0=LEN(ReferenceData!$O$46),"",ReferenceData!$O$46),"")</f>
        <v>2232.3710000000001</v>
      </c>
      <c r="P46">
        <f ca="1">IFERROR(IF(0=LEN(ReferenceData!$P$46),"",ReferenceData!$P$46),"")</f>
        <v>2355.3719999999998</v>
      </c>
      <c r="Q46">
        <f ca="1">IFERROR(IF(0=LEN(ReferenceData!$Q$46),"",ReferenceData!$Q$46),"")</f>
        <v>2275.674</v>
      </c>
      <c r="R46">
        <f ca="1">IFERROR(IF(0=LEN(ReferenceData!$R$46),"",ReferenceData!$R$46),"")</f>
        <v>2225.5715</v>
      </c>
      <c r="S46">
        <f ca="1">IFERROR(IF(0=LEN(ReferenceData!$S$46),"",ReferenceData!$S$46),"")</f>
        <v>2077.9290000000001</v>
      </c>
      <c r="T46">
        <f ca="1">IFERROR(IF(0=LEN(ReferenceData!$T$46),"",ReferenceData!$T$46),"")</f>
        <v>2037.04</v>
      </c>
      <c r="U46">
        <f ca="1">IFERROR(IF(0=LEN(ReferenceData!$U$46),"",ReferenceData!$U$46),"")</f>
        <v>1902.9390000000001</v>
      </c>
      <c r="V46">
        <f ca="1">IFERROR(IF(0=LEN(ReferenceData!$V$46),"",ReferenceData!$V$46),"")</f>
        <v>1972.425</v>
      </c>
      <c r="W46">
        <f ca="1">IFERROR(IF(0=LEN(ReferenceData!$W$46),"",ReferenceData!$W$46),"")</f>
        <v>1815.75</v>
      </c>
      <c r="X46">
        <f ca="1">IFERROR(IF(0=LEN(ReferenceData!$X$46),"",ReferenceData!$X$46),"")</f>
        <v>1855.6859999999999</v>
      </c>
      <c r="Y46">
        <f ca="1">IFERROR(IF(0=LEN(ReferenceData!$Y$46),"",ReferenceData!$Y$46),"")</f>
        <v>1733.444</v>
      </c>
      <c r="Z46">
        <f ca="1">IFERROR(IF(0=LEN(ReferenceData!$Z$46),"",ReferenceData!$Z$46),"")</f>
        <v>1687.6990000000001</v>
      </c>
      <c r="AA46">
        <f ca="1">IFERROR(IF(0=LEN(ReferenceData!$AA$46),"",ReferenceData!$AA$46),"")</f>
        <v>1621.655</v>
      </c>
      <c r="AB46">
        <f ca="1">IFERROR(IF(0=LEN(ReferenceData!$AB$46),"",ReferenceData!$AB$46),"")</f>
        <v>1592.5530000000001</v>
      </c>
      <c r="AC46">
        <f ca="1">IFERROR(IF(0=LEN(ReferenceData!$AC$46),"",ReferenceData!$AC$46),"")</f>
        <v>1571.6479999999999</v>
      </c>
      <c r="AD46">
        <f ca="1">IFERROR(IF(0=LEN(ReferenceData!$AD$46),"",ReferenceData!$AD$46),"")</f>
        <v>1538.701</v>
      </c>
      <c r="AE46">
        <f ca="1">IFERROR(IF(0=LEN(ReferenceData!$AE$46),"",ReferenceData!$AE$46),"")</f>
        <v>1462.8009999999999</v>
      </c>
      <c r="AF46">
        <f ca="1">IFERROR(IF(0=LEN(ReferenceData!$AF$46),"",ReferenceData!$AF$46),"")</f>
        <v>1425.921</v>
      </c>
      <c r="AG46">
        <f ca="1">IFERROR(IF(0=LEN(ReferenceData!$AG$46),"",ReferenceData!$AG$46),"")</f>
        <v>1405.64</v>
      </c>
      <c r="AH46">
        <f ca="1">IFERROR(IF(0=LEN(ReferenceData!$AH$46),"",ReferenceData!$AH$46),"")</f>
        <v>1380.7460000000001</v>
      </c>
      <c r="AI46">
        <f ca="1">IFERROR(IF(0=LEN(ReferenceData!$AI$46),"",ReferenceData!$AI$46),"")</f>
        <v>1316.0909999999999</v>
      </c>
      <c r="AJ46">
        <f ca="1">IFERROR(IF(0=LEN(ReferenceData!$AJ$46),"",ReferenceData!$AJ$46),"")</f>
        <v>1295.627</v>
      </c>
      <c r="AK46">
        <f ca="1">IFERROR(IF(0=LEN(ReferenceData!$AK$46),"",ReferenceData!$AK$46),"")</f>
        <v>1271.4159999999999</v>
      </c>
      <c r="AL46">
        <f ca="1">IFERROR(IF(0=LEN(ReferenceData!$AL$46),"",ReferenceData!$AL$46),"")</f>
        <v>1285.4929999999999</v>
      </c>
      <c r="AM46">
        <f ca="1">IFERROR(IF(0=LEN(ReferenceData!$AM$46),"",ReferenceData!$AM$46),"")</f>
        <v>1271.22</v>
      </c>
      <c r="AN46">
        <f ca="1">IFERROR(IF(0=LEN(ReferenceData!$AN$46),"",ReferenceData!$AN$46),"")</f>
        <v>1323.952</v>
      </c>
      <c r="AO46">
        <f ca="1">IFERROR(IF(0=LEN(ReferenceData!$AO$46),"",ReferenceData!$AO$46),"")</f>
        <v>1342.9670000000001</v>
      </c>
      <c r="AP46">
        <f ca="1">IFERROR(IF(0=LEN(ReferenceData!$AP$46),"",ReferenceData!$AP$46),"")</f>
        <v>1298.1495</v>
      </c>
      <c r="AQ46">
        <f ca="1">IFERROR(IF(0=LEN(ReferenceData!$AQ$46),"",ReferenceData!$AQ$46),"")</f>
        <v>1328.4179999999999</v>
      </c>
      <c r="AR46">
        <f ca="1">IFERROR(IF(0=LEN(ReferenceData!$AR$46),"",ReferenceData!$AR$46),"")</f>
        <v>1354.479</v>
      </c>
      <c r="AS46">
        <f ca="1">IFERROR(IF(0=LEN(ReferenceData!$AS$46),"",ReferenceData!$AS$46),"")</f>
        <v>1369.528</v>
      </c>
      <c r="AT46">
        <f ca="1">IFERROR(IF(0=LEN(ReferenceData!$AT$46),"",ReferenceData!$AT$46),"")</f>
        <v>1402.9390000000001</v>
      </c>
      <c r="AU46">
        <f ca="1">IFERROR(IF(0=LEN(ReferenceData!$AU$46),"",ReferenceData!$AU$46),"")</f>
        <v>1375.337</v>
      </c>
      <c r="AV46">
        <f ca="1">IFERROR(IF(0=LEN(ReferenceData!$AV$46),"",ReferenceData!$AV$46),"")</f>
        <v>1536.7429999999999</v>
      </c>
      <c r="AW46">
        <f ca="1">IFERROR(IF(0=LEN(ReferenceData!$AW$46),"",ReferenceData!$AW$46),"")</f>
        <v>1512.7</v>
      </c>
      <c r="AX46">
        <f ca="1">IFERROR(IF(0=LEN(ReferenceData!$AX$46),"",ReferenceData!$AX$46),"")</f>
        <v>1505.9925000000001</v>
      </c>
      <c r="AY46">
        <f ca="1">IFERROR(IF(0=LEN(ReferenceData!$AY$46),"",ReferenceData!$AY$46),"")</f>
        <v>1494.13</v>
      </c>
      <c r="AZ46">
        <f ca="1">IFERROR(IF(0=LEN(ReferenceData!$AZ$46),"",ReferenceData!$AZ$46),"")</f>
        <v>1483.5029999999999</v>
      </c>
      <c r="BA46">
        <f ca="1">IFERROR(IF(0=LEN(ReferenceData!$BA$46),"",ReferenceData!$BA$46),"")</f>
        <v>1455.1849999999999</v>
      </c>
      <c r="BB46">
        <f ca="1">IFERROR(IF(0=LEN(ReferenceData!$BB$46),"",ReferenceData!$BB$46),"")</f>
        <v>1439.086</v>
      </c>
      <c r="BC46">
        <f ca="1">IFERROR(IF(0=LEN(ReferenceData!$BC$46),"",ReferenceData!$BC$46),"")</f>
        <v>1387.6489999999999</v>
      </c>
      <c r="BD46">
        <f ca="1">IFERROR(IF(0=LEN(ReferenceData!$BD$46),"",ReferenceData!$BD$46),"")</f>
        <v>1437.442</v>
      </c>
      <c r="BE46">
        <f ca="1">IFERROR(IF(0=LEN(ReferenceData!$BE$46),"",ReferenceData!$BE$46),"")</f>
        <v>1380.9970000000001</v>
      </c>
      <c r="BF46">
        <f ca="1">IFERROR(IF(0=LEN(ReferenceData!$BF$46),"",ReferenceData!$BF$46),"")</f>
        <v>1345.4369999999999</v>
      </c>
      <c r="BG46">
        <f ca="1">IFERROR(IF(0=LEN(ReferenceData!$BG$46),"",ReferenceData!$BG$46),"")</f>
        <v>1343.6210000000001</v>
      </c>
      <c r="BH46">
        <f ca="1">IFERROR(IF(0=LEN(ReferenceData!$BH$46),"",ReferenceData!$BH$46),"")</f>
        <v>1369.287</v>
      </c>
      <c r="BI46">
        <f ca="1">IFERROR(IF(0=LEN(ReferenceData!$BI$46),"",ReferenceData!$BI$46),"")</f>
        <v>1332.9960000000001</v>
      </c>
      <c r="BJ46">
        <f ca="1">IFERROR(IF(0=LEN(ReferenceData!$BJ$46),"",ReferenceData!$BJ$46),"")</f>
        <v>1291.0039999999999</v>
      </c>
      <c r="BK46">
        <f ca="1">IFERROR(IF(0=LEN(ReferenceData!$BK$46),"",ReferenceData!$BK$46),"")</f>
        <v>1294.6759999999999</v>
      </c>
      <c r="BL46">
        <f ca="1">IFERROR(IF(0=LEN(ReferenceData!$BL$46),"",ReferenceData!$BL$46),"")</f>
        <v>1360.5429999999999</v>
      </c>
      <c r="BM46">
        <f ca="1">IFERROR(IF(0=LEN(ReferenceData!$BM$46),"",ReferenceData!$BM$46),"")</f>
        <v>1331.904</v>
      </c>
    </row>
    <row r="47" spans="1:65">
      <c r="A47" t="str">
        <f>IFERROR(IF(0=LEN(ReferenceData!$A$47),"",ReferenceData!$A$47),"")</f>
        <v xml:space="preserve">    Apartment REITs</v>
      </c>
      <c r="B47" t="str">
        <f>IFERROR(IF(0=LEN(ReferenceData!$B$47),"",ReferenceData!$B$47),"")</f>
        <v>RECFNOAP Index</v>
      </c>
      <c r="C47" t="str">
        <f>IFERROR(IF(0=LEN(ReferenceData!$C$47),"",ReferenceData!$C$47),"")</f>
        <v>PR005</v>
      </c>
      <c r="D47" t="str">
        <f>IFERROR(IF(0=LEN(ReferenceData!$D$47),"",ReferenceData!$D$47),"")</f>
        <v>PX_LAST</v>
      </c>
      <c r="E47" t="str">
        <f>IFERROR(IF(0=LEN(ReferenceData!$E$47),"",ReferenceData!$E$47),"")</f>
        <v>动态</v>
      </c>
      <c r="F47">
        <f ca="1">IFERROR(IF(0=LEN(ReferenceData!$F$47),"",ReferenceData!$F$47),"")</f>
        <v>2141.3017209999998</v>
      </c>
      <c r="G47">
        <f ca="1">IFERROR(IF(0=LEN(ReferenceData!$G$47),"",ReferenceData!$G$47),"")</f>
        <v>2003.3030000000001</v>
      </c>
      <c r="H47">
        <f ca="1">IFERROR(IF(0=LEN(ReferenceData!$H$47),"",ReferenceData!$H$47),"")</f>
        <v>2023.7049999999999</v>
      </c>
      <c r="I47">
        <f ca="1">IFERROR(IF(0=LEN(ReferenceData!$I$47),"",ReferenceData!$I$47),"")</f>
        <v>2012.2619999999999</v>
      </c>
      <c r="J47">
        <f ca="1">IFERROR(IF(0=LEN(ReferenceData!$J$47),"",ReferenceData!$J$47),"")</f>
        <v>1978.77</v>
      </c>
      <c r="K47">
        <f ca="1">IFERROR(IF(0=LEN(ReferenceData!$K$47),"",ReferenceData!$K$47),"")</f>
        <v>1924.7080000000001</v>
      </c>
      <c r="L47">
        <f ca="1">IFERROR(IF(0=LEN(ReferenceData!$L$47),"",ReferenceData!$L$47),"")</f>
        <v>1919.617</v>
      </c>
      <c r="M47">
        <f ca="1">IFERROR(IF(0=LEN(ReferenceData!$M$47),"",ReferenceData!$M$47),"")</f>
        <v>1921.7159999999999</v>
      </c>
      <c r="N47">
        <f ca="1">IFERROR(IF(0=LEN(ReferenceData!$N$47),"",ReferenceData!$N$47),"")</f>
        <v>1986.1179999999999</v>
      </c>
      <c r="O47">
        <f ca="1">IFERROR(IF(0=LEN(ReferenceData!$O$47),"",ReferenceData!$O$47),"")</f>
        <v>1853.348</v>
      </c>
      <c r="P47">
        <f ca="1">IFERROR(IF(0=LEN(ReferenceData!$P$47),"",ReferenceData!$P$47),"")</f>
        <v>2017.0650000000001</v>
      </c>
      <c r="Q47">
        <f ca="1">IFERROR(IF(0=LEN(ReferenceData!$Q$47),"",ReferenceData!$Q$47),"")</f>
        <v>1941.152</v>
      </c>
      <c r="R47">
        <f ca="1">IFERROR(IF(0=LEN(ReferenceData!$R$47),"",ReferenceData!$R$47),"")</f>
        <v>1953.6344999999999</v>
      </c>
      <c r="S47">
        <f ca="1">IFERROR(IF(0=LEN(ReferenceData!$S$47),"",ReferenceData!$S$47),"")</f>
        <v>1817.4929999999999</v>
      </c>
      <c r="T47">
        <f ca="1">IFERROR(IF(0=LEN(ReferenceData!$T$47),"",ReferenceData!$T$47),"")</f>
        <v>1791.0239999999999</v>
      </c>
      <c r="U47">
        <f ca="1">IFERROR(IF(0=LEN(ReferenceData!$U$47),"",ReferenceData!$U$47),"")</f>
        <v>1670.5530000000001</v>
      </c>
      <c r="V47">
        <f ca="1">IFERROR(IF(0=LEN(ReferenceData!$V$47),"",ReferenceData!$V$47),"")</f>
        <v>1775.7729999999999</v>
      </c>
      <c r="W47">
        <f ca="1">IFERROR(IF(0=LEN(ReferenceData!$W$47),"",ReferenceData!$W$47),"")</f>
        <v>1629.01</v>
      </c>
      <c r="X47">
        <f ca="1">IFERROR(IF(0=LEN(ReferenceData!$X$47),"",ReferenceData!$X$47),"")</f>
        <v>1702.7149999999999</v>
      </c>
      <c r="Y47">
        <f ca="1">IFERROR(IF(0=LEN(ReferenceData!$Y$47),"",ReferenceData!$Y$47),"")</f>
        <v>1567.925</v>
      </c>
      <c r="Z47">
        <f ca="1">IFERROR(IF(0=LEN(ReferenceData!$Z$47),"",ReferenceData!$Z$47),"")</f>
        <v>1545.973</v>
      </c>
      <c r="AA47">
        <f ca="1">IFERROR(IF(0=LEN(ReferenceData!$AA$47),"",ReferenceData!$AA$47),"")</f>
        <v>1484.886</v>
      </c>
      <c r="AB47">
        <f ca="1">IFERROR(IF(0=LEN(ReferenceData!$AB$47),"",ReferenceData!$AB$47),"")</f>
        <v>1460.11</v>
      </c>
      <c r="AC47">
        <f ca="1">IFERROR(IF(0=LEN(ReferenceData!$AC$47),"",ReferenceData!$AC$47),"")</f>
        <v>1425.346</v>
      </c>
      <c r="AD47">
        <f ca="1">IFERROR(IF(0=LEN(ReferenceData!$AD$47),"",ReferenceData!$AD$47),"")</f>
        <v>1411.42</v>
      </c>
      <c r="AE47">
        <f ca="1">IFERROR(IF(0=LEN(ReferenceData!$AE$47),"",ReferenceData!$AE$47),"")</f>
        <v>1342.7</v>
      </c>
      <c r="AF47">
        <f ca="1">IFERROR(IF(0=LEN(ReferenceData!$AF$47),"",ReferenceData!$AF$47),"")</f>
        <v>1327.5630000000001</v>
      </c>
      <c r="AG47">
        <f ca="1">IFERROR(IF(0=LEN(ReferenceData!$AG$47),"",ReferenceData!$AG$47),"")</f>
        <v>1293.971</v>
      </c>
      <c r="AH47">
        <f ca="1">IFERROR(IF(0=LEN(ReferenceData!$AH$47),"",ReferenceData!$AH$47),"")</f>
        <v>1282.1400000000001</v>
      </c>
      <c r="AI47">
        <f ca="1">IFERROR(IF(0=LEN(ReferenceData!$AI$47),"",ReferenceData!$AI$47),"")</f>
        <v>1218.6579999999999</v>
      </c>
      <c r="AJ47">
        <f ca="1">IFERROR(IF(0=LEN(ReferenceData!$AJ$47),"",ReferenceData!$AJ$47),"")</f>
        <v>1202.251</v>
      </c>
      <c r="AK47">
        <f ca="1">IFERROR(IF(0=LEN(ReferenceData!$AK$47),"",ReferenceData!$AK$47),"")</f>
        <v>1164.643</v>
      </c>
      <c r="AL47">
        <f ca="1">IFERROR(IF(0=LEN(ReferenceData!$AL$47),"",ReferenceData!$AL$47),"")</f>
        <v>1190.2439999999999</v>
      </c>
      <c r="AM47">
        <f ca="1">IFERROR(IF(0=LEN(ReferenceData!$AM$47),"",ReferenceData!$AM$47),"")</f>
        <v>1176.896</v>
      </c>
      <c r="AN47">
        <f ca="1">IFERROR(IF(0=LEN(ReferenceData!$AN$47),"",ReferenceData!$AN$47),"")</f>
        <v>1233.0719999999999</v>
      </c>
      <c r="AO47">
        <f ca="1">IFERROR(IF(0=LEN(ReferenceData!$AO$47),"",ReferenceData!$AO$47),"")</f>
        <v>1239.9749999999999</v>
      </c>
      <c r="AP47">
        <f ca="1">IFERROR(IF(0=LEN(ReferenceData!$AP$47),"",ReferenceData!$AP$47),"")</f>
        <v>1208.9804999999999</v>
      </c>
      <c r="AQ47">
        <f ca="1">IFERROR(IF(0=LEN(ReferenceData!$AQ$47),"",ReferenceData!$AQ$47),"")</f>
        <v>1235.2149999999999</v>
      </c>
      <c r="AR47">
        <f ca="1">IFERROR(IF(0=LEN(ReferenceData!$AR$47),"",ReferenceData!$AR$47),"")</f>
        <v>1265.6210000000001</v>
      </c>
      <c r="AS47">
        <f ca="1">IFERROR(IF(0=LEN(ReferenceData!$AS$47),"",ReferenceData!$AS$47),"")</f>
        <v>1263.931</v>
      </c>
      <c r="AT47">
        <f ca="1">IFERROR(IF(0=LEN(ReferenceData!$AT$47),"",ReferenceData!$AT$47),"")</f>
        <v>1305.3209999999999</v>
      </c>
      <c r="AU47">
        <f ca="1">IFERROR(IF(0=LEN(ReferenceData!$AU$47),"",ReferenceData!$AU$47),"")</f>
        <v>1285.4780000000001</v>
      </c>
      <c r="AV47">
        <f ca="1">IFERROR(IF(0=LEN(ReferenceData!$AV$47),"",ReferenceData!$AV$47),"")</f>
        <v>1447.394</v>
      </c>
      <c r="AW47">
        <f ca="1">IFERROR(IF(0=LEN(ReferenceData!$AW$47),"",ReferenceData!$AW$47),"")</f>
        <v>1409.61</v>
      </c>
      <c r="AX47">
        <f ca="1">IFERROR(IF(0=LEN(ReferenceData!$AX$47),"",ReferenceData!$AX$47),"")</f>
        <v>1416.9565</v>
      </c>
      <c r="AY47">
        <f ca="1">IFERROR(IF(0=LEN(ReferenceData!$AY$47),"",ReferenceData!$AY$47),"")</f>
        <v>1406.585</v>
      </c>
      <c r="AZ47">
        <f ca="1">IFERROR(IF(0=LEN(ReferenceData!$AZ$47),"",ReferenceData!$AZ$47),"")</f>
        <v>1396.5329999999999</v>
      </c>
      <c r="BA47">
        <f ca="1">IFERROR(IF(0=LEN(ReferenceData!$BA$47),"",ReferenceData!$BA$47),"")</f>
        <v>1357.4839999999999</v>
      </c>
      <c r="BB47">
        <f ca="1">IFERROR(IF(0=LEN(ReferenceData!$BB$47),"",ReferenceData!$BB$47),"")</f>
        <v>1329.1949999999999</v>
      </c>
      <c r="BC47">
        <f ca="1">IFERROR(IF(0=LEN(ReferenceData!$BC$47),"",ReferenceData!$BC$47),"")</f>
        <v>1288.33</v>
      </c>
      <c r="BD47">
        <f ca="1">IFERROR(IF(0=LEN(ReferenceData!$BD$47),"",ReferenceData!$BD$47),"")</f>
        <v>1330.7670000000001</v>
      </c>
      <c r="BE47">
        <f ca="1">IFERROR(IF(0=LEN(ReferenceData!$BE$47),"",ReferenceData!$BE$47),"")</f>
        <v>1263.6110000000001</v>
      </c>
      <c r="BF47">
        <f ca="1">IFERROR(IF(0=LEN(ReferenceData!$BF$47),"",ReferenceData!$BF$47),"")</f>
        <v>1247.71</v>
      </c>
      <c r="BG47">
        <f ca="1">IFERROR(IF(0=LEN(ReferenceData!$BG$47),"",ReferenceData!$BG$47),"")</f>
        <v>1239.903</v>
      </c>
      <c r="BH47">
        <f ca="1">IFERROR(IF(0=LEN(ReferenceData!$BH$47),"",ReferenceData!$BH$47),"")</f>
        <v>1263.6959999999999</v>
      </c>
      <c r="BI47">
        <f ca="1">IFERROR(IF(0=LEN(ReferenceData!$BI$47),"",ReferenceData!$BI$47),"")</f>
        <v>1228.4929999999999</v>
      </c>
      <c r="BJ47">
        <f ca="1">IFERROR(IF(0=LEN(ReferenceData!$BJ$47),"",ReferenceData!$BJ$47),"")</f>
        <v>1221.1189999999999</v>
      </c>
      <c r="BK47">
        <f ca="1">IFERROR(IF(0=LEN(ReferenceData!$BK$47),"",ReferenceData!$BK$47),"")</f>
        <v>1228.498</v>
      </c>
      <c r="BL47">
        <f ca="1">IFERROR(IF(0=LEN(ReferenceData!$BL$47),"",ReferenceData!$BL$47),"")</f>
        <v>1247.357</v>
      </c>
      <c r="BM47">
        <f ca="1">IFERROR(IF(0=LEN(ReferenceData!$BM$47),"",ReferenceData!$BM$47),"")</f>
        <v>1219.6610000000001</v>
      </c>
    </row>
    <row r="48" spans="1:65">
      <c r="A48" t="str">
        <f>IFERROR(IF(0=LEN(ReferenceData!$A$48),"",ReferenceData!$A$48),"")</f>
        <v xml:space="preserve">    Manufactured Home REITs</v>
      </c>
      <c r="B48" t="str">
        <f>IFERROR(IF(0=LEN(ReferenceData!$B$48),"",ReferenceData!$B$48),"")</f>
        <v>RECFNOMH Index</v>
      </c>
      <c r="C48" t="str">
        <f>IFERROR(IF(0=LEN(ReferenceData!$C$48),"",ReferenceData!$C$48),"")</f>
        <v>PR005</v>
      </c>
      <c r="D48" t="str">
        <f>IFERROR(IF(0=LEN(ReferenceData!$D$48),"",ReferenceData!$D$48),"")</f>
        <v>PX_LAST</v>
      </c>
      <c r="E48" t="str">
        <f>IFERROR(IF(0=LEN(ReferenceData!$E$48),"",ReferenceData!$E$48),"")</f>
        <v>动态</v>
      </c>
      <c r="F48">
        <f ca="1">IFERROR(IF(0=LEN(ReferenceData!$F$48),"",ReferenceData!$F$48),"")</f>
        <v>258.4562401</v>
      </c>
      <c r="G48">
        <f ca="1">IFERROR(IF(0=LEN(ReferenceData!$G$48),"",ReferenceData!$G$48),"")</f>
        <v>267.2</v>
      </c>
      <c r="H48">
        <f ca="1">IFERROR(IF(0=LEN(ReferenceData!$H$48),"",ReferenceData!$H$48),"")</f>
        <v>248.06899999999999</v>
      </c>
      <c r="I48">
        <f ca="1">IFERROR(IF(0=LEN(ReferenceData!$I$48),"",ReferenceData!$I$48),"")</f>
        <v>272.077</v>
      </c>
      <c r="J48">
        <f ca="1">IFERROR(IF(0=LEN(ReferenceData!$J$48),"",ReferenceData!$J$48),"")</f>
        <v>239.17</v>
      </c>
      <c r="K48">
        <f ca="1">IFERROR(IF(0=LEN(ReferenceData!$K$48),"",ReferenceData!$K$48),"")</f>
        <v>248.583</v>
      </c>
      <c r="L48">
        <f ca="1">IFERROR(IF(0=LEN(ReferenceData!$L$48),"",ReferenceData!$L$48),"")</f>
        <v>218.28200000000001</v>
      </c>
      <c r="M48">
        <f ca="1">IFERROR(IF(0=LEN(ReferenceData!$M$48),"",ReferenceData!$M$48),"")</f>
        <v>227.29599999999999</v>
      </c>
      <c r="N48">
        <f ca="1">IFERROR(IF(0=LEN(ReferenceData!$N$48),"",ReferenceData!$N$48),"")</f>
        <v>202.667</v>
      </c>
      <c r="O48">
        <f ca="1">IFERROR(IF(0=LEN(ReferenceData!$O$48),"",ReferenceData!$O$48),"")</f>
        <v>210.02</v>
      </c>
      <c r="P48">
        <f ca="1">IFERROR(IF(0=LEN(ReferenceData!$P$48),"",ReferenceData!$P$48),"")</f>
        <v>197.48099999999999</v>
      </c>
      <c r="Q48">
        <f ca="1">IFERROR(IF(0=LEN(ReferenceData!$Q$48),"",ReferenceData!$Q$48),"")</f>
        <v>208.48500000000001</v>
      </c>
      <c r="R48">
        <f ca="1">IFERROR(IF(0=LEN(ReferenceData!$R$48),"",ReferenceData!$R$48),"")</f>
        <v>169.608</v>
      </c>
      <c r="S48">
        <f ca="1">IFERROR(IF(0=LEN(ReferenceData!$S$48),"",ReferenceData!$S$48),"")</f>
        <v>169.17599999999999</v>
      </c>
      <c r="T48">
        <f ca="1">IFERROR(IF(0=LEN(ReferenceData!$T$48),"",ReferenceData!$T$48),"")</f>
        <v>160.29</v>
      </c>
      <c r="U48">
        <f ca="1">IFERROR(IF(0=LEN(ReferenceData!$U$48),"",ReferenceData!$U$48),"")</f>
        <v>171.58</v>
      </c>
      <c r="V48">
        <f ca="1">IFERROR(IF(0=LEN(ReferenceData!$V$48),"",ReferenceData!$V$48),"")</f>
        <v>152.06800000000001</v>
      </c>
      <c r="W48">
        <f ca="1">IFERROR(IF(0=LEN(ReferenceData!$W$48),"",ReferenceData!$W$48),"")</f>
        <v>152.99</v>
      </c>
      <c r="X48">
        <f ca="1">IFERROR(IF(0=LEN(ReferenceData!$X$48),"",ReferenceData!$X$48),"")</f>
        <v>145.881</v>
      </c>
      <c r="Y48">
        <f ca="1">IFERROR(IF(0=LEN(ReferenceData!$Y$48),"",ReferenceData!$Y$48),"")</f>
        <v>163.36799999999999</v>
      </c>
      <c r="Z48">
        <f ca="1">IFERROR(IF(0=LEN(ReferenceData!$Z$48),"",ReferenceData!$Z$48),"")</f>
        <v>141.18899999999999</v>
      </c>
      <c r="AA48">
        <f ca="1">IFERROR(IF(0=LEN(ReferenceData!$AA$48),"",ReferenceData!$AA$48),"")</f>
        <v>136.76900000000001</v>
      </c>
      <c r="AB48">
        <f ca="1">IFERROR(IF(0=LEN(ReferenceData!$AB$48),"",ReferenceData!$AB$48),"")</f>
        <v>132.44300000000001</v>
      </c>
      <c r="AC48">
        <f ca="1">IFERROR(IF(0=LEN(ReferenceData!$AC$48),"",ReferenceData!$AC$48),"")</f>
        <v>146.30199999999999</v>
      </c>
      <c r="AD48">
        <f ca="1">IFERROR(IF(0=LEN(ReferenceData!$AD$48),"",ReferenceData!$AD$48),"")</f>
        <v>127.28100000000001</v>
      </c>
      <c r="AE48">
        <f ca="1">IFERROR(IF(0=LEN(ReferenceData!$AE$48),"",ReferenceData!$AE$48),"")</f>
        <v>120.101</v>
      </c>
      <c r="AF48">
        <f ca="1">IFERROR(IF(0=LEN(ReferenceData!$AF$48),"",ReferenceData!$AF$48),"")</f>
        <v>98.358000000000004</v>
      </c>
      <c r="AG48">
        <f ca="1">IFERROR(IF(0=LEN(ReferenceData!$AG$48),"",ReferenceData!$AG$48),"")</f>
        <v>111.669</v>
      </c>
      <c r="AH48">
        <f ca="1">IFERROR(IF(0=LEN(ReferenceData!$AH$48),"",ReferenceData!$AH$48),"")</f>
        <v>98.605999999999995</v>
      </c>
      <c r="AI48">
        <f ca="1">IFERROR(IF(0=LEN(ReferenceData!$AI$48),"",ReferenceData!$AI$48),"")</f>
        <v>97.433000000000007</v>
      </c>
      <c r="AJ48">
        <f ca="1">IFERROR(IF(0=LEN(ReferenceData!$AJ$48),"",ReferenceData!$AJ$48),"")</f>
        <v>93.376000000000005</v>
      </c>
      <c r="AK48">
        <f ca="1">IFERROR(IF(0=LEN(ReferenceData!$AK$48),"",ReferenceData!$AK$48),"")</f>
        <v>106.773</v>
      </c>
      <c r="AL48">
        <f ca="1">IFERROR(IF(0=LEN(ReferenceData!$AL$48),"",ReferenceData!$AL$48),"")</f>
        <v>95.248999999999995</v>
      </c>
      <c r="AM48">
        <f ca="1">IFERROR(IF(0=LEN(ReferenceData!$AM$48),"",ReferenceData!$AM$48),"")</f>
        <v>94.323999999999998</v>
      </c>
      <c r="AN48">
        <f ca="1">IFERROR(IF(0=LEN(ReferenceData!$AN$48),"",ReferenceData!$AN$48),"")</f>
        <v>90.88</v>
      </c>
      <c r="AO48">
        <f ca="1">IFERROR(IF(0=LEN(ReferenceData!$AO$48),"",ReferenceData!$AO$48),"")</f>
        <v>102.992</v>
      </c>
      <c r="AP48">
        <f ca="1">IFERROR(IF(0=LEN(ReferenceData!$AP$48),"",ReferenceData!$AP$48),"")</f>
        <v>89.168999999999997</v>
      </c>
      <c r="AQ48">
        <f ca="1">IFERROR(IF(0=LEN(ReferenceData!$AQ$48),"",ReferenceData!$AQ$48),"")</f>
        <v>93.203000000000003</v>
      </c>
      <c r="AR48">
        <f ca="1">IFERROR(IF(0=LEN(ReferenceData!$AR$48),"",ReferenceData!$AR$48),"")</f>
        <v>88.858000000000004</v>
      </c>
      <c r="AS48">
        <f ca="1">IFERROR(IF(0=LEN(ReferenceData!$AS$48),"",ReferenceData!$AS$48),"")</f>
        <v>105.59699999999999</v>
      </c>
      <c r="AT48">
        <f ca="1">IFERROR(IF(0=LEN(ReferenceData!$AT$48),"",ReferenceData!$AT$48),"")</f>
        <v>97.617999999999995</v>
      </c>
      <c r="AU48">
        <f ca="1">IFERROR(IF(0=LEN(ReferenceData!$AU$48),"",ReferenceData!$AU$48),"")</f>
        <v>89.858999999999995</v>
      </c>
      <c r="AV48">
        <f ca="1">IFERROR(IF(0=LEN(ReferenceData!$AV$48),"",ReferenceData!$AV$48),"")</f>
        <v>89.349000000000004</v>
      </c>
      <c r="AW48">
        <f ca="1">IFERROR(IF(0=LEN(ReferenceData!$AW$48),"",ReferenceData!$AW$48),"")</f>
        <v>103.09</v>
      </c>
      <c r="AX48">
        <f ca="1">IFERROR(IF(0=LEN(ReferenceData!$AX$48),"",ReferenceData!$AX$48),"")</f>
        <v>89.036000000000001</v>
      </c>
      <c r="AY48">
        <f ca="1">IFERROR(IF(0=LEN(ReferenceData!$AY$48),"",ReferenceData!$AY$48),"")</f>
        <v>87.545000000000002</v>
      </c>
      <c r="AZ48">
        <f ca="1">IFERROR(IF(0=LEN(ReferenceData!$AZ$48),"",ReferenceData!$AZ$48),"")</f>
        <v>86.97</v>
      </c>
      <c r="BA48">
        <f ca="1">IFERROR(IF(0=LEN(ReferenceData!$BA$48),"",ReferenceData!$BA$48),"")</f>
        <v>97.700999999999993</v>
      </c>
      <c r="BB48">
        <f ca="1">IFERROR(IF(0=LEN(ReferenceData!$BB$48),"",ReferenceData!$BB$48),"")</f>
        <v>109.89100000000001</v>
      </c>
      <c r="BC48">
        <f ca="1">IFERROR(IF(0=LEN(ReferenceData!$BC$48),"",ReferenceData!$BC$48),"")</f>
        <v>99.319000000000003</v>
      </c>
      <c r="BD48">
        <f ca="1">IFERROR(IF(0=LEN(ReferenceData!$BD$48),"",ReferenceData!$BD$48),"")</f>
        <v>106.675</v>
      </c>
      <c r="BE48">
        <f ca="1">IFERROR(IF(0=LEN(ReferenceData!$BE$48),"",ReferenceData!$BE$48),"")</f>
        <v>117.386</v>
      </c>
      <c r="BF48">
        <f ca="1">IFERROR(IF(0=LEN(ReferenceData!$BF$48),"",ReferenceData!$BF$48),"")</f>
        <v>97.727000000000004</v>
      </c>
      <c r="BG48">
        <f ca="1">IFERROR(IF(0=LEN(ReferenceData!$BG$48),"",ReferenceData!$BG$48),"")</f>
        <v>103.718</v>
      </c>
      <c r="BH48">
        <f ca="1">IFERROR(IF(0=LEN(ReferenceData!$BH$48),"",ReferenceData!$BH$48),"")</f>
        <v>105.59099999999999</v>
      </c>
      <c r="BI48">
        <f ca="1">IFERROR(IF(0=LEN(ReferenceData!$BI$48),"",ReferenceData!$BI$48),"")</f>
        <v>104.503</v>
      </c>
      <c r="BJ48">
        <f ca="1">IFERROR(IF(0=LEN(ReferenceData!$BJ$48),"",ReferenceData!$BJ$48),"")</f>
        <v>69.885000000000005</v>
      </c>
      <c r="BK48">
        <f ca="1">IFERROR(IF(0=LEN(ReferenceData!$BK$48),"",ReferenceData!$BK$48),"")</f>
        <v>66.177999999999997</v>
      </c>
      <c r="BL48">
        <f ca="1">IFERROR(IF(0=LEN(ReferenceData!$BL$48),"",ReferenceData!$BL$48),"")</f>
        <v>113.18600000000001</v>
      </c>
      <c r="BM48">
        <f ca="1">IFERROR(IF(0=LEN(ReferenceData!$BM$48),"",ReferenceData!$BM$48),"")</f>
        <v>112.24299999999999</v>
      </c>
    </row>
    <row r="49" spans="1:65">
      <c r="A49" t="str">
        <f>IFERROR(IF(0=LEN(ReferenceData!$A$49),"",ReferenceData!$A$49),"")</f>
        <v xml:space="preserve">    Single Family Rental REITs</v>
      </c>
      <c r="B49" t="str">
        <f>IFERROR(IF(0=LEN(ReferenceData!$B$49),"",ReferenceData!$B$49),"")</f>
        <v>RECFNOSF Index</v>
      </c>
      <c r="C49" t="str">
        <f>IFERROR(IF(0=LEN(ReferenceData!$C$49),"",ReferenceData!$C$49),"")</f>
        <v>PR005</v>
      </c>
      <c r="D49" t="str">
        <f>IFERROR(IF(0=LEN(ReferenceData!$D$49),"",ReferenceData!$D$49),"")</f>
        <v>PX_LAST</v>
      </c>
      <c r="E49" t="str">
        <f>IFERROR(IF(0=LEN(ReferenceData!$E$49),"",ReferenceData!$E$49),"")</f>
        <v>动态</v>
      </c>
      <c r="F49">
        <f ca="1">IFERROR(IF(0=LEN(ReferenceData!$F$49),"",ReferenceData!$F$49),"")</f>
        <v>354.36150579999997</v>
      </c>
      <c r="G49">
        <f ca="1">IFERROR(IF(0=LEN(ReferenceData!$G$49),"",ReferenceData!$G$49),"")</f>
        <v>387.92</v>
      </c>
      <c r="H49">
        <f ca="1">IFERROR(IF(0=LEN(ReferenceData!$H$49),"",ReferenceData!$H$49),"")</f>
        <v>374.62700000000001</v>
      </c>
      <c r="I49">
        <f ca="1">IFERROR(IF(0=LEN(ReferenceData!$I$49),"",ReferenceData!$I$49),"")</f>
        <v>381.56799999999998</v>
      </c>
      <c r="J49">
        <f ca="1">IFERROR(IF(0=LEN(ReferenceData!$J$49),"",ReferenceData!$J$49),"")</f>
        <v>238.10400000000001</v>
      </c>
      <c r="K49">
        <f ca="1">IFERROR(IF(0=LEN(ReferenceData!$K$49),"",ReferenceData!$K$49),"")</f>
        <v>219.286</v>
      </c>
      <c r="L49">
        <f ca="1">IFERROR(IF(0=LEN(ReferenceData!$L$49),"",ReferenceData!$L$49),"")</f>
        <v>219.119</v>
      </c>
      <c r="M49">
        <f ca="1">IFERROR(IF(0=LEN(ReferenceData!$M$49),"",ReferenceData!$M$49),"")</f>
        <v>204.47</v>
      </c>
      <c r="N49">
        <f ca="1">IFERROR(IF(0=LEN(ReferenceData!$N$49),"",ReferenceData!$N$49),"")</f>
        <v>171.565</v>
      </c>
      <c r="O49">
        <f ca="1">IFERROR(IF(0=LEN(ReferenceData!$O$49),"",ReferenceData!$O$49),"")</f>
        <v>169.00299999999999</v>
      </c>
      <c r="P49">
        <f ca="1">IFERROR(IF(0=LEN(ReferenceData!$P$49),"",ReferenceData!$P$49),"")</f>
        <v>140.82599999999999</v>
      </c>
      <c r="Q49">
        <f ca="1">IFERROR(IF(0=LEN(ReferenceData!$Q$49),"",ReferenceData!$Q$49),"")</f>
        <v>126.03700000000001</v>
      </c>
      <c r="R49">
        <f ca="1">IFERROR(IF(0=LEN(ReferenceData!$R$49),"",ReferenceData!$R$49),"")</f>
        <v>102.32899999999999</v>
      </c>
      <c r="S49">
        <f ca="1">IFERROR(IF(0=LEN(ReferenceData!$S$49),"",ReferenceData!$S$49),"")</f>
        <v>91.26</v>
      </c>
      <c r="T49">
        <f ca="1">IFERROR(IF(0=LEN(ReferenceData!$T$49),"",ReferenceData!$T$49),"")</f>
        <v>85.725999999999999</v>
      </c>
      <c r="U49">
        <f ca="1">IFERROR(IF(0=LEN(ReferenceData!$U$49),"",ReferenceData!$U$49),"")</f>
        <v>60.805999999999997</v>
      </c>
      <c r="V49">
        <f ca="1">IFERROR(IF(0=LEN(ReferenceData!$V$49),"",ReferenceData!$V$49),"")</f>
        <v>44.584000000000003</v>
      </c>
      <c r="W49">
        <f ca="1">IFERROR(IF(0=LEN(ReferenceData!$W$49),"",ReferenceData!$W$49),"")</f>
        <v>33.75</v>
      </c>
      <c r="X49">
        <f ca="1">IFERROR(IF(0=LEN(ReferenceData!$X$49),"",ReferenceData!$X$49),"")</f>
        <v>7.09</v>
      </c>
      <c r="Y49">
        <f ca="1">IFERROR(IF(0=LEN(ReferenceData!$Y$49),"",ReferenceData!$Y$49),"")</f>
        <v>2.1509999999999998</v>
      </c>
      <c r="Z49">
        <f ca="1">IFERROR(IF(0=LEN(ReferenceData!$Z$49),"",ReferenceData!$Z$49),"")</f>
        <v>0.53700000000000003</v>
      </c>
      <c r="AA49">
        <f ca="1">IFERROR(IF(0=LEN(ReferenceData!$AA$49),"",ReferenceData!$AA$49),"")</f>
        <v>0</v>
      </c>
      <c r="AB49">
        <f ca="1">IFERROR(IF(0=LEN(ReferenceData!$AB$49),"",ReferenceData!$AB$49),"")</f>
        <v>0</v>
      </c>
      <c r="AC49">
        <f ca="1">IFERROR(IF(0=LEN(ReferenceData!$AC$49),"",ReferenceData!$AC$49),"")</f>
        <v>0</v>
      </c>
      <c r="AD49">
        <f ca="1">IFERROR(IF(0=LEN(ReferenceData!$AD$49),"",ReferenceData!$AD$49),"")</f>
        <v>0</v>
      </c>
      <c r="AE49">
        <f ca="1">IFERROR(IF(0=LEN(ReferenceData!$AE$49),"",ReferenceData!$AE$49),"")</f>
        <v>0</v>
      </c>
      <c r="AF49">
        <f ca="1">IFERROR(IF(0=LEN(ReferenceData!$AF$49),"",ReferenceData!$AF$49),"")</f>
        <v>0</v>
      </c>
      <c r="AG49">
        <f ca="1">IFERROR(IF(0=LEN(ReferenceData!$AG$49),"",ReferenceData!$AG$49),"")</f>
        <v>0</v>
      </c>
      <c r="AH49">
        <f ca="1">IFERROR(IF(0=LEN(ReferenceData!$AH$49),"",ReferenceData!$AH$49),"")</f>
        <v>0</v>
      </c>
      <c r="AI49">
        <f ca="1">IFERROR(IF(0=LEN(ReferenceData!$AI$49),"",ReferenceData!$AI$49),"")</f>
        <v>0</v>
      </c>
      <c r="AJ49">
        <f ca="1">IFERROR(IF(0=LEN(ReferenceData!$AJ$49),"",ReferenceData!$AJ$49),"")</f>
        <v>0</v>
      </c>
      <c r="AK49">
        <f ca="1">IFERROR(IF(0=LEN(ReferenceData!$AK$49),"",ReferenceData!$AK$49),"")</f>
        <v>0</v>
      </c>
      <c r="AL49">
        <f ca="1">IFERROR(IF(0=LEN(ReferenceData!$AL$49),"",ReferenceData!$AL$49),"")</f>
        <v>0</v>
      </c>
      <c r="AM49">
        <f ca="1">IFERROR(IF(0=LEN(ReferenceData!$AM$49),"",ReferenceData!$AM$49),"")</f>
        <v>0</v>
      </c>
      <c r="AN49">
        <f ca="1">IFERROR(IF(0=LEN(ReferenceData!$AN$49),"",ReferenceData!$AN$49),"")</f>
        <v>0</v>
      </c>
      <c r="AO49">
        <f ca="1">IFERROR(IF(0=LEN(ReferenceData!$AO$49),"",ReferenceData!$AO$49),"")</f>
        <v>0</v>
      </c>
      <c r="AP49">
        <f ca="1">IFERROR(IF(0=LEN(ReferenceData!$AP$49),"",ReferenceData!$AP$49),"")</f>
        <v>0</v>
      </c>
      <c r="AQ49">
        <f ca="1">IFERROR(IF(0=LEN(ReferenceData!$AQ$49),"",ReferenceData!$AQ$49),"")</f>
        <v>0</v>
      </c>
      <c r="AR49">
        <f ca="1">IFERROR(IF(0=LEN(ReferenceData!$AR$49),"",ReferenceData!$AR$49),"")</f>
        <v>0</v>
      </c>
      <c r="AS49">
        <f ca="1">IFERROR(IF(0=LEN(ReferenceData!$AS$49),"",ReferenceData!$AS$49),"")</f>
        <v>0</v>
      </c>
      <c r="AT49">
        <f ca="1">IFERROR(IF(0=LEN(ReferenceData!$AT$49),"",ReferenceData!$AT$49),"")</f>
        <v>0</v>
      </c>
      <c r="AU49">
        <f ca="1">IFERROR(IF(0=LEN(ReferenceData!$AU$49),"",ReferenceData!$AU$49),"")</f>
        <v>0</v>
      </c>
      <c r="AV49">
        <f ca="1">IFERROR(IF(0=LEN(ReferenceData!$AV$49),"",ReferenceData!$AV$49),"")</f>
        <v>0</v>
      </c>
      <c r="AW49">
        <f ca="1">IFERROR(IF(0=LEN(ReferenceData!$AW$49),"",ReferenceData!$AW$49),"")</f>
        <v>0</v>
      </c>
      <c r="AX49">
        <f ca="1">IFERROR(IF(0=LEN(ReferenceData!$AX$49),"",ReferenceData!$AX$49),"")</f>
        <v>0</v>
      </c>
      <c r="AY49">
        <f ca="1">IFERROR(IF(0=LEN(ReferenceData!$AY$49),"",ReferenceData!$AY$49),"")</f>
        <v>0</v>
      </c>
      <c r="AZ49">
        <f ca="1">IFERROR(IF(0=LEN(ReferenceData!$AZ$49),"",ReferenceData!$AZ$49),"")</f>
        <v>0</v>
      </c>
      <c r="BA49">
        <f ca="1">IFERROR(IF(0=LEN(ReferenceData!$BA$49),"",ReferenceData!$BA$49),"")</f>
        <v>0</v>
      </c>
      <c r="BB49">
        <f ca="1">IFERROR(IF(0=LEN(ReferenceData!$BB$49),"",ReferenceData!$BB$49),"")</f>
        <v>0</v>
      </c>
      <c r="BC49">
        <f ca="1">IFERROR(IF(0=LEN(ReferenceData!$BC$49),"",ReferenceData!$BC$49),"")</f>
        <v>0</v>
      </c>
      <c r="BD49">
        <f ca="1">IFERROR(IF(0=LEN(ReferenceData!$BD$49),"",ReferenceData!$BD$49),"")</f>
        <v>0</v>
      </c>
      <c r="BE49">
        <f ca="1">IFERROR(IF(0=LEN(ReferenceData!$BE$49),"",ReferenceData!$BE$49),"")</f>
        <v>0</v>
      </c>
      <c r="BF49">
        <f ca="1">IFERROR(IF(0=LEN(ReferenceData!$BF$49),"",ReferenceData!$BF$49),"")</f>
        <v>0</v>
      </c>
      <c r="BG49">
        <f ca="1">IFERROR(IF(0=LEN(ReferenceData!$BG$49),"",ReferenceData!$BG$49),"")</f>
        <v>0</v>
      </c>
      <c r="BH49">
        <f ca="1">IFERROR(IF(0=LEN(ReferenceData!$BH$49),"",ReferenceData!$BH$49),"")</f>
        <v>0</v>
      </c>
      <c r="BI49">
        <f ca="1">IFERROR(IF(0=LEN(ReferenceData!$BI$49),"",ReferenceData!$BI$49),"")</f>
        <v>0</v>
      </c>
      <c r="BJ49">
        <f ca="1">IFERROR(IF(0=LEN(ReferenceData!$BJ$49),"",ReferenceData!$BJ$49),"")</f>
        <v>0</v>
      </c>
      <c r="BK49">
        <f ca="1">IFERROR(IF(0=LEN(ReferenceData!$BK$49),"",ReferenceData!$BK$49),"")</f>
        <v>0</v>
      </c>
      <c r="BL49">
        <f ca="1">IFERROR(IF(0=LEN(ReferenceData!$BL$49),"",ReferenceData!$BL$49),"")</f>
        <v>0</v>
      </c>
      <c r="BM49">
        <f ca="1">IFERROR(IF(0=LEN(ReferenceData!$BM$49),"",ReferenceData!$BM$49),"")</f>
        <v>0</v>
      </c>
    </row>
    <row r="50" spans="1:65">
      <c r="A50" t="str">
        <f>IFERROR(IF(0=LEN(ReferenceData!$A$50),"",ReferenceData!$A$50),"")</f>
        <v xml:space="preserve">    Diversified REITs</v>
      </c>
      <c r="B50" t="str">
        <f>IFERROR(IF(0=LEN(ReferenceData!$B$50),"",ReferenceData!$B$50),"")</f>
        <v>RECFNODV Index</v>
      </c>
      <c r="C50" t="str">
        <f>IFERROR(IF(0=LEN(ReferenceData!$C$50),"",ReferenceData!$C$50),"")</f>
        <v>PR005</v>
      </c>
      <c r="D50" t="str">
        <f>IFERROR(IF(0=LEN(ReferenceData!$D$50),"",ReferenceData!$D$50),"")</f>
        <v>PX_LAST</v>
      </c>
      <c r="E50" t="str">
        <f>IFERROR(IF(0=LEN(ReferenceData!$E$50),"",ReferenceData!$E$50),"")</f>
        <v>动态</v>
      </c>
      <c r="F50">
        <f ca="1">IFERROR(IF(0=LEN(ReferenceData!$F$50),"",ReferenceData!$F$50),"")</f>
        <v>1745.7711690000001</v>
      </c>
      <c r="G50">
        <f ca="1">IFERROR(IF(0=LEN(ReferenceData!$G$50),"",ReferenceData!$G$50),"")</f>
        <v>1727.1079999999999</v>
      </c>
      <c r="H50">
        <f ca="1">IFERROR(IF(0=LEN(ReferenceData!$H$50),"",ReferenceData!$H$50),"")</f>
        <v>1666.732</v>
      </c>
      <c r="I50">
        <f ca="1">IFERROR(IF(0=LEN(ReferenceData!$I$50),"",ReferenceData!$I$50),"")</f>
        <v>1604.2139999999999</v>
      </c>
      <c r="J50">
        <f ca="1">IFERROR(IF(0=LEN(ReferenceData!$J$50),"",ReferenceData!$J$50),"")</f>
        <v>1469.271</v>
      </c>
      <c r="K50">
        <f ca="1">IFERROR(IF(0=LEN(ReferenceData!$K$50),"",ReferenceData!$K$50),"")</f>
        <v>1598.567</v>
      </c>
      <c r="L50">
        <f ca="1">IFERROR(IF(0=LEN(ReferenceData!$L$50),"",ReferenceData!$L$50),"")</f>
        <v>1526.3810000000001</v>
      </c>
      <c r="M50">
        <f ca="1">IFERROR(IF(0=LEN(ReferenceData!$M$50),"",ReferenceData!$M$50),"")</f>
        <v>1422.5070000000001</v>
      </c>
      <c r="N50">
        <f ca="1">IFERROR(IF(0=LEN(ReferenceData!$N$50),"",ReferenceData!$N$50),"")</f>
        <v>1412.604</v>
      </c>
      <c r="O50">
        <f ca="1">IFERROR(IF(0=LEN(ReferenceData!$O$50),"",ReferenceData!$O$50),"")</f>
        <v>2608.223</v>
      </c>
      <c r="P50">
        <f ca="1">IFERROR(IF(0=LEN(ReferenceData!$P$50),"",ReferenceData!$P$50),"")</f>
        <v>2585.308</v>
      </c>
      <c r="Q50">
        <f ca="1">IFERROR(IF(0=LEN(ReferenceData!$Q$50),"",ReferenceData!$Q$50),"")</f>
        <v>2174.2020000000002</v>
      </c>
      <c r="R50">
        <f ca="1">IFERROR(IF(0=LEN(ReferenceData!$R$50),"",ReferenceData!$R$50),"")</f>
        <v>1930.0360000000001</v>
      </c>
      <c r="S50">
        <f ca="1">IFERROR(IF(0=LEN(ReferenceData!$S$50),"",ReferenceData!$S$50),"")</f>
        <v>1187.867</v>
      </c>
      <c r="T50">
        <f ca="1">IFERROR(IF(0=LEN(ReferenceData!$T$50),"",ReferenceData!$T$50),"")</f>
        <v>1181.194</v>
      </c>
      <c r="U50">
        <f ca="1">IFERROR(IF(0=LEN(ReferenceData!$U$50),"",ReferenceData!$U$50),"")</f>
        <v>1100.703</v>
      </c>
      <c r="V50">
        <f ca="1">IFERROR(IF(0=LEN(ReferenceData!$V$50),"",ReferenceData!$V$50),"")</f>
        <v>979.84199999999998</v>
      </c>
      <c r="W50">
        <f ca="1">IFERROR(IF(0=LEN(ReferenceData!$W$50),"",ReferenceData!$W$50),"")</f>
        <v>961.61</v>
      </c>
      <c r="X50">
        <f ca="1">IFERROR(IF(0=LEN(ReferenceData!$X$50),"",ReferenceData!$X$50),"")</f>
        <v>956.85400000000004</v>
      </c>
      <c r="Y50">
        <f ca="1">IFERROR(IF(0=LEN(ReferenceData!$Y$50),"",ReferenceData!$Y$50),"")</f>
        <v>887.64700000000005</v>
      </c>
      <c r="Z50">
        <f ca="1">IFERROR(IF(0=LEN(ReferenceData!$Z$50),"",ReferenceData!$Z$50),"")</f>
        <v>791.23699999999997</v>
      </c>
      <c r="AA50">
        <f ca="1">IFERROR(IF(0=LEN(ReferenceData!$AA$50),"",ReferenceData!$AA$50),"")</f>
        <v>703.553</v>
      </c>
      <c r="AB50">
        <f ca="1">IFERROR(IF(0=LEN(ReferenceData!$AB$50),"",ReferenceData!$AB$50),"")</f>
        <v>712.39200000000005</v>
      </c>
      <c r="AC50">
        <f ca="1">IFERROR(IF(0=LEN(ReferenceData!$AC$50),"",ReferenceData!$AC$50),"")</f>
        <v>709.28399999999999</v>
      </c>
      <c r="AD50">
        <f ca="1">IFERROR(IF(0=LEN(ReferenceData!$AD$50),"",ReferenceData!$AD$50),"")</f>
        <v>724.42200000000003</v>
      </c>
      <c r="AE50">
        <f ca="1">IFERROR(IF(0=LEN(ReferenceData!$AE$50),"",ReferenceData!$AE$50),"")</f>
        <v>682.33900000000006</v>
      </c>
      <c r="AF50">
        <f ca="1">IFERROR(IF(0=LEN(ReferenceData!$AF$50),"",ReferenceData!$AF$50),"")</f>
        <v>694.52200000000005</v>
      </c>
      <c r="AG50">
        <f ca="1">IFERROR(IF(0=LEN(ReferenceData!$AG$50),"",ReferenceData!$AG$50),"")</f>
        <v>682.03</v>
      </c>
      <c r="AH50">
        <f ca="1">IFERROR(IF(0=LEN(ReferenceData!$AH$50),"",ReferenceData!$AH$50),"")</f>
        <v>678.33399999999995</v>
      </c>
      <c r="AI50">
        <f ca="1">IFERROR(IF(0=LEN(ReferenceData!$AI$50),"",ReferenceData!$AI$50),"")</f>
        <v>627.80999999999995</v>
      </c>
      <c r="AJ50">
        <f ca="1">IFERROR(IF(0=LEN(ReferenceData!$AJ$50),"",ReferenceData!$AJ$50),"")</f>
        <v>622.92999999999995</v>
      </c>
      <c r="AK50">
        <f ca="1">IFERROR(IF(0=LEN(ReferenceData!$AK$50),"",ReferenceData!$AK$50),"")</f>
        <v>605.26099999999997</v>
      </c>
      <c r="AL50">
        <f ca="1">IFERROR(IF(0=LEN(ReferenceData!$AL$50),"",ReferenceData!$AL$50),"")</f>
        <v>615.26300000000003</v>
      </c>
      <c r="AM50">
        <f ca="1">IFERROR(IF(0=LEN(ReferenceData!$AM$50),"",ReferenceData!$AM$50),"")</f>
        <v>610.77200000000005</v>
      </c>
      <c r="AN50">
        <f ca="1">IFERROR(IF(0=LEN(ReferenceData!$AN$50),"",ReferenceData!$AN$50),"")</f>
        <v>614.92399999999998</v>
      </c>
      <c r="AO50">
        <f ca="1">IFERROR(IF(0=LEN(ReferenceData!$AO$50),"",ReferenceData!$AO$50),"")</f>
        <v>610.45899999999995</v>
      </c>
      <c r="AP50">
        <f ca="1">IFERROR(IF(0=LEN(ReferenceData!$AP$50),"",ReferenceData!$AP$50),"")</f>
        <v>623.03549999999996</v>
      </c>
      <c r="AQ50">
        <f ca="1">IFERROR(IF(0=LEN(ReferenceData!$AQ$50),"",ReferenceData!$AQ$50),"")</f>
        <v>626.88199999999995</v>
      </c>
      <c r="AR50">
        <f ca="1">IFERROR(IF(0=LEN(ReferenceData!$AR$50),"",ReferenceData!$AR$50),"")</f>
        <v>652.38699999999994</v>
      </c>
      <c r="AS50">
        <f ca="1">IFERROR(IF(0=LEN(ReferenceData!$AS$50),"",ReferenceData!$AS$50),"")</f>
        <v>603.33500000000004</v>
      </c>
      <c r="AT50">
        <f ca="1">IFERROR(IF(0=LEN(ReferenceData!$AT$50),"",ReferenceData!$AT$50),"")</f>
        <v>621.62649999999996</v>
      </c>
      <c r="AU50">
        <f ca="1">IFERROR(IF(0=LEN(ReferenceData!$AU$50),"",ReferenceData!$AU$50),"")</f>
        <v>649.36300000000006</v>
      </c>
      <c r="AV50">
        <f ca="1">IFERROR(IF(0=LEN(ReferenceData!$AV$50),"",ReferenceData!$AV$50),"")</f>
        <v>681.73</v>
      </c>
      <c r="AW50">
        <f ca="1">IFERROR(IF(0=LEN(ReferenceData!$AW$50),"",ReferenceData!$AW$50),"")</f>
        <v>682.27099999999996</v>
      </c>
      <c r="AX50">
        <f ca="1">IFERROR(IF(0=LEN(ReferenceData!$AX$50),"",ReferenceData!$AX$50),"")</f>
        <v>624.79549999999995</v>
      </c>
      <c r="AY50">
        <f ca="1">IFERROR(IF(0=LEN(ReferenceData!$AY$50),"",ReferenceData!$AY$50),"")</f>
        <v>710.78399999999999</v>
      </c>
      <c r="AZ50">
        <f ca="1">IFERROR(IF(0=LEN(ReferenceData!$AZ$50),"",ReferenceData!$AZ$50),"")</f>
        <v>739.71100000000001</v>
      </c>
      <c r="BA50">
        <f ca="1">IFERROR(IF(0=LEN(ReferenceData!$BA$50),"",ReferenceData!$BA$50),"")</f>
        <v>703.11599999999999</v>
      </c>
      <c r="BB50">
        <f ca="1">IFERROR(IF(0=LEN(ReferenceData!$BB$50),"",ReferenceData!$BB$50),"")</f>
        <v>709.35649999999998</v>
      </c>
      <c r="BC50">
        <f ca="1">IFERROR(IF(0=LEN(ReferenceData!$BC$50),"",ReferenceData!$BC$50),"")</f>
        <v>611.05499999999995</v>
      </c>
      <c r="BD50">
        <f ca="1">IFERROR(IF(0=LEN(ReferenceData!$BD$50),"",ReferenceData!$BD$50),"")</f>
        <v>590.66800000000001</v>
      </c>
      <c r="BE50">
        <f ca="1">IFERROR(IF(0=LEN(ReferenceData!$BE$50),"",ReferenceData!$BE$50),"")</f>
        <v>529.10400000000004</v>
      </c>
      <c r="BF50">
        <f ca="1">IFERROR(IF(0=LEN(ReferenceData!$BF$50),"",ReferenceData!$BF$50),"")</f>
        <v>528.23199999999997</v>
      </c>
      <c r="BG50">
        <f ca="1">IFERROR(IF(0=LEN(ReferenceData!$BG$50),"",ReferenceData!$BG$50),"")</f>
        <v>487.67200000000003</v>
      </c>
      <c r="BH50">
        <f ca="1">IFERROR(IF(0=LEN(ReferenceData!$BH$50),"",ReferenceData!$BH$50),"")</f>
        <v>505.53449999999998</v>
      </c>
      <c r="BI50">
        <f ca="1">IFERROR(IF(0=LEN(ReferenceData!$BI$50),"",ReferenceData!$BI$50),"")</f>
        <v>487.428</v>
      </c>
      <c r="BJ50">
        <f ca="1">IFERROR(IF(0=LEN(ReferenceData!$BJ$50),"",ReferenceData!$BJ$50),"")</f>
        <v>520.06849999999997</v>
      </c>
      <c r="BK50">
        <f ca="1">IFERROR(IF(0=LEN(ReferenceData!$BK$50),"",ReferenceData!$BK$50),"")</f>
        <v>469.80700000000002</v>
      </c>
      <c r="BL50">
        <f ca="1">IFERROR(IF(0=LEN(ReferenceData!$BL$50),"",ReferenceData!$BL$50),"")</f>
        <v>469.27</v>
      </c>
      <c r="BM50">
        <f ca="1">IFERROR(IF(0=LEN(ReferenceData!$BM$50),"",ReferenceData!$BM$50),"")</f>
        <v>473.38200000000001</v>
      </c>
    </row>
    <row r="51" spans="1:65">
      <c r="A51" t="str">
        <f>IFERROR(IF(0=LEN(ReferenceData!$A$51),"",ReferenceData!$A$51),"")</f>
        <v xml:space="preserve">    Lodging/Resort REITs</v>
      </c>
      <c r="B51" t="str">
        <f>IFERROR(IF(0=LEN(ReferenceData!$B$51),"",ReferenceData!$B$51),"")</f>
        <v>RECFNOLR Index</v>
      </c>
      <c r="C51" t="str">
        <f>IFERROR(IF(0=LEN(ReferenceData!$C$51),"",ReferenceData!$C$51),"")</f>
        <v>PR005</v>
      </c>
      <c r="D51" t="str">
        <f>IFERROR(IF(0=LEN(ReferenceData!$D$51),"",ReferenceData!$D$51),"")</f>
        <v>PX_LAST</v>
      </c>
      <c r="E51" t="str">
        <f>IFERROR(IF(0=LEN(ReferenceData!$E$51),"",ReferenceData!$E$51),"")</f>
        <v>动态</v>
      </c>
      <c r="F51">
        <f ca="1">IFERROR(IF(0=LEN(ReferenceData!$F$51),"",ReferenceData!$F$51),"")</f>
        <v>1861.1641669999999</v>
      </c>
      <c r="G51">
        <f ca="1">IFERROR(IF(0=LEN(ReferenceData!$G$51),"",ReferenceData!$G$51),"")</f>
        <v>1801.1020000000001</v>
      </c>
      <c r="H51">
        <f ca="1">IFERROR(IF(0=LEN(ReferenceData!$H$51),"",ReferenceData!$H$51),"")</f>
        <v>2150.373</v>
      </c>
      <c r="I51">
        <f ca="1">IFERROR(IF(0=LEN(ReferenceData!$I$51),"",ReferenceData!$I$51),"")</f>
        <v>1693.934</v>
      </c>
      <c r="J51">
        <f ca="1">IFERROR(IF(0=LEN(ReferenceData!$J$51),"",ReferenceData!$J$51),"")</f>
        <v>1554.12</v>
      </c>
      <c r="K51">
        <f ca="1">IFERROR(IF(0=LEN(ReferenceData!$K$51),"",ReferenceData!$K$51),"")</f>
        <v>1711.67</v>
      </c>
      <c r="L51">
        <f ca="1">IFERROR(IF(0=LEN(ReferenceData!$L$51),"",ReferenceData!$L$51),"")</f>
        <v>1979.1890000000001</v>
      </c>
      <c r="M51">
        <f ca="1">IFERROR(IF(0=LEN(ReferenceData!$M$51),"",ReferenceData!$M$51),"")</f>
        <v>1476.9269999999999</v>
      </c>
      <c r="N51">
        <f ca="1">IFERROR(IF(0=LEN(ReferenceData!$N$51),"",ReferenceData!$N$51),"")</f>
        <v>1544.922</v>
      </c>
      <c r="O51">
        <f ca="1">IFERROR(IF(0=LEN(ReferenceData!$O$51),"",ReferenceData!$O$51),"")</f>
        <v>1759.355</v>
      </c>
      <c r="P51">
        <f ca="1">IFERROR(IF(0=LEN(ReferenceData!$P$51),"",ReferenceData!$P$51),"")</f>
        <v>1965.56</v>
      </c>
      <c r="Q51">
        <f ca="1">IFERROR(IF(0=LEN(ReferenceData!$Q$51),"",ReferenceData!$Q$51),"")</f>
        <v>1355.3869999999999</v>
      </c>
      <c r="R51">
        <f ca="1">IFERROR(IF(0=LEN(ReferenceData!$R$51),"",ReferenceData!$R$51),"")</f>
        <v>1329.846</v>
      </c>
      <c r="S51">
        <f ca="1">IFERROR(IF(0=LEN(ReferenceData!$S$51),"",ReferenceData!$S$51),"")</f>
        <v>1436.298</v>
      </c>
      <c r="T51">
        <f ca="1">IFERROR(IF(0=LEN(ReferenceData!$T$51),"",ReferenceData!$T$51),"")</f>
        <v>1559.06</v>
      </c>
      <c r="U51">
        <f ca="1">IFERROR(IF(0=LEN(ReferenceData!$U$51),"",ReferenceData!$U$51),"")</f>
        <v>1072.5029999999999</v>
      </c>
      <c r="V51">
        <f ca="1">IFERROR(IF(0=LEN(ReferenceData!$V$51),"",ReferenceData!$V$51),"")</f>
        <v>1186.6890000000001</v>
      </c>
      <c r="W51">
        <f ca="1">IFERROR(IF(0=LEN(ReferenceData!$W$51),"",ReferenceData!$W$51),"")</f>
        <v>1168.317</v>
      </c>
      <c r="X51">
        <f ca="1">IFERROR(IF(0=LEN(ReferenceData!$X$51),"",ReferenceData!$X$51),"")</f>
        <v>1382.6759999999999</v>
      </c>
      <c r="Y51">
        <f ca="1">IFERROR(IF(0=LEN(ReferenceData!$Y$51),"",ReferenceData!$Y$51),"")</f>
        <v>920.13699999999994</v>
      </c>
      <c r="Z51">
        <f ca="1">IFERROR(IF(0=LEN(ReferenceData!$Z$51),"",ReferenceData!$Z$51),"")</f>
        <v>1205.463</v>
      </c>
      <c r="AA51">
        <f ca="1">IFERROR(IF(0=LEN(ReferenceData!$AA$51),"",ReferenceData!$AA$51),"")</f>
        <v>974.35400000000004</v>
      </c>
      <c r="AB51">
        <f ca="1">IFERROR(IF(0=LEN(ReferenceData!$AB$51),"",ReferenceData!$AB$51),"")</f>
        <v>1134.184</v>
      </c>
      <c r="AC51">
        <f ca="1">IFERROR(IF(0=LEN(ReferenceData!$AC$51),"",ReferenceData!$AC$51),"")</f>
        <v>720.452</v>
      </c>
      <c r="AD51">
        <f ca="1">IFERROR(IF(0=LEN(ReferenceData!$AD$51),"",ReferenceData!$AD$51),"")</f>
        <v>1010.73</v>
      </c>
      <c r="AE51">
        <f ca="1">IFERROR(IF(0=LEN(ReferenceData!$AE$51),"",ReferenceData!$AE$51),"")</f>
        <v>859.774</v>
      </c>
      <c r="AF51">
        <f ca="1">IFERROR(IF(0=LEN(ReferenceData!$AF$51),"",ReferenceData!$AF$51),"")</f>
        <v>1022.5</v>
      </c>
      <c r="AG51">
        <f ca="1">IFERROR(IF(0=LEN(ReferenceData!$AG$51),"",ReferenceData!$AG$51),"")</f>
        <v>582.66899999999998</v>
      </c>
      <c r="AH51">
        <f ca="1">IFERROR(IF(0=LEN(ReferenceData!$AH$51),"",ReferenceData!$AH$51),"")</f>
        <v>797.02</v>
      </c>
      <c r="AI51">
        <f ca="1">IFERROR(IF(0=LEN(ReferenceData!$AI$51),"",ReferenceData!$AI$51),"")</f>
        <v>640.73500000000001</v>
      </c>
      <c r="AJ51">
        <f ca="1">IFERROR(IF(0=LEN(ReferenceData!$AJ$51),"",ReferenceData!$AJ$51),"")</f>
        <v>777.73199999999997</v>
      </c>
      <c r="AK51">
        <f ca="1">IFERROR(IF(0=LEN(ReferenceData!$AK$51),"",ReferenceData!$AK$51),"")</f>
        <v>520.98099999999999</v>
      </c>
      <c r="AL51">
        <f ca="1">IFERROR(IF(0=LEN(ReferenceData!$AL$51),"",ReferenceData!$AL$51),"")</f>
        <v>685.03300000000002</v>
      </c>
      <c r="AM51">
        <f ca="1">IFERROR(IF(0=LEN(ReferenceData!$AM$51),"",ReferenceData!$AM$51),"")</f>
        <v>567.798</v>
      </c>
      <c r="AN51">
        <f ca="1">IFERROR(IF(0=LEN(ReferenceData!$AN$51),"",ReferenceData!$AN$51),"")</f>
        <v>725.41200000000003</v>
      </c>
      <c r="AO51">
        <f ca="1">IFERROR(IF(0=LEN(ReferenceData!$AO$51),"",ReferenceData!$AO$51),"")</f>
        <v>579.10500000000002</v>
      </c>
      <c r="AP51">
        <f ca="1">IFERROR(IF(0=LEN(ReferenceData!$AP$51),"",ReferenceData!$AP$51),"")</f>
        <v>753.13199999999995</v>
      </c>
      <c r="AQ51">
        <f ca="1">IFERROR(IF(0=LEN(ReferenceData!$AQ$51),"",ReferenceData!$AQ$51),"")</f>
        <v>830.98800000000006</v>
      </c>
      <c r="AR51">
        <f ca="1">IFERROR(IF(0=LEN(ReferenceData!$AR$51),"",ReferenceData!$AR$51),"")</f>
        <v>1092.9369999999999</v>
      </c>
      <c r="AS51">
        <f ca="1">IFERROR(IF(0=LEN(ReferenceData!$AS$51),"",ReferenceData!$AS$51),"")</f>
        <v>796.11800000000005</v>
      </c>
      <c r="AT51">
        <f ca="1">IFERROR(IF(0=LEN(ReferenceData!$AT$51),"",ReferenceData!$AT$51),"")</f>
        <v>889.23199999999997</v>
      </c>
      <c r="AU51">
        <f ca="1">IFERROR(IF(0=LEN(ReferenceData!$AU$51),"",ReferenceData!$AU$51),"")</f>
        <v>888.36199999999997</v>
      </c>
      <c r="AV51">
        <f ca="1">IFERROR(IF(0=LEN(ReferenceData!$AV$51),"",ReferenceData!$AV$51),"")</f>
        <v>1139.521</v>
      </c>
      <c r="AW51">
        <f ca="1">IFERROR(IF(0=LEN(ReferenceData!$AW$51),"",ReferenceData!$AW$51),"")</f>
        <v>856.947</v>
      </c>
      <c r="AX51">
        <f ca="1">IFERROR(IF(0=LEN(ReferenceData!$AX$51),"",ReferenceData!$AX$51),"")</f>
        <v>1036.5889999999999</v>
      </c>
      <c r="AY51">
        <f ca="1">IFERROR(IF(0=LEN(ReferenceData!$AY$51),"",ReferenceData!$AY$51),"")</f>
        <v>824.65499999999997</v>
      </c>
      <c r="AZ51">
        <f ca="1">IFERROR(IF(0=LEN(ReferenceData!$AZ$51),"",ReferenceData!$AZ$51),"")</f>
        <v>968.85199999999998</v>
      </c>
      <c r="BA51">
        <f ca="1">IFERROR(IF(0=LEN(ReferenceData!$BA$51),"",ReferenceData!$BA$51),"")</f>
        <v>700.18499999999995</v>
      </c>
      <c r="BB51">
        <f ca="1">IFERROR(IF(0=LEN(ReferenceData!$BB$51),"",ReferenceData!$BB$51),"")</f>
        <v>835.43700000000001</v>
      </c>
      <c r="BC51">
        <f ca="1">IFERROR(IF(0=LEN(ReferenceData!$BC$51),"",ReferenceData!$BC$51),"")</f>
        <v>677.86500000000001</v>
      </c>
      <c r="BD51">
        <f ca="1">IFERROR(IF(0=LEN(ReferenceData!$BD$51),"",ReferenceData!$BD$51),"")</f>
        <v>795.98699999999997</v>
      </c>
      <c r="BE51">
        <f ca="1">IFERROR(IF(0=LEN(ReferenceData!$BE$51),"",ReferenceData!$BE$51),"")</f>
        <v>596.28</v>
      </c>
      <c r="BF51">
        <f ca="1">IFERROR(IF(0=LEN(ReferenceData!$BF$51),"",ReferenceData!$BF$51),"")</f>
        <v>612.92999999999995</v>
      </c>
      <c r="BG51">
        <f ca="1">IFERROR(IF(0=LEN(ReferenceData!$BG$51),"",ReferenceData!$BG$51),"")</f>
        <v>489.24900000000002</v>
      </c>
      <c r="BH51">
        <f ca="1">IFERROR(IF(0=LEN(ReferenceData!$BH$51),"",ReferenceData!$BH$51),"")</f>
        <v>581.43299999999999</v>
      </c>
      <c r="BI51">
        <f ca="1">IFERROR(IF(0=LEN(ReferenceData!$BI$51),"",ReferenceData!$BI$51),"")</f>
        <v>466.19499999999999</v>
      </c>
      <c r="BJ51">
        <f ca="1">IFERROR(IF(0=LEN(ReferenceData!$BJ$51),"",ReferenceData!$BJ$51),"")</f>
        <v>528.23</v>
      </c>
      <c r="BK51">
        <f ca="1">IFERROR(IF(0=LEN(ReferenceData!$BK$51),"",ReferenceData!$BK$51),"")</f>
        <v>428.26299999999998</v>
      </c>
      <c r="BL51">
        <f ca="1">IFERROR(IF(0=LEN(ReferenceData!$BL$51),"",ReferenceData!$BL$51),"")</f>
        <v>595.11199999999997</v>
      </c>
      <c r="BM51">
        <f ca="1">IFERROR(IF(0=LEN(ReferenceData!$BM$51),"",ReferenceData!$BM$51),"")</f>
        <v>523.30200000000002</v>
      </c>
    </row>
    <row r="52" spans="1:65">
      <c r="A52" t="str">
        <f>IFERROR(IF(0=LEN(ReferenceData!$A$52),"",ReferenceData!$A$52),"")</f>
        <v xml:space="preserve">    Self Storage REITs</v>
      </c>
      <c r="B52" t="str">
        <f>IFERROR(IF(0=LEN(ReferenceData!$B$52),"",ReferenceData!$B$52),"")</f>
        <v>RECFNOSS Index</v>
      </c>
      <c r="C52" t="str">
        <f>IFERROR(IF(0=LEN(ReferenceData!$C$52),"",ReferenceData!$C$52),"")</f>
        <v>PR005</v>
      </c>
      <c r="D52" t="str">
        <f>IFERROR(IF(0=LEN(ReferenceData!$D$52),"",ReferenceData!$D$52),"")</f>
        <v>PX_LAST</v>
      </c>
      <c r="E52" t="str">
        <f>IFERROR(IF(0=LEN(ReferenceData!$E$52),"",ReferenceData!$E$52),"")</f>
        <v>动态</v>
      </c>
      <c r="F52">
        <f ca="1">IFERROR(IF(0=LEN(ReferenceData!$F$52),"",ReferenceData!$F$52),"")</f>
        <v>947.9955334</v>
      </c>
      <c r="G52">
        <f ca="1">IFERROR(IF(0=LEN(ReferenceData!$G$52),"",ReferenceData!$G$52),"")</f>
        <v>927.01900000000001</v>
      </c>
      <c r="H52">
        <f ca="1">IFERROR(IF(0=LEN(ReferenceData!$H$52),"",ReferenceData!$H$52),"")</f>
        <v>894.78899999999999</v>
      </c>
      <c r="I52">
        <f ca="1">IFERROR(IF(0=LEN(ReferenceData!$I$52),"",ReferenceData!$I$52),"")</f>
        <v>854.90200000000004</v>
      </c>
      <c r="J52">
        <f ca="1">IFERROR(IF(0=LEN(ReferenceData!$J$52),"",ReferenceData!$J$52),"")</f>
        <v>901.97500000000002</v>
      </c>
      <c r="K52">
        <f ca="1">IFERROR(IF(0=LEN(ReferenceData!$K$52),"",ReferenceData!$K$52),"")</f>
        <v>874.05399999999997</v>
      </c>
      <c r="L52">
        <f ca="1">IFERROR(IF(0=LEN(ReferenceData!$L$52),"",ReferenceData!$L$52),"")</f>
        <v>815.02099999999996</v>
      </c>
      <c r="M52">
        <f ca="1">IFERROR(IF(0=LEN(ReferenceData!$M$52),"",ReferenceData!$M$52),"")</f>
        <v>760.31399999999996</v>
      </c>
      <c r="N52">
        <f ca="1">IFERROR(IF(0=LEN(ReferenceData!$N$52),"",ReferenceData!$N$52),"")</f>
        <v>788.20899999999995</v>
      </c>
      <c r="O52">
        <f ca="1">IFERROR(IF(0=LEN(ReferenceData!$O$52),"",ReferenceData!$O$52),"")</f>
        <v>752.77</v>
      </c>
      <c r="P52">
        <f ca="1">IFERROR(IF(0=LEN(ReferenceData!$P$52),"",ReferenceData!$P$52),"")</f>
        <v>705.83199999999999</v>
      </c>
      <c r="Q52">
        <f ca="1">IFERROR(IF(0=LEN(ReferenceData!$Q$52),"",ReferenceData!$Q$52),"")</f>
        <v>626.649</v>
      </c>
      <c r="R52">
        <f ca="1">IFERROR(IF(0=LEN(ReferenceData!$R$52),"",ReferenceData!$R$52),"")</f>
        <v>662.17399999999998</v>
      </c>
      <c r="S52">
        <f ca="1">IFERROR(IF(0=LEN(ReferenceData!$S$52),"",ReferenceData!$S$52),"")</f>
        <v>638.76199999999994</v>
      </c>
      <c r="T52">
        <f ca="1">IFERROR(IF(0=LEN(ReferenceData!$T$52),"",ReferenceData!$T$52),"")</f>
        <v>605.87199999999996</v>
      </c>
      <c r="U52">
        <f ca="1">IFERROR(IF(0=LEN(ReferenceData!$U$52),"",ReferenceData!$U$52),"")</f>
        <v>551.70299999999997</v>
      </c>
      <c r="V52">
        <f ca="1">IFERROR(IF(0=LEN(ReferenceData!$V$52),"",ReferenceData!$V$52),"")</f>
        <v>582.59</v>
      </c>
      <c r="W52">
        <f ca="1">IFERROR(IF(0=LEN(ReferenceData!$W$52),"",ReferenceData!$W$52),"")</f>
        <v>551.78499999999997</v>
      </c>
      <c r="X52">
        <f ca="1">IFERROR(IF(0=LEN(ReferenceData!$X$52),"",ReferenceData!$X$52),"")</f>
        <v>523.13699999999994</v>
      </c>
      <c r="Y52">
        <f ca="1">IFERROR(IF(0=LEN(ReferenceData!$Y$52),"",ReferenceData!$Y$52),"")</f>
        <v>485.41699999999997</v>
      </c>
      <c r="Z52">
        <f ca="1">IFERROR(IF(0=LEN(ReferenceData!$Z$52),"",ReferenceData!$Z$52),"")</f>
        <v>512.47199999999998</v>
      </c>
      <c r="AA52">
        <f ca="1">IFERROR(IF(0=LEN(ReferenceData!$AA$52),"",ReferenceData!$AA$52),"")</f>
        <v>492.53500000000003</v>
      </c>
      <c r="AB52">
        <f ca="1">IFERROR(IF(0=LEN(ReferenceData!$AB$52),"",ReferenceData!$AB$52),"")</f>
        <v>452.952</v>
      </c>
      <c r="AC52">
        <f ca="1">IFERROR(IF(0=LEN(ReferenceData!$AC$52),"",ReferenceData!$AC$52),"")</f>
        <v>419.63900000000001</v>
      </c>
      <c r="AD52">
        <f ca="1">IFERROR(IF(0=LEN(ReferenceData!$AD$52),"",ReferenceData!$AD$52),"")</f>
        <v>445.75900000000001</v>
      </c>
      <c r="AE52">
        <f ca="1">IFERROR(IF(0=LEN(ReferenceData!$AE$52),"",ReferenceData!$AE$52),"")</f>
        <v>427.65199999999999</v>
      </c>
      <c r="AF52">
        <f ca="1">IFERROR(IF(0=LEN(ReferenceData!$AF$52),"",ReferenceData!$AF$52),"")</f>
        <v>398.54199999999997</v>
      </c>
      <c r="AG52">
        <f ca="1">IFERROR(IF(0=LEN(ReferenceData!$AG$52),"",ReferenceData!$AG$52),"")</f>
        <v>372.988</v>
      </c>
      <c r="AH52">
        <f ca="1">IFERROR(IF(0=LEN(ReferenceData!$AH$52),"",ReferenceData!$AH$52),"")</f>
        <v>400.87299999999999</v>
      </c>
      <c r="AI52">
        <f ca="1">IFERROR(IF(0=LEN(ReferenceData!$AI$52),"",ReferenceData!$AI$52),"")</f>
        <v>385.815</v>
      </c>
      <c r="AJ52">
        <f ca="1">IFERROR(IF(0=LEN(ReferenceData!$AJ$52),"",ReferenceData!$AJ$52),"")</f>
        <v>363.30500000000001</v>
      </c>
      <c r="AK52">
        <f ca="1">IFERROR(IF(0=LEN(ReferenceData!$AK$52),"",ReferenceData!$AK$52),"")</f>
        <v>347.07400000000001</v>
      </c>
      <c r="AL52">
        <f ca="1">IFERROR(IF(0=LEN(ReferenceData!$AL$52),"",ReferenceData!$AL$52),"")</f>
        <v>382.90300000000002</v>
      </c>
      <c r="AM52">
        <f ca="1">IFERROR(IF(0=LEN(ReferenceData!$AM$52),"",ReferenceData!$AM$52),"")</f>
        <v>381.69099999999997</v>
      </c>
      <c r="AN52">
        <f ca="1">IFERROR(IF(0=LEN(ReferenceData!$AN$52),"",ReferenceData!$AN$52),"")</f>
        <v>367.55900000000003</v>
      </c>
      <c r="AO52">
        <f ca="1">IFERROR(IF(0=LEN(ReferenceData!$AO$52),"",ReferenceData!$AO$52),"")</f>
        <v>357.911</v>
      </c>
      <c r="AP52">
        <f ca="1">IFERROR(IF(0=LEN(ReferenceData!$AP$52),"",ReferenceData!$AP$52),"")</f>
        <v>393.55500000000001</v>
      </c>
      <c r="AQ52">
        <f ca="1">IFERROR(IF(0=LEN(ReferenceData!$AQ$52),"",ReferenceData!$AQ$52),"")</f>
        <v>401.29500000000002</v>
      </c>
      <c r="AR52">
        <f ca="1">IFERROR(IF(0=LEN(ReferenceData!$AR$52),"",ReferenceData!$AR$52),"")</f>
        <v>371.39400000000001</v>
      </c>
      <c r="AS52">
        <f ca="1">IFERROR(IF(0=LEN(ReferenceData!$AS$52),"",ReferenceData!$AS$52),"")</f>
        <v>388.173</v>
      </c>
      <c r="AT52">
        <f ca="1">IFERROR(IF(0=LEN(ReferenceData!$AT$52),"",ReferenceData!$AT$52),"")</f>
        <v>408.18599999999998</v>
      </c>
      <c r="AU52">
        <f ca="1">IFERROR(IF(0=LEN(ReferenceData!$AU$52),"",ReferenceData!$AU$52),"")</f>
        <v>402.24599999999998</v>
      </c>
      <c r="AV52">
        <f ca="1">IFERROR(IF(0=LEN(ReferenceData!$AV$52),"",ReferenceData!$AV$52),"")</f>
        <v>373.45400000000001</v>
      </c>
      <c r="AW52">
        <f ca="1">IFERROR(IF(0=LEN(ReferenceData!$AW$52),"",ReferenceData!$AW$52),"")</f>
        <v>352.20400000000001</v>
      </c>
      <c r="AX52">
        <f ca="1">IFERROR(IF(0=LEN(ReferenceData!$AX$52),"",ReferenceData!$AX$52),"")</f>
        <v>356.27600000000001</v>
      </c>
      <c r="AY52">
        <f ca="1">IFERROR(IF(0=LEN(ReferenceData!$AY$52),"",ReferenceData!$AY$52),"")</f>
        <v>321.42</v>
      </c>
      <c r="AZ52">
        <f ca="1">IFERROR(IF(0=LEN(ReferenceData!$AZ$52),"",ReferenceData!$AZ$52),"")</f>
        <v>337.56900000000002</v>
      </c>
      <c r="BA52">
        <f ca="1">IFERROR(IF(0=LEN(ReferenceData!$BA$52),"",ReferenceData!$BA$52),"")</f>
        <v>311.47500000000002</v>
      </c>
      <c r="BB52">
        <f ca="1">IFERROR(IF(0=LEN(ReferenceData!$BB$52),"",ReferenceData!$BB$52),"")</f>
        <v>313.7</v>
      </c>
      <c r="BC52">
        <f ca="1">IFERROR(IF(0=LEN(ReferenceData!$BC$52),"",ReferenceData!$BC$52),"")</f>
        <v>307.06900000000002</v>
      </c>
      <c r="BD52">
        <f ca="1">IFERROR(IF(0=LEN(ReferenceData!$BD$52),"",ReferenceData!$BD$52),"")</f>
        <v>278.79899999999998</v>
      </c>
      <c r="BE52">
        <f ca="1">IFERROR(IF(0=LEN(ReferenceData!$BE$52),"",ReferenceData!$BE$52),"")</f>
        <v>254.81399999999999</v>
      </c>
      <c r="BF52">
        <f ca="1">IFERROR(IF(0=LEN(ReferenceData!$BF$52),"",ReferenceData!$BF$52),"")</f>
        <v>249.52500000000001</v>
      </c>
      <c r="BG52">
        <f ca="1">IFERROR(IF(0=LEN(ReferenceData!$BG$52),"",ReferenceData!$BG$52),"")</f>
        <v>236.60300000000001</v>
      </c>
      <c r="BH52">
        <f ca="1">IFERROR(IF(0=LEN(ReferenceData!$BH$52),"",ReferenceData!$BH$52),"")</f>
        <v>217.79300000000001</v>
      </c>
      <c r="BI52">
        <f ca="1">IFERROR(IF(0=LEN(ReferenceData!$BI$52),"",ReferenceData!$BI$52),"")</f>
        <v>203.21700000000001</v>
      </c>
      <c r="BJ52">
        <f ca="1">IFERROR(IF(0=LEN(ReferenceData!$BJ$52),"",ReferenceData!$BJ$52),"")</f>
        <v>203.429</v>
      </c>
      <c r="BK52">
        <f ca="1">IFERROR(IF(0=LEN(ReferenceData!$BK$52),"",ReferenceData!$BK$52),"")</f>
        <v>208.57900000000001</v>
      </c>
      <c r="BL52">
        <f ca="1">IFERROR(IF(0=LEN(ReferenceData!$BL$52),"",ReferenceData!$BL$52),"")</f>
        <v>191.36500000000001</v>
      </c>
      <c r="BM52">
        <f ca="1">IFERROR(IF(0=LEN(ReferenceData!$BM$52),"",ReferenceData!$BM$52),"")</f>
        <v>185.20099999999999</v>
      </c>
    </row>
    <row r="53" spans="1:65">
      <c r="A53" t="str">
        <f>IFERROR(IF(0=LEN(ReferenceData!$A$53),"",ReferenceData!$A$53),"")</f>
        <v xml:space="preserve">    Health Care REITs</v>
      </c>
      <c r="B53" t="str">
        <f>IFERROR(IF(0=LEN(ReferenceData!$B$53),"",ReferenceData!$B$53),"")</f>
        <v>RECFNOHC Index</v>
      </c>
      <c r="C53" t="str">
        <f>IFERROR(IF(0=LEN(ReferenceData!$C$53),"",ReferenceData!$C$53),"")</f>
        <v>PR005</v>
      </c>
      <c r="D53" t="str">
        <f>IFERROR(IF(0=LEN(ReferenceData!$D$53),"",ReferenceData!$D$53),"")</f>
        <v>PX_LAST</v>
      </c>
      <c r="E53" t="str">
        <f>IFERROR(IF(0=LEN(ReferenceData!$E$53),"",ReferenceData!$E$53),"")</f>
        <v>动态</v>
      </c>
      <c r="F53">
        <f ca="1">IFERROR(IF(0=LEN(ReferenceData!$F$53),"",ReferenceData!$F$53),"")</f>
        <v>2452.5352290000001</v>
      </c>
      <c r="G53">
        <f ca="1">IFERROR(IF(0=LEN(ReferenceData!$G$53),"",ReferenceData!$G$53),"")</f>
        <v>2420.8919999999998</v>
      </c>
      <c r="H53">
        <f ca="1">IFERROR(IF(0=LEN(ReferenceData!$H$53),"",ReferenceData!$H$53),"")</f>
        <v>2437.7420000000002</v>
      </c>
      <c r="I53">
        <f ca="1">IFERROR(IF(0=LEN(ReferenceData!$I$53),"",ReferenceData!$I$53),"")</f>
        <v>2456.806</v>
      </c>
      <c r="J53">
        <f ca="1">IFERROR(IF(0=LEN(ReferenceData!$J$53),"",ReferenceData!$J$53),"")</f>
        <v>2480.453</v>
      </c>
      <c r="K53">
        <f ca="1">IFERROR(IF(0=LEN(ReferenceData!$K$53),"",ReferenceData!$K$53),"")</f>
        <v>2345.9110000000001</v>
      </c>
      <c r="L53">
        <f ca="1">IFERROR(IF(0=LEN(ReferenceData!$L$53),"",ReferenceData!$L$53),"")</f>
        <v>2311.6889999999999</v>
      </c>
      <c r="M53">
        <f ca="1">IFERROR(IF(0=LEN(ReferenceData!$M$53),"",ReferenceData!$M$53),"")</f>
        <v>2262.2959999999998</v>
      </c>
      <c r="N53">
        <f ca="1">IFERROR(IF(0=LEN(ReferenceData!$N$53),"",ReferenceData!$N$53),"")</f>
        <v>2231.431</v>
      </c>
      <c r="O53">
        <f ca="1">IFERROR(IF(0=LEN(ReferenceData!$O$53),"",ReferenceData!$O$53),"")</f>
        <v>2164.0880000000002</v>
      </c>
      <c r="P53">
        <f ca="1">IFERROR(IF(0=LEN(ReferenceData!$P$53),"",ReferenceData!$P$53),"")</f>
        <v>1983.317</v>
      </c>
      <c r="Q53">
        <f ca="1">IFERROR(IF(0=LEN(ReferenceData!$Q$53),"",ReferenceData!$Q$53),"")</f>
        <v>1906.8009999999999</v>
      </c>
      <c r="R53">
        <f ca="1">IFERROR(IF(0=LEN(ReferenceData!$R$53),"",ReferenceData!$R$53),"")</f>
        <v>1839.94</v>
      </c>
      <c r="S53">
        <f ca="1">IFERROR(IF(0=LEN(ReferenceData!$S$53),"",ReferenceData!$S$53),"")</f>
        <v>1798.2940000000001</v>
      </c>
      <c r="T53">
        <f ca="1">IFERROR(IF(0=LEN(ReferenceData!$T$53),"",ReferenceData!$T$53),"")</f>
        <v>1784.63</v>
      </c>
      <c r="U53">
        <f ca="1">IFERROR(IF(0=LEN(ReferenceData!$U$53),"",ReferenceData!$U$53),"")</f>
        <v>1692.3979999999999</v>
      </c>
      <c r="V53">
        <f ca="1">IFERROR(IF(0=LEN(ReferenceData!$V$53),"",ReferenceData!$V$53),"")</f>
        <v>1659.6569999999999</v>
      </c>
      <c r="W53">
        <f ca="1">IFERROR(IF(0=LEN(ReferenceData!$W$53),"",ReferenceData!$W$53),"")</f>
        <v>1529.13</v>
      </c>
      <c r="X53">
        <f ca="1">IFERROR(IF(0=LEN(ReferenceData!$X$53),"",ReferenceData!$X$53),"")</f>
        <v>1474.711</v>
      </c>
      <c r="Y53">
        <f ca="1">IFERROR(IF(0=LEN(ReferenceData!$Y$53),"",ReferenceData!$Y$53),"")</f>
        <v>1459.452</v>
      </c>
      <c r="Z53">
        <f ca="1">IFERROR(IF(0=LEN(ReferenceData!$Z$53),"",ReferenceData!$Z$53),"")</f>
        <v>1341.84</v>
      </c>
      <c r="AA53">
        <f ca="1">IFERROR(IF(0=LEN(ReferenceData!$AA$53),"",ReferenceData!$AA$53),"")</f>
        <v>1283.6769999999999</v>
      </c>
      <c r="AB53">
        <f ca="1">IFERROR(IF(0=LEN(ReferenceData!$AB$53),"",ReferenceData!$AB$53),"")</f>
        <v>1248.443</v>
      </c>
      <c r="AC53">
        <f ca="1">IFERROR(IF(0=LEN(ReferenceData!$AC$53),"",ReferenceData!$AC$53),"")</f>
        <v>1214.9659999999999</v>
      </c>
      <c r="AD53">
        <f ca="1">IFERROR(IF(0=LEN(ReferenceData!$AD$53),"",ReferenceData!$AD$53),"")</f>
        <v>1208.5899999999999</v>
      </c>
      <c r="AE53">
        <f ca="1">IFERROR(IF(0=LEN(ReferenceData!$AE$53),"",ReferenceData!$AE$53),"")</f>
        <v>1164.576</v>
      </c>
      <c r="AF53">
        <f ca="1">IFERROR(IF(0=LEN(ReferenceData!$AF$53),"",ReferenceData!$AF$53),"")</f>
        <v>1012.5650000000001</v>
      </c>
      <c r="AG53">
        <f ca="1">IFERROR(IF(0=LEN(ReferenceData!$AG$53),"",ReferenceData!$AG$53),"")</f>
        <v>986.35500000000002</v>
      </c>
      <c r="AH53">
        <f ca="1">IFERROR(IF(0=LEN(ReferenceData!$AH$53),"",ReferenceData!$AH$53),"")</f>
        <v>925.22799999999995</v>
      </c>
      <c r="AI53">
        <f ca="1">IFERROR(IF(0=LEN(ReferenceData!$AI$53),"",ReferenceData!$AI$53),"")</f>
        <v>870.93</v>
      </c>
      <c r="AJ53">
        <f ca="1">IFERROR(IF(0=LEN(ReferenceData!$AJ$53),"",ReferenceData!$AJ$53),"")</f>
        <v>852.81100000000004</v>
      </c>
      <c r="AK53">
        <f ca="1">IFERROR(IF(0=LEN(ReferenceData!$AK$53),"",ReferenceData!$AK$53),"")</f>
        <v>827.90099999999995</v>
      </c>
      <c r="AL53">
        <f ca="1">IFERROR(IF(0=LEN(ReferenceData!$AL$53),"",ReferenceData!$AL$53),"")</f>
        <v>804.58900000000006</v>
      </c>
      <c r="AM53">
        <f ca="1">IFERROR(IF(0=LEN(ReferenceData!$AM$53),"",ReferenceData!$AM$53),"")</f>
        <v>788.21</v>
      </c>
      <c r="AN53">
        <f ca="1">IFERROR(IF(0=LEN(ReferenceData!$AN$53),"",ReferenceData!$AN$53),"")</f>
        <v>788.01400000000001</v>
      </c>
      <c r="AO53">
        <f ca="1">IFERROR(IF(0=LEN(ReferenceData!$AO$53),"",ReferenceData!$AO$53),"")</f>
        <v>771.75400000000002</v>
      </c>
      <c r="AP53">
        <f ca="1">IFERROR(IF(0=LEN(ReferenceData!$AP$53),"",ReferenceData!$AP$53),"")</f>
        <v>764.48099999999999</v>
      </c>
      <c r="AQ53">
        <f ca="1">IFERROR(IF(0=LEN(ReferenceData!$AQ$53),"",ReferenceData!$AQ$53),"")</f>
        <v>760.31700000000001</v>
      </c>
      <c r="AR53">
        <f ca="1">IFERROR(IF(0=LEN(ReferenceData!$AR$53),"",ReferenceData!$AR$53),"")</f>
        <v>738.90499999999997</v>
      </c>
      <c r="AS53">
        <f ca="1">IFERROR(IF(0=LEN(ReferenceData!$AS$53),"",ReferenceData!$AS$53),"")</f>
        <v>703.17100000000005</v>
      </c>
      <c r="AT53">
        <f ca="1">IFERROR(IF(0=LEN(ReferenceData!$AT$53),"",ReferenceData!$AT$53),"")</f>
        <v>713.93949999999995</v>
      </c>
      <c r="AU53">
        <f ca="1">IFERROR(IF(0=LEN(ReferenceData!$AU$53),"",ReferenceData!$AU$53),"")</f>
        <v>704.05100000000004</v>
      </c>
      <c r="AV53">
        <f ca="1">IFERROR(IF(0=LEN(ReferenceData!$AV$53),"",ReferenceData!$AV$53),"")</f>
        <v>655.35</v>
      </c>
      <c r="AW53">
        <f ca="1">IFERROR(IF(0=LEN(ReferenceData!$AW$53),"",ReferenceData!$AW$53),"")</f>
        <v>641.15700000000004</v>
      </c>
      <c r="AX53">
        <f ca="1">IFERROR(IF(0=LEN(ReferenceData!$AX$53),"",ReferenceData!$AX$53),"")</f>
        <v>620.62</v>
      </c>
      <c r="AY53">
        <f ca="1">IFERROR(IF(0=LEN(ReferenceData!$AY$53),"",ReferenceData!$AY$53),"")</f>
        <v>540.54999999999995</v>
      </c>
      <c r="AZ53">
        <f ca="1">IFERROR(IF(0=LEN(ReferenceData!$AZ$53),"",ReferenceData!$AZ$53),"")</f>
        <v>520.47199999999998</v>
      </c>
      <c r="BA53">
        <f ca="1">IFERROR(IF(0=LEN(ReferenceData!$BA$53),"",ReferenceData!$BA$53),"")</f>
        <v>500.60899999999998</v>
      </c>
      <c r="BB53">
        <f ca="1">IFERROR(IF(0=LEN(ReferenceData!$BB$53),"",ReferenceData!$BB$53),"")</f>
        <v>483.084</v>
      </c>
      <c r="BC53">
        <f ca="1">IFERROR(IF(0=LEN(ReferenceData!$BC$53),"",ReferenceData!$BC$53),"")</f>
        <v>465.08100000000002</v>
      </c>
      <c r="BD53">
        <f ca="1">IFERROR(IF(0=LEN(ReferenceData!$BD$53),"",ReferenceData!$BD$53),"")</f>
        <v>418.21</v>
      </c>
      <c r="BE53">
        <f ca="1">IFERROR(IF(0=LEN(ReferenceData!$BE$53),"",ReferenceData!$BE$53),"")</f>
        <v>402.01299999999998</v>
      </c>
      <c r="BF53">
        <f ca="1">IFERROR(IF(0=LEN(ReferenceData!$BF$53),"",ReferenceData!$BF$53),"")</f>
        <v>406.23050000000001</v>
      </c>
      <c r="BG53">
        <f ca="1">IFERROR(IF(0=LEN(ReferenceData!$BG$53),"",ReferenceData!$BG$53),"")</f>
        <v>388.26100000000002</v>
      </c>
      <c r="BH53">
        <f ca="1">IFERROR(IF(0=LEN(ReferenceData!$BH$53),"",ReferenceData!$BH$53),"")</f>
        <v>373.084</v>
      </c>
      <c r="BI53">
        <f ca="1">IFERROR(IF(0=LEN(ReferenceData!$BI$53),"",ReferenceData!$BI$53),"")</f>
        <v>353.18799999999999</v>
      </c>
      <c r="BJ53">
        <f ca="1">IFERROR(IF(0=LEN(ReferenceData!$BJ$53),"",ReferenceData!$BJ$53),"")</f>
        <v>349.80349999999999</v>
      </c>
      <c r="BK53">
        <f ca="1">IFERROR(IF(0=LEN(ReferenceData!$BK$53),"",ReferenceData!$BK$53),"")</f>
        <v>340.59199999999998</v>
      </c>
      <c r="BL53">
        <f ca="1">IFERROR(IF(0=LEN(ReferenceData!$BL$53),"",ReferenceData!$BL$53),"")</f>
        <v>332.98399999999998</v>
      </c>
      <c r="BM53">
        <f ca="1">IFERROR(IF(0=LEN(ReferenceData!$BM$53),"",ReferenceData!$BM$53),"")</f>
        <v>317.61099999999999</v>
      </c>
    </row>
    <row r="54" spans="1:65">
      <c r="A54" t="str">
        <f>IFERROR(IF(0=LEN(ReferenceData!$A$54),"",ReferenceData!$A$54),"")</f>
        <v xml:space="preserve">    Timber REITs</v>
      </c>
      <c r="B54" t="str">
        <f>IFERROR(IF(0=LEN(ReferenceData!$B$54),"",ReferenceData!$B$54),"")</f>
        <v>RECFNOTR Index</v>
      </c>
      <c r="C54" t="str">
        <f>IFERROR(IF(0=LEN(ReferenceData!$C$54),"",ReferenceData!$C$54),"")</f>
        <v>PR005</v>
      </c>
      <c r="D54" t="str">
        <f>IFERROR(IF(0=LEN(ReferenceData!$D$54),"",ReferenceData!$D$54),"")</f>
        <v>PX_LAST</v>
      </c>
      <c r="E54" t="str">
        <f>IFERROR(IF(0=LEN(ReferenceData!$E$54),"",ReferenceData!$E$54),"")</f>
        <v>动态</v>
      </c>
      <c r="F54">
        <f ca="1">IFERROR(IF(0=LEN(ReferenceData!$F$54),"",ReferenceData!$F$54),"")</f>
        <v>790.92600000000004</v>
      </c>
      <c r="G54">
        <f ca="1">IFERROR(IF(0=LEN(ReferenceData!$G$54),"",ReferenceData!$G$54),"")</f>
        <v>779.51700000000005</v>
      </c>
      <c r="H54">
        <f ca="1">IFERROR(IF(0=LEN(ReferenceData!$H$54),"",ReferenceData!$H$54),"")</f>
        <v>754.26599999999996</v>
      </c>
      <c r="I54">
        <f ca="1">IFERROR(IF(0=LEN(ReferenceData!$I$54),"",ReferenceData!$I$54),"")</f>
        <v>657.31299999999999</v>
      </c>
      <c r="J54">
        <f ca="1">IFERROR(IF(0=LEN(ReferenceData!$J$54),"",ReferenceData!$J$54),"")</f>
        <v>563.58500000000004</v>
      </c>
      <c r="K54">
        <f ca="1">IFERROR(IF(0=LEN(ReferenceData!$K$54),"",ReferenceData!$K$54),"")</f>
        <v>672.82100000000003</v>
      </c>
      <c r="L54">
        <f ca="1">IFERROR(IF(0=LEN(ReferenceData!$L$54),"",ReferenceData!$L$54),"")</f>
        <v>616.17100000000005</v>
      </c>
      <c r="M54">
        <f ca="1">IFERROR(IF(0=LEN(ReferenceData!$M$54),"",ReferenceData!$M$54),"")</f>
        <v>495.94600000000003</v>
      </c>
      <c r="N54">
        <f ca="1">IFERROR(IF(0=LEN(ReferenceData!$N$54),"",ReferenceData!$N$54),"")</f>
        <v>566.82100000000003</v>
      </c>
      <c r="O54">
        <f ca="1">IFERROR(IF(0=LEN(ReferenceData!$O$54),"",ReferenceData!$O$54),"")</f>
        <v>805.76400000000001</v>
      </c>
      <c r="P54">
        <f ca="1">IFERROR(IF(0=LEN(ReferenceData!$P$54),"",ReferenceData!$P$54),"")</f>
        <v>634.12099999999998</v>
      </c>
      <c r="Q54">
        <f ca="1">IFERROR(IF(0=LEN(ReferenceData!$Q$54),"",ReferenceData!$Q$54),"")</f>
        <v>689.89200000000005</v>
      </c>
      <c r="R54">
        <f ca="1">IFERROR(IF(0=LEN(ReferenceData!$R$54),"",ReferenceData!$R$54),"")</f>
        <v>774.04499999999996</v>
      </c>
      <c r="S54">
        <f ca="1">IFERROR(IF(0=LEN(ReferenceData!$S$54),"",ReferenceData!$S$54),"")</f>
        <v>816.00300000000004</v>
      </c>
      <c r="T54">
        <f ca="1">IFERROR(IF(0=LEN(ReferenceData!$T$54),"",ReferenceData!$T$54),"")</f>
        <v>852.83500000000004</v>
      </c>
      <c r="U54">
        <f ca="1">IFERROR(IF(0=LEN(ReferenceData!$U$54),"",ReferenceData!$U$54),"")</f>
        <v>845.72900000000004</v>
      </c>
      <c r="V54">
        <f ca="1">IFERROR(IF(0=LEN(ReferenceData!$V$54),"",ReferenceData!$V$54),"")</f>
        <v>956.55399999999997</v>
      </c>
      <c r="W54">
        <f ca="1">IFERROR(IF(0=LEN(ReferenceData!$W$54),"",ReferenceData!$W$54),"")</f>
        <v>927.56799999999998</v>
      </c>
      <c r="X54">
        <f ca="1">IFERROR(IF(0=LEN(ReferenceData!$X$54),"",ReferenceData!$X$54),"")</f>
        <v>896.82500000000005</v>
      </c>
      <c r="Y54">
        <f ca="1">IFERROR(IF(0=LEN(ReferenceData!$Y$54),"",ReferenceData!$Y$54),"")</f>
        <v>869.976</v>
      </c>
      <c r="Z54">
        <f ca="1">IFERROR(IF(0=LEN(ReferenceData!$Z$54),"",ReferenceData!$Z$54),"")</f>
        <v>908.98299999999995</v>
      </c>
      <c r="AA54">
        <f ca="1">IFERROR(IF(0=LEN(ReferenceData!$AA$54),"",ReferenceData!$AA$54),"")</f>
        <v>808.41399999999999</v>
      </c>
      <c r="AB54">
        <f ca="1">IFERROR(IF(0=LEN(ReferenceData!$AB$54),"",ReferenceData!$AB$54),"")</f>
        <v>666.41</v>
      </c>
      <c r="AC54">
        <f ca="1">IFERROR(IF(0=LEN(ReferenceData!$AC$54),"",ReferenceData!$AC$54),"")</f>
        <v>572.83199999999999</v>
      </c>
      <c r="AD54">
        <f ca="1">IFERROR(IF(0=LEN(ReferenceData!$AD$54),"",ReferenceData!$AD$54),"")</f>
        <v>702.976</v>
      </c>
      <c r="AE54">
        <f ca="1">IFERROR(IF(0=LEN(ReferenceData!$AE$54),"",ReferenceData!$AE$54),"")</f>
        <v>724.73400000000004</v>
      </c>
      <c r="AF54">
        <f ca="1">IFERROR(IF(0=LEN(ReferenceData!$AF$54),"",ReferenceData!$AF$54),"")</f>
        <v>644.24099999999999</v>
      </c>
      <c r="AG54">
        <f ca="1">IFERROR(IF(0=LEN(ReferenceData!$AG$54),"",ReferenceData!$AG$54),"")</f>
        <v>636.84100000000001</v>
      </c>
      <c r="AH54">
        <f ca="1">IFERROR(IF(0=LEN(ReferenceData!$AH$54),"",ReferenceData!$AH$54),"")</f>
        <v>701.23</v>
      </c>
      <c r="AI54">
        <f ca="1">IFERROR(IF(0=LEN(ReferenceData!$AI$54),"",ReferenceData!$AI$54),"")</f>
        <v>288.64800000000002</v>
      </c>
      <c r="AJ54">
        <f ca="1">IFERROR(IF(0=LEN(ReferenceData!$AJ$54),"",ReferenceData!$AJ$54),"")</f>
        <v>238.30699999999999</v>
      </c>
      <c r="AK54">
        <f ca="1">IFERROR(IF(0=LEN(ReferenceData!$AK$54),"",ReferenceData!$AK$54),"")</f>
        <v>290.81099999999998</v>
      </c>
      <c r="AL54">
        <f ca="1">IFERROR(IF(0=LEN(ReferenceData!$AL$54),"",ReferenceData!$AL$54),"")</f>
        <v>246.54400000000001</v>
      </c>
      <c r="AM54">
        <f ca="1">IFERROR(IF(0=LEN(ReferenceData!$AM$54),"",ReferenceData!$AM$54),"")</f>
        <v>269.70299999999997</v>
      </c>
      <c r="AN54">
        <f ca="1">IFERROR(IF(0=LEN(ReferenceData!$AN$54),"",ReferenceData!$AN$54),"")</f>
        <v>226.25399999999999</v>
      </c>
      <c r="AO54">
        <f ca="1">IFERROR(IF(0=LEN(ReferenceData!$AO$54),"",ReferenceData!$AO$54),"")</f>
        <v>371.63099999999997</v>
      </c>
      <c r="AP54">
        <f ca="1">IFERROR(IF(0=LEN(ReferenceData!$AP$54),"",ReferenceData!$AP$54),"")</f>
        <v>317.52300000000002</v>
      </c>
      <c r="AQ54">
        <f ca="1">IFERROR(IF(0=LEN(ReferenceData!$AQ$54),"",ReferenceData!$AQ$54),"")</f>
        <v>338.358</v>
      </c>
      <c r="AR54">
        <f ca="1">IFERROR(IF(0=LEN(ReferenceData!$AR$54),"",ReferenceData!$AR$54),"")</f>
        <v>308.26400000000001</v>
      </c>
      <c r="AS54">
        <f ca="1">IFERROR(IF(0=LEN(ReferenceData!$AS$54),"",ReferenceData!$AS$54),"")</f>
        <v>305.31</v>
      </c>
      <c r="AT54">
        <f ca="1">IFERROR(IF(0=LEN(ReferenceData!$AT$54),"",ReferenceData!$AT$54),"")</f>
        <v>408.9975</v>
      </c>
      <c r="AU54">
        <f ca="1">IFERROR(IF(0=LEN(ReferenceData!$AU$54),"",ReferenceData!$AU$54),"")</f>
        <v>398.69200000000001</v>
      </c>
      <c r="AV54">
        <f ca="1">IFERROR(IF(0=LEN(ReferenceData!$AV$54),"",ReferenceData!$AV$54),"")</f>
        <v>363.10700000000003</v>
      </c>
      <c r="AW54">
        <f ca="1">IFERROR(IF(0=LEN(ReferenceData!$AW$54),"",ReferenceData!$AW$54),"")</f>
        <v>297.39299999999997</v>
      </c>
      <c r="AX54">
        <f ca="1">IFERROR(IF(0=LEN(ReferenceData!$AX$54),"",ReferenceData!$AX$54),"")</f>
        <v>353.923</v>
      </c>
      <c r="AY54">
        <f ca="1">IFERROR(IF(0=LEN(ReferenceData!$AY$54),"",ReferenceData!$AY$54),"")</f>
        <v>368.24299999999999</v>
      </c>
      <c r="AZ54">
        <f ca="1">IFERROR(IF(0=LEN(ReferenceData!$AZ$54),"",ReferenceData!$AZ$54),"")</f>
        <v>313.60899999999998</v>
      </c>
      <c r="BA54">
        <f ca="1">IFERROR(IF(0=LEN(ReferenceData!$BA$54),"",ReferenceData!$BA$54),"")</f>
        <v>332.178</v>
      </c>
      <c r="BB54">
        <f ca="1">IFERROR(IF(0=LEN(ReferenceData!$BB$54),"",ReferenceData!$BB$54),"")</f>
        <v>245.30199999999999</v>
      </c>
      <c r="BC54">
        <f ca="1">IFERROR(IF(0=LEN(ReferenceData!$BC$54),"",ReferenceData!$BC$54),"")</f>
        <v>267.99400000000003</v>
      </c>
      <c r="BD54">
        <f ca="1">IFERROR(IF(0=LEN(ReferenceData!$BD$54),"",ReferenceData!$BD$54),"")</f>
        <v>249.76</v>
      </c>
      <c r="BE54">
        <f ca="1">IFERROR(IF(0=LEN(ReferenceData!$BE$54),"",ReferenceData!$BE$54),"")</f>
        <v>276.125</v>
      </c>
      <c r="BF54">
        <f ca="1">IFERROR(IF(0=LEN(ReferenceData!$BF$54),"",ReferenceData!$BF$54),"")</f>
        <v>216.70500000000001</v>
      </c>
      <c r="BG54">
        <f ca="1">IFERROR(IF(0=LEN(ReferenceData!$BG$54),"",ReferenceData!$BG$54),"")</f>
        <v>244.26599999999999</v>
      </c>
      <c r="BH54">
        <f ca="1">IFERROR(IF(0=LEN(ReferenceData!$BH$54),"",ReferenceData!$BH$54),"")</f>
        <v>264.85500000000002</v>
      </c>
      <c r="BI54">
        <f ca="1">IFERROR(IF(0=LEN(ReferenceData!$BI$54),"",ReferenceData!$BI$54),"")</f>
        <v>348.25200000000001</v>
      </c>
      <c r="BJ54">
        <f ca="1">IFERROR(IF(0=LEN(ReferenceData!$BJ$54),"",ReferenceData!$BJ$54),"")</f>
        <v>142</v>
      </c>
      <c r="BK54">
        <f ca="1">IFERROR(IF(0=LEN(ReferenceData!$BK$54),"",ReferenceData!$BK$54),"")</f>
        <v>124</v>
      </c>
      <c r="BL54">
        <f ca="1">IFERROR(IF(0=LEN(ReferenceData!$BL$54),"",ReferenceData!$BL$54),"")</f>
        <v>129</v>
      </c>
      <c r="BM54">
        <f ca="1">IFERROR(IF(0=LEN(ReferenceData!$BM$54),"",ReferenceData!$BM$54),"")</f>
        <v>110</v>
      </c>
    </row>
    <row r="55" spans="1:65">
      <c r="A55" t="str">
        <f>IFERROR(IF(0=LEN(ReferenceData!$A$55),"",ReferenceData!$A$55),"")</f>
        <v xml:space="preserve">    Data Center REITs</v>
      </c>
      <c r="B55" t="str">
        <f>IFERROR(IF(0=LEN(ReferenceData!$B$55),"",ReferenceData!$B$55),"")</f>
        <v>RECFNODC Index</v>
      </c>
      <c r="C55" t="str">
        <f>IFERROR(IF(0=LEN(ReferenceData!$C$55),"",ReferenceData!$C$55),"")</f>
        <v>PR005</v>
      </c>
      <c r="D55" t="str">
        <f>IFERROR(IF(0=LEN(ReferenceData!$D$55),"",ReferenceData!$D$55),"")</f>
        <v>PX_LAST</v>
      </c>
      <c r="E55" t="str">
        <f>IFERROR(IF(0=LEN(ReferenceData!$E$55),"",ReferenceData!$E$55),"")</f>
        <v>动态</v>
      </c>
      <c r="F55">
        <f ca="1">IFERROR(IF(0=LEN(ReferenceData!$F$55),"",ReferenceData!$F$55),"")</f>
        <v>1399.088</v>
      </c>
      <c r="G55">
        <f ca="1">IFERROR(IF(0=LEN(ReferenceData!$G$55),"",ReferenceData!$G$55),"")</f>
        <v>1278.048</v>
      </c>
      <c r="H55">
        <f ca="1">IFERROR(IF(0=LEN(ReferenceData!$H$55),"",ReferenceData!$H$55),"")</f>
        <v>1293.54</v>
      </c>
      <c r="I55">
        <f ca="1">IFERROR(IF(0=LEN(ReferenceData!$I$55),"",ReferenceData!$I$55),"")</f>
        <v>1187.239</v>
      </c>
      <c r="J55">
        <f ca="1">IFERROR(IF(0=LEN(ReferenceData!$J$55),"",ReferenceData!$J$55),"")</f>
        <v>1179.809</v>
      </c>
      <c r="K55">
        <f ca="1">IFERROR(IF(0=LEN(ReferenceData!$K$55),"",ReferenceData!$K$55),"")</f>
        <v>1151.077</v>
      </c>
      <c r="L55">
        <f ca="1">IFERROR(IF(0=LEN(ReferenceData!$L$55),"",ReferenceData!$L$55),"")</f>
        <v>1105.4000000000001</v>
      </c>
      <c r="M55">
        <f ca="1">IFERROR(IF(0=LEN(ReferenceData!$M$55),"",ReferenceData!$M$55),"")</f>
        <v>1050.2750000000001</v>
      </c>
      <c r="N55">
        <f ca="1">IFERROR(IF(0=LEN(ReferenceData!$N$55),"",ReferenceData!$N$55),"")</f>
        <v>967.755</v>
      </c>
      <c r="O55">
        <f ca="1">IFERROR(IF(0=LEN(ReferenceData!$O$55),"",ReferenceData!$O$55),"")</f>
        <v>893.69600000000003</v>
      </c>
      <c r="P55">
        <f ca="1">IFERROR(IF(0=LEN(ReferenceData!$P$55),"",ReferenceData!$P$55),"")</f>
        <v>856.58</v>
      </c>
      <c r="Q55">
        <f ca="1">IFERROR(IF(0=LEN(ReferenceData!$Q$55),"",ReferenceData!$Q$55),"")</f>
        <v>825.899</v>
      </c>
      <c r="R55">
        <f ca="1">IFERROR(IF(0=LEN(ReferenceData!$R$55),"",ReferenceData!$R$55),"")</f>
        <v>453.11900000000003</v>
      </c>
      <c r="S55">
        <f ca="1">IFERROR(IF(0=LEN(ReferenceData!$S$55),"",ReferenceData!$S$55),"")</f>
        <v>440.89600000000002</v>
      </c>
      <c r="T55">
        <f ca="1">IFERROR(IF(0=LEN(ReferenceData!$T$55),"",ReferenceData!$T$55),"")</f>
        <v>434.20499999999998</v>
      </c>
      <c r="U55">
        <f ca="1">IFERROR(IF(0=LEN(ReferenceData!$U$55),"",ReferenceData!$U$55),"")</f>
        <v>425.08600000000001</v>
      </c>
      <c r="V55">
        <f ca="1">IFERROR(IF(0=LEN(ReferenceData!$V$55),"",ReferenceData!$V$55),"")</f>
        <v>407.06099999999998</v>
      </c>
      <c r="W55">
        <f ca="1">IFERROR(IF(0=LEN(ReferenceData!$W$55),"",ReferenceData!$W$55),"")</f>
        <v>360.411</v>
      </c>
      <c r="X55">
        <f ca="1">IFERROR(IF(0=LEN(ReferenceData!$X$55),"",ReferenceData!$X$55),"")</f>
        <v>364.94200000000001</v>
      </c>
      <c r="Y55">
        <f ca="1">IFERROR(IF(0=LEN(ReferenceData!$Y$55),"",ReferenceData!$Y$55),"")</f>
        <v>346.20699999999999</v>
      </c>
      <c r="Z55">
        <f ca="1">IFERROR(IF(0=LEN(ReferenceData!$Z$55),"",ReferenceData!$Z$55),"")</f>
        <v>303.83800000000002</v>
      </c>
      <c r="AA55">
        <f ca="1">IFERROR(IF(0=LEN(ReferenceData!$AA$55),"",ReferenceData!$AA$55),"")</f>
        <v>297.58</v>
      </c>
      <c r="AB55">
        <f ca="1">IFERROR(IF(0=LEN(ReferenceData!$AB$55),"",ReferenceData!$AB$55),"")</f>
        <v>273.084</v>
      </c>
      <c r="AC55">
        <f ca="1">IFERROR(IF(0=LEN(ReferenceData!$AC$55),"",ReferenceData!$AC$55),"")</f>
        <v>262.18700000000001</v>
      </c>
      <c r="AD55">
        <f ca="1">IFERROR(IF(0=LEN(ReferenceData!$AD$55),"",ReferenceData!$AD$55),"")</f>
        <v>248.065</v>
      </c>
      <c r="AE55">
        <f ca="1">IFERROR(IF(0=LEN(ReferenceData!$AE$55),"",ReferenceData!$AE$55),"")</f>
        <v>240.99</v>
      </c>
      <c r="AF55">
        <f ca="1">IFERROR(IF(0=LEN(ReferenceData!$AF$55),"",ReferenceData!$AF$55),"")</f>
        <v>239.02</v>
      </c>
      <c r="AG55">
        <f ca="1">IFERROR(IF(0=LEN(ReferenceData!$AG$55),"",ReferenceData!$AG$55),"")</f>
        <v>229.285</v>
      </c>
      <c r="AH55">
        <f ca="1">IFERROR(IF(0=LEN(ReferenceData!$AH$55),"",ReferenceData!$AH$55),"")</f>
        <v>225.11</v>
      </c>
      <c r="AI55">
        <f ca="1">IFERROR(IF(0=LEN(ReferenceData!$AI$55),"",ReferenceData!$AI$55),"")</f>
        <v>188.36099999999999</v>
      </c>
      <c r="AJ55">
        <f ca="1">IFERROR(IF(0=LEN(ReferenceData!$AJ$55),"",ReferenceData!$AJ$55),"")</f>
        <v>168.49199999999999</v>
      </c>
      <c r="AK55">
        <f ca="1">IFERROR(IF(0=LEN(ReferenceData!$AK$55),"",ReferenceData!$AK$55),"")</f>
        <v>160.54900000000001</v>
      </c>
      <c r="AL55">
        <f ca="1">IFERROR(IF(0=LEN(ReferenceData!$AL$55),"",ReferenceData!$AL$55),"")</f>
        <v>146.11600000000001</v>
      </c>
      <c r="AM55">
        <f ca="1">IFERROR(IF(0=LEN(ReferenceData!$AM$55),"",ReferenceData!$AM$55),"")</f>
        <v>137.679</v>
      </c>
      <c r="AN55">
        <f ca="1">IFERROR(IF(0=LEN(ReferenceData!$AN$55),"",ReferenceData!$AN$55),"")</f>
        <v>131.178</v>
      </c>
      <c r="AO55">
        <f ca="1">IFERROR(IF(0=LEN(ReferenceData!$AO$55),"",ReferenceData!$AO$55),"")</f>
        <v>123.351</v>
      </c>
      <c r="AP55">
        <f ca="1">IFERROR(IF(0=LEN(ReferenceData!$AP$55),"",ReferenceData!$AP$55),"")</f>
        <v>118.52</v>
      </c>
      <c r="AQ55">
        <f ca="1">IFERROR(IF(0=LEN(ReferenceData!$AQ$55),"",ReferenceData!$AQ$55),"")</f>
        <v>109.57299999999999</v>
      </c>
      <c r="AR55">
        <f ca="1">IFERROR(IF(0=LEN(ReferenceData!$AR$55),"",ReferenceData!$AR$55),"")</f>
        <v>105.167</v>
      </c>
      <c r="AS55">
        <f ca="1">IFERROR(IF(0=LEN(ReferenceData!$AS$55),"",ReferenceData!$AS$55),"")</f>
        <v>101.06100000000001</v>
      </c>
      <c r="AT55">
        <f ca="1">IFERROR(IF(0=LEN(ReferenceData!$AT$55),"",ReferenceData!$AT$55),"")</f>
        <v>-89.977000000000004</v>
      </c>
      <c r="AU55">
        <f ca="1">IFERROR(IF(0=LEN(ReferenceData!$AU$55),"",ReferenceData!$AU$55),"")</f>
        <v>64.885999999999996</v>
      </c>
      <c r="AV55">
        <f ca="1">IFERROR(IF(0=LEN(ReferenceData!$AV$55),"",ReferenceData!$AV$55),"")</f>
        <v>62.71</v>
      </c>
      <c r="AW55">
        <f ca="1">IFERROR(IF(0=LEN(ReferenceData!$AW$55),"",ReferenceData!$AW$55),"")</f>
        <v>58.762</v>
      </c>
      <c r="AX55">
        <f ca="1">IFERROR(IF(0=LEN(ReferenceData!$AX$55),"",ReferenceData!$AX$55),"")</f>
        <v>56.341999999999999</v>
      </c>
      <c r="AY55">
        <f ca="1">IFERROR(IF(0=LEN(ReferenceData!$AY$55),"",ReferenceData!$AY$55),"")</f>
        <v>49.524000000000001</v>
      </c>
      <c r="AZ55">
        <f ca="1">IFERROR(IF(0=LEN(ReferenceData!$AZ$55),"",ReferenceData!$AZ$55),"")</f>
        <v>42.926000000000002</v>
      </c>
      <c r="BA55">
        <f ca="1">IFERROR(IF(0=LEN(ReferenceData!$BA$55),"",ReferenceData!$BA$55),"")</f>
        <v>40.646000000000001</v>
      </c>
      <c r="BB55">
        <f ca="1">IFERROR(IF(0=LEN(ReferenceData!$BB$55),"",ReferenceData!$BB$55),"")</f>
        <v>38.790999999999997</v>
      </c>
      <c r="BC55">
        <f ca="1">IFERROR(IF(0=LEN(ReferenceData!$BC$55),"",ReferenceData!$BC$55),"")</f>
        <v>36.709000000000003</v>
      </c>
      <c r="BD55">
        <f ca="1">IFERROR(IF(0=LEN(ReferenceData!$BD$55),"",ReferenceData!$BD$55),"")</f>
        <v>30.559000000000001</v>
      </c>
      <c r="BE55">
        <f ca="1">IFERROR(IF(0=LEN(ReferenceData!$BE$55),"",ReferenceData!$BE$55),"")</f>
        <v>27.786000000000001</v>
      </c>
      <c r="BF55">
        <f ca="1">IFERROR(IF(0=LEN(ReferenceData!$BF$55),"",ReferenceData!$BF$55),"")</f>
        <v>17.585000000000001</v>
      </c>
      <c r="BG55">
        <f ca="1">IFERROR(IF(0=LEN(ReferenceData!$BG$55),"",ReferenceData!$BG$55),"")</f>
        <v>0</v>
      </c>
      <c r="BH55">
        <f ca="1">IFERROR(IF(0=LEN(ReferenceData!$BH$55),"",ReferenceData!$BH$55),"")</f>
        <v>0</v>
      </c>
      <c r="BI55">
        <f ca="1">IFERROR(IF(0=LEN(ReferenceData!$BI$55),"",ReferenceData!$BI$55),"")</f>
        <v>0</v>
      </c>
      <c r="BJ55">
        <f ca="1">IFERROR(IF(0=LEN(ReferenceData!$BJ$55),"",ReferenceData!$BJ$55),"")</f>
        <v>0</v>
      </c>
      <c r="BK55">
        <f ca="1">IFERROR(IF(0=LEN(ReferenceData!$BK$55),"",ReferenceData!$BK$55),"")</f>
        <v>0</v>
      </c>
      <c r="BL55">
        <f ca="1">IFERROR(IF(0=LEN(ReferenceData!$BL$55),"",ReferenceData!$BL$55),"")</f>
        <v>0</v>
      </c>
      <c r="BM55">
        <f ca="1">IFERROR(IF(0=LEN(ReferenceData!$BM$55),"",ReferenceData!$BM$55),"")</f>
        <v>0</v>
      </c>
    </row>
    <row r="56" spans="1:65">
      <c r="A56" t="str">
        <f>IFERROR(IF(0=LEN(ReferenceData!$A$56),"",ReferenceData!$A$56),"")</f>
        <v xml:space="preserve">    Specialty REITs</v>
      </c>
      <c r="B56" t="str">
        <f>IFERROR(IF(0=LEN(ReferenceData!$B$56),"",ReferenceData!$B$56),"")</f>
        <v>RECFNOSP Index</v>
      </c>
      <c r="C56" t="str">
        <f>IFERROR(IF(0=LEN(ReferenceData!$C$56),"",ReferenceData!$C$56),"")</f>
        <v>PR005</v>
      </c>
      <c r="D56" t="str">
        <f>IFERROR(IF(0=LEN(ReferenceData!$D$56),"",ReferenceData!$D$56),"")</f>
        <v>PX_LAST</v>
      </c>
      <c r="E56" t="str">
        <f>IFERROR(IF(0=LEN(ReferenceData!$E$56),"",ReferenceData!$E$56),"")</f>
        <v>动态</v>
      </c>
      <c r="F56">
        <f ca="1">IFERROR(IF(0=LEN(ReferenceData!$F$56),"",ReferenceData!$F$56),"")</f>
        <v>1543.3613399999999</v>
      </c>
      <c r="G56">
        <f ca="1">IFERROR(IF(0=LEN(ReferenceData!$G$56),"",ReferenceData!$G$56),"")</f>
        <v>1517.2180000000001</v>
      </c>
      <c r="H56">
        <f ca="1">IFERROR(IF(0=LEN(ReferenceData!$H$56),"",ReferenceData!$H$56),"")</f>
        <v>1505.905</v>
      </c>
      <c r="I56">
        <f ca="1">IFERROR(IF(0=LEN(ReferenceData!$I$56),"",ReferenceData!$I$56),"")</f>
        <v>1370.9570000000001</v>
      </c>
      <c r="J56">
        <f ca="1">IFERROR(IF(0=LEN(ReferenceData!$J$56),"",ReferenceData!$J$56),"")</f>
        <v>1475.011</v>
      </c>
      <c r="K56">
        <f ca="1">IFERROR(IF(0=LEN(ReferenceData!$K$56),"",ReferenceData!$K$56),"")</f>
        <v>1457.173</v>
      </c>
      <c r="L56">
        <f ca="1">IFERROR(IF(0=LEN(ReferenceData!$L$56),"",ReferenceData!$L$56),"")</f>
        <v>1401.867</v>
      </c>
      <c r="M56">
        <f ca="1">IFERROR(IF(0=LEN(ReferenceData!$M$56),"",ReferenceData!$M$56),"")</f>
        <v>1188.598</v>
      </c>
      <c r="N56">
        <f ca="1">IFERROR(IF(0=LEN(ReferenceData!$N$56),"",ReferenceData!$N$56),"")</f>
        <v>1252.703</v>
      </c>
      <c r="O56">
        <f ca="1">IFERROR(IF(0=LEN(ReferenceData!$O$56),"",ReferenceData!$O$56),"")</f>
        <v>0</v>
      </c>
      <c r="P56">
        <f ca="1">IFERROR(IF(0=LEN(ReferenceData!$P$56),"",ReferenceData!$P$56),"")</f>
        <v>0</v>
      </c>
      <c r="Q56">
        <f ca="1">IFERROR(IF(0=LEN(ReferenceData!$Q$56),"",ReferenceData!$Q$56),"")</f>
        <v>0</v>
      </c>
      <c r="R56">
        <f ca="1">IFERROR(IF(0=LEN(ReferenceData!$R$56),"",ReferenceData!$R$56),"")</f>
        <v>0</v>
      </c>
      <c r="S56">
        <f ca="1">IFERROR(IF(0=LEN(ReferenceData!$S$56),"",ReferenceData!$S$56),"")</f>
        <v>0</v>
      </c>
      <c r="T56">
        <f ca="1">IFERROR(IF(0=LEN(ReferenceData!$T$56),"",ReferenceData!$T$56),"")</f>
        <v>0</v>
      </c>
      <c r="U56">
        <f ca="1">IFERROR(IF(0=LEN(ReferenceData!$U$56),"",ReferenceData!$U$56),"")</f>
        <v>0</v>
      </c>
      <c r="V56">
        <f ca="1">IFERROR(IF(0=LEN(ReferenceData!$V$56),"",ReferenceData!$V$56),"")</f>
        <v>0</v>
      </c>
      <c r="W56">
        <f ca="1">IFERROR(IF(0=LEN(ReferenceData!$W$56),"",ReferenceData!$W$56),"")</f>
        <v>0</v>
      </c>
      <c r="X56">
        <f ca="1">IFERROR(IF(0=LEN(ReferenceData!$X$56),"",ReferenceData!$X$56),"")</f>
        <v>0</v>
      </c>
      <c r="Y56">
        <f ca="1">IFERROR(IF(0=LEN(ReferenceData!$Y$56),"",ReferenceData!$Y$56),"")</f>
        <v>0</v>
      </c>
      <c r="Z56">
        <f ca="1">IFERROR(IF(0=LEN(ReferenceData!$Z$56),"",ReferenceData!$Z$56),"")</f>
        <v>0</v>
      </c>
      <c r="AA56">
        <f ca="1">IFERROR(IF(0=LEN(ReferenceData!$AA$56),"",ReferenceData!$AA$56),"")</f>
        <v>0</v>
      </c>
      <c r="AB56">
        <f ca="1">IFERROR(IF(0=LEN(ReferenceData!$AB$56),"",ReferenceData!$AB$56),"")</f>
        <v>0</v>
      </c>
      <c r="AC56">
        <f ca="1">IFERROR(IF(0=LEN(ReferenceData!$AC$56),"",ReferenceData!$AC$56),"")</f>
        <v>0</v>
      </c>
      <c r="AD56">
        <f ca="1">IFERROR(IF(0=LEN(ReferenceData!$AD$56),"",ReferenceData!$AD$56),"")</f>
        <v>0</v>
      </c>
      <c r="AE56">
        <f ca="1">IFERROR(IF(0=LEN(ReferenceData!$AE$56),"",ReferenceData!$AE$56),"")</f>
        <v>0</v>
      </c>
      <c r="AF56">
        <f ca="1">IFERROR(IF(0=LEN(ReferenceData!$AF$56),"",ReferenceData!$AF$56),"")</f>
        <v>0</v>
      </c>
      <c r="AG56">
        <f ca="1">IFERROR(IF(0=LEN(ReferenceData!$AG$56),"",ReferenceData!$AG$56),"")</f>
        <v>0</v>
      </c>
      <c r="AH56">
        <f ca="1">IFERROR(IF(0=LEN(ReferenceData!$AH$56),"",ReferenceData!$AH$56),"")</f>
        <v>0</v>
      </c>
      <c r="AI56">
        <f ca="1">IFERROR(IF(0=LEN(ReferenceData!$AI$56),"",ReferenceData!$AI$56),"")</f>
        <v>57.826999999999998</v>
      </c>
      <c r="AJ56">
        <f ca="1">IFERROR(IF(0=LEN(ReferenceData!$AJ$56),"",ReferenceData!$AJ$56),"")</f>
        <v>55.493000000000002</v>
      </c>
      <c r="AK56">
        <f ca="1">IFERROR(IF(0=LEN(ReferenceData!$AK$56),"",ReferenceData!$AK$56),"")</f>
        <v>52.898000000000003</v>
      </c>
      <c r="AL56">
        <f ca="1">IFERROR(IF(0=LEN(ReferenceData!$AL$56),"",ReferenceData!$AL$56),"")</f>
        <v>49.35</v>
      </c>
      <c r="AM56">
        <f ca="1">IFERROR(IF(0=LEN(ReferenceData!$AM$56),"",ReferenceData!$AM$56),"")</f>
        <v>49.323</v>
      </c>
      <c r="AN56">
        <f ca="1">IFERROR(IF(0=LEN(ReferenceData!$AN$56),"",ReferenceData!$AN$56),"")</f>
        <v>48.383000000000003</v>
      </c>
      <c r="AO56">
        <f ca="1">IFERROR(IF(0=LEN(ReferenceData!$AO$56),"",ReferenceData!$AO$56),"")</f>
        <v>47.027000000000001</v>
      </c>
      <c r="AP56">
        <f ca="1">IFERROR(IF(0=LEN(ReferenceData!$AP$56),"",ReferenceData!$AP$56),"")</f>
        <v>49.320999999999998</v>
      </c>
      <c r="AQ56">
        <f ca="1">IFERROR(IF(0=LEN(ReferenceData!$AQ$56),"",ReferenceData!$AQ$56),"")</f>
        <v>50.776000000000003</v>
      </c>
      <c r="AR56">
        <f ca="1">IFERROR(IF(0=LEN(ReferenceData!$AR$56),"",ReferenceData!$AR$56),"")</f>
        <v>48.825000000000003</v>
      </c>
      <c r="AS56">
        <f ca="1">IFERROR(IF(0=LEN(ReferenceData!$AS$56),"",ReferenceData!$AS$56),"")</f>
        <v>47.732999999999997</v>
      </c>
      <c r="AT56">
        <f ca="1">IFERROR(IF(0=LEN(ReferenceData!$AT$56),"",ReferenceData!$AT$56),"")</f>
        <v>47.893999999999998</v>
      </c>
      <c r="AU56">
        <f ca="1">IFERROR(IF(0=LEN(ReferenceData!$AU$56),"",ReferenceData!$AU$56),"")</f>
        <v>47.042000000000002</v>
      </c>
      <c r="AV56">
        <f ca="1">IFERROR(IF(0=LEN(ReferenceData!$AV$56),"",ReferenceData!$AV$56),"")</f>
        <v>44.478999999999999</v>
      </c>
      <c r="AW56">
        <f ca="1">IFERROR(IF(0=LEN(ReferenceData!$AW$56),"",ReferenceData!$AW$56),"")</f>
        <v>41.996000000000002</v>
      </c>
      <c r="AX56">
        <f ca="1">IFERROR(IF(0=LEN(ReferenceData!$AX$56),"",ReferenceData!$AX$56),"")</f>
        <v>87.134</v>
      </c>
      <c r="AY56">
        <f ca="1">IFERROR(IF(0=LEN(ReferenceData!$AY$56),"",ReferenceData!$AY$56),"")</f>
        <v>179.953</v>
      </c>
      <c r="AZ56">
        <f ca="1">IFERROR(IF(0=LEN(ReferenceData!$AZ$56),"",ReferenceData!$AZ$56),"")</f>
        <v>189.94900000000001</v>
      </c>
      <c r="BA56">
        <f ca="1">IFERROR(IF(0=LEN(ReferenceData!$BA$56),"",ReferenceData!$BA$56),"")</f>
        <v>162.191</v>
      </c>
      <c r="BB56">
        <f ca="1">IFERROR(IF(0=LEN(ReferenceData!$BB$56),"",ReferenceData!$BB$56),"")</f>
        <v>110.828</v>
      </c>
      <c r="BC56">
        <f ca="1">IFERROR(IF(0=LEN(ReferenceData!$BC$56),"",ReferenceData!$BC$56),"")</f>
        <v>162.52199999999999</v>
      </c>
      <c r="BD56">
        <f ca="1">IFERROR(IF(0=LEN(ReferenceData!$BD$56),"",ReferenceData!$BD$56),"")</f>
        <v>146.42099999999999</v>
      </c>
      <c r="BE56">
        <f ca="1">IFERROR(IF(0=LEN(ReferenceData!$BE$56),"",ReferenceData!$BE$56),"")</f>
        <v>146.24700000000001</v>
      </c>
      <c r="BF56">
        <f ca="1">IFERROR(IF(0=LEN(ReferenceData!$BF$56),"",ReferenceData!$BF$56),"")</f>
        <v>200.459</v>
      </c>
      <c r="BG56">
        <f ca="1">IFERROR(IF(0=LEN(ReferenceData!$BG$56),"",ReferenceData!$BG$56),"")</f>
        <v>172.85499999999999</v>
      </c>
      <c r="BH56">
        <f ca="1">IFERROR(IF(0=LEN(ReferenceData!$BH$56),"",ReferenceData!$BH$56),"")</f>
        <v>130.38399999999999</v>
      </c>
      <c r="BI56">
        <f ca="1">IFERROR(IF(0=LEN(ReferenceData!$BI$56),"",ReferenceData!$BI$56),"")</f>
        <v>121.50700000000001</v>
      </c>
      <c r="BJ56">
        <f ca="1">IFERROR(IF(0=LEN(ReferenceData!$BJ$56),"",ReferenceData!$BJ$56),"")</f>
        <v>106.209</v>
      </c>
      <c r="BK56">
        <f ca="1">IFERROR(IF(0=LEN(ReferenceData!$BK$56),"",ReferenceData!$BK$56),"")</f>
        <v>100.194</v>
      </c>
      <c r="BL56">
        <f ca="1">IFERROR(IF(0=LEN(ReferenceData!$BL$56),"",ReferenceData!$BL$56),"")</f>
        <v>71.808999999999997</v>
      </c>
      <c r="BM56">
        <f ca="1">IFERROR(IF(0=LEN(ReferenceData!$BM$56),"",ReferenceData!$BM$56),"")</f>
        <v>68.171000000000006</v>
      </c>
    </row>
    <row r="57" spans="1:65">
      <c r="A57" t="str">
        <f>IFERROR(IF(0=LEN(ReferenceData!$A$57),"",ReferenceData!$A$57),"")</f>
        <v xml:space="preserve">    </v>
      </c>
      <c r="B57" t="str">
        <f>IFERROR(IF(0=LEN(ReferenceData!$B$57),"",ReferenceData!$B$57),"")</f>
        <v/>
      </c>
      <c r="C57" t="str">
        <f>IFERROR(IF(0=LEN(ReferenceData!$C$57),"",ReferenceData!$C$57),"")</f>
        <v/>
      </c>
      <c r="D57" t="str">
        <f>IFERROR(IF(0=LEN(ReferenceData!$D$57),"",ReferenceData!$D$57),"")</f>
        <v/>
      </c>
      <c r="E57" t="str">
        <f>IFERROR(IF(0=LEN(ReferenceData!$E$57),"",ReferenceData!$E$57),"")</f>
        <v>静态</v>
      </c>
      <c r="F57" t="str">
        <f ca="1">IFERROR(IF(0=LEN(ReferenceData!$F$57),"",ReferenceData!$F$57),"")</f>
        <v/>
      </c>
      <c r="G57" t="str">
        <f ca="1">IFERROR(IF(0=LEN(ReferenceData!$G$57),"",ReferenceData!$G$57),"")</f>
        <v/>
      </c>
      <c r="H57" t="str">
        <f ca="1">IFERROR(IF(0=LEN(ReferenceData!$H$57),"",ReferenceData!$H$57),"")</f>
        <v/>
      </c>
      <c r="I57" t="str">
        <f ca="1">IFERROR(IF(0=LEN(ReferenceData!$I$57),"",ReferenceData!$I$57),"")</f>
        <v/>
      </c>
      <c r="J57" t="str">
        <f ca="1">IFERROR(IF(0=LEN(ReferenceData!$J$57),"",ReferenceData!$J$57),"")</f>
        <v/>
      </c>
      <c r="K57" t="str">
        <f ca="1">IFERROR(IF(0=LEN(ReferenceData!$K$57),"",ReferenceData!$K$57),"")</f>
        <v/>
      </c>
      <c r="L57" t="str">
        <f ca="1">IFERROR(IF(0=LEN(ReferenceData!$L$57),"",ReferenceData!$L$57),"")</f>
        <v/>
      </c>
      <c r="M57" t="str">
        <f ca="1">IFERROR(IF(0=LEN(ReferenceData!$M$57),"",ReferenceData!$M$57),"")</f>
        <v/>
      </c>
      <c r="N57" t="str">
        <f ca="1">IFERROR(IF(0=LEN(ReferenceData!$N$57),"",ReferenceData!$N$57),"")</f>
        <v/>
      </c>
      <c r="O57" t="str">
        <f ca="1">IFERROR(IF(0=LEN(ReferenceData!$O$57),"",ReferenceData!$O$57),"")</f>
        <v/>
      </c>
      <c r="P57" t="str">
        <f ca="1">IFERROR(IF(0=LEN(ReferenceData!$P$57),"",ReferenceData!$P$57),"")</f>
        <v/>
      </c>
      <c r="Q57" t="str">
        <f ca="1">IFERROR(IF(0=LEN(ReferenceData!$Q$57),"",ReferenceData!$Q$57),"")</f>
        <v/>
      </c>
      <c r="R57" t="str">
        <f ca="1">IFERROR(IF(0=LEN(ReferenceData!$R$57),"",ReferenceData!$R$57),"")</f>
        <v/>
      </c>
      <c r="S57" t="str">
        <f ca="1">IFERROR(IF(0=LEN(ReferenceData!$S$57),"",ReferenceData!$S$57),"")</f>
        <v/>
      </c>
      <c r="T57" t="str">
        <f ca="1">IFERROR(IF(0=LEN(ReferenceData!$T$57),"",ReferenceData!$T$57),"")</f>
        <v/>
      </c>
      <c r="U57" t="str">
        <f ca="1">IFERROR(IF(0=LEN(ReferenceData!$U$57),"",ReferenceData!$U$57),"")</f>
        <v/>
      </c>
      <c r="V57" t="str">
        <f ca="1">IFERROR(IF(0=LEN(ReferenceData!$V$57),"",ReferenceData!$V$57),"")</f>
        <v/>
      </c>
      <c r="W57" t="str">
        <f ca="1">IFERROR(IF(0=LEN(ReferenceData!$W$57),"",ReferenceData!$W$57),"")</f>
        <v/>
      </c>
      <c r="X57" t="str">
        <f ca="1">IFERROR(IF(0=LEN(ReferenceData!$X$57),"",ReferenceData!$X$57),"")</f>
        <v/>
      </c>
      <c r="Y57" t="str">
        <f ca="1">IFERROR(IF(0=LEN(ReferenceData!$Y$57),"",ReferenceData!$Y$57),"")</f>
        <v/>
      </c>
      <c r="Z57" t="str">
        <f ca="1">IFERROR(IF(0=LEN(ReferenceData!$Z$57),"",ReferenceData!$Z$57),"")</f>
        <v/>
      </c>
      <c r="AA57" t="str">
        <f ca="1">IFERROR(IF(0=LEN(ReferenceData!$AA$57),"",ReferenceData!$AA$57),"")</f>
        <v/>
      </c>
      <c r="AB57" t="str">
        <f ca="1">IFERROR(IF(0=LEN(ReferenceData!$AB$57),"",ReferenceData!$AB$57),"")</f>
        <v/>
      </c>
      <c r="AC57" t="str">
        <f ca="1">IFERROR(IF(0=LEN(ReferenceData!$AC$57),"",ReferenceData!$AC$57),"")</f>
        <v/>
      </c>
      <c r="AD57" t="str">
        <f ca="1">IFERROR(IF(0=LEN(ReferenceData!$AD$57),"",ReferenceData!$AD$57),"")</f>
        <v/>
      </c>
      <c r="AE57" t="str">
        <f ca="1">IFERROR(IF(0=LEN(ReferenceData!$AE$57),"",ReferenceData!$AE$57),"")</f>
        <v/>
      </c>
      <c r="AF57" t="str">
        <f ca="1">IFERROR(IF(0=LEN(ReferenceData!$AF$57),"",ReferenceData!$AF$57),"")</f>
        <v/>
      </c>
      <c r="AG57" t="str">
        <f ca="1">IFERROR(IF(0=LEN(ReferenceData!$AG$57),"",ReferenceData!$AG$57),"")</f>
        <v/>
      </c>
      <c r="AH57" t="str">
        <f ca="1">IFERROR(IF(0=LEN(ReferenceData!$AH$57),"",ReferenceData!$AH$57),"")</f>
        <v/>
      </c>
      <c r="AI57" t="str">
        <f ca="1">IFERROR(IF(0=LEN(ReferenceData!$AI$57),"",ReferenceData!$AI$57),"")</f>
        <v/>
      </c>
      <c r="AJ57" t="str">
        <f ca="1">IFERROR(IF(0=LEN(ReferenceData!$AJ$57),"",ReferenceData!$AJ$57),"")</f>
        <v/>
      </c>
      <c r="AK57" t="str">
        <f ca="1">IFERROR(IF(0=LEN(ReferenceData!$AK$57),"",ReferenceData!$AK$57),"")</f>
        <v/>
      </c>
      <c r="AL57" t="str">
        <f ca="1">IFERROR(IF(0=LEN(ReferenceData!$AL$57),"",ReferenceData!$AL$57),"")</f>
        <v/>
      </c>
      <c r="AM57" t="str">
        <f ca="1">IFERROR(IF(0=LEN(ReferenceData!$AM$57),"",ReferenceData!$AM$57),"")</f>
        <v/>
      </c>
      <c r="AN57" t="str">
        <f ca="1">IFERROR(IF(0=LEN(ReferenceData!$AN$57),"",ReferenceData!$AN$57),"")</f>
        <v/>
      </c>
      <c r="AO57" t="str">
        <f ca="1">IFERROR(IF(0=LEN(ReferenceData!$AO$57),"",ReferenceData!$AO$57),"")</f>
        <v/>
      </c>
      <c r="AP57" t="str">
        <f ca="1">IFERROR(IF(0=LEN(ReferenceData!$AP$57),"",ReferenceData!$AP$57),"")</f>
        <v/>
      </c>
      <c r="AQ57" t="str">
        <f ca="1">IFERROR(IF(0=LEN(ReferenceData!$AQ$57),"",ReferenceData!$AQ$57),"")</f>
        <v/>
      </c>
      <c r="AR57" t="str">
        <f ca="1">IFERROR(IF(0=LEN(ReferenceData!$AR$57),"",ReferenceData!$AR$57),"")</f>
        <v/>
      </c>
      <c r="AS57" t="str">
        <f ca="1">IFERROR(IF(0=LEN(ReferenceData!$AS$57),"",ReferenceData!$AS$57),"")</f>
        <v/>
      </c>
      <c r="AT57" t="str">
        <f ca="1">IFERROR(IF(0=LEN(ReferenceData!$AT$57),"",ReferenceData!$AT$57),"")</f>
        <v/>
      </c>
      <c r="AU57" t="str">
        <f ca="1">IFERROR(IF(0=LEN(ReferenceData!$AU$57),"",ReferenceData!$AU$57),"")</f>
        <v/>
      </c>
      <c r="AV57" t="str">
        <f ca="1">IFERROR(IF(0=LEN(ReferenceData!$AV$57),"",ReferenceData!$AV$57),"")</f>
        <v/>
      </c>
      <c r="AW57" t="str">
        <f ca="1">IFERROR(IF(0=LEN(ReferenceData!$AW$57),"",ReferenceData!$AW$57),"")</f>
        <v/>
      </c>
      <c r="AX57" t="str">
        <f ca="1">IFERROR(IF(0=LEN(ReferenceData!$AX$57),"",ReferenceData!$AX$57),"")</f>
        <v/>
      </c>
      <c r="AY57" t="str">
        <f ca="1">IFERROR(IF(0=LEN(ReferenceData!$AY$57),"",ReferenceData!$AY$57),"")</f>
        <v/>
      </c>
      <c r="AZ57" t="str">
        <f ca="1">IFERROR(IF(0=LEN(ReferenceData!$AZ$57),"",ReferenceData!$AZ$57),"")</f>
        <v/>
      </c>
      <c r="BA57" t="str">
        <f ca="1">IFERROR(IF(0=LEN(ReferenceData!$BA$57),"",ReferenceData!$BA$57),"")</f>
        <v/>
      </c>
      <c r="BB57" t="str">
        <f ca="1">IFERROR(IF(0=LEN(ReferenceData!$BB$57),"",ReferenceData!$BB$57),"")</f>
        <v/>
      </c>
      <c r="BC57" t="str">
        <f ca="1">IFERROR(IF(0=LEN(ReferenceData!$BC$57),"",ReferenceData!$BC$57),"")</f>
        <v/>
      </c>
      <c r="BD57" t="str">
        <f ca="1">IFERROR(IF(0=LEN(ReferenceData!$BD$57),"",ReferenceData!$BD$57),"")</f>
        <v/>
      </c>
      <c r="BE57" t="str">
        <f ca="1">IFERROR(IF(0=LEN(ReferenceData!$BE$57),"",ReferenceData!$BE$57),"")</f>
        <v/>
      </c>
      <c r="BF57" t="str">
        <f ca="1">IFERROR(IF(0=LEN(ReferenceData!$BF$57),"",ReferenceData!$BF$57),"")</f>
        <v/>
      </c>
      <c r="BG57" t="str">
        <f ca="1">IFERROR(IF(0=LEN(ReferenceData!$BG$57),"",ReferenceData!$BG$57),"")</f>
        <v/>
      </c>
      <c r="BH57" t="str">
        <f ca="1">IFERROR(IF(0=LEN(ReferenceData!$BH$57),"",ReferenceData!$BH$57),"")</f>
        <v/>
      </c>
      <c r="BI57" t="str">
        <f ca="1">IFERROR(IF(0=LEN(ReferenceData!$BI$57),"",ReferenceData!$BI$57),"")</f>
        <v/>
      </c>
      <c r="BJ57" t="str">
        <f ca="1">IFERROR(IF(0=LEN(ReferenceData!$BJ$57),"",ReferenceData!$BJ$57),"")</f>
        <v/>
      </c>
      <c r="BK57" t="str">
        <f ca="1">IFERROR(IF(0=LEN(ReferenceData!$BK$57),"",ReferenceData!$BK$57),"")</f>
        <v/>
      </c>
      <c r="BL57" t="str">
        <f ca="1">IFERROR(IF(0=LEN(ReferenceData!$BL$57),"",ReferenceData!$BL$57),"")</f>
        <v/>
      </c>
      <c r="BM57" t="str">
        <f ca="1">IFERROR(IF(0=LEN(ReferenceData!$BM$57),"",ReferenceData!$BM$57),"")</f>
        <v/>
      </c>
    </row>
    <row r="58" spans="1:65">
      <c r="A58" t="str">
        <f>IFERROR(IF(0=LEN(ReferenceData!$A$58),"",ReferenceData!$A$58),"")</f>
        <v xml:space="preserve">    Sequential % Change in Total NOI for All Equity REITs</v>
      </c>
      <c r="B58" t="str">
        <f>IFERROR(IF(0=LEN(ReferenceData!$B$58),"",ReferenceData!$B$58),"")</f>
        <v>RECFNOQQ Index</v>
      </c>
      <c r="C58" t="str">
        <f>IFERROR(IF(0=LEN(ReferenceData!$C$58),"",ReferenceData!$C$58),"")</f>
        <v>PR005</v>
      </c>
      <c r="D58" t="str">
        <f>IFERROR(IF(0=LEN(ReferenceData!$D$58),"",ReferenceData!$D$58),"")</f>
        <v>PX_LAST</v>
      </c>
      <c r="E58" t="str">
        <f>IFERROR(IF(0=LEN(ReferenceData!$E$58),"",ReferenceData!$E$58),"")</f>
        <v>动态</v>
      </c>
      <c r="F58">
        <f ca="1">IFERROR(IF(0=LEN(ReferenceData!$F$58),"",ReferenceData!$F$58),"")</f>
        <v>3.0596199089999998</v>
      </c>
      <c r="G58">
        <f ca="1">IFERROR(IF(0=LEN(ReferenceData!$G$58),"",ReferenceData!$G$58),"")</f>
        <v>-1.1830254520000001</v>
      </c>
      <c r="H58">
        <f ca="1">IFERROR(IF(0=LEN(ReferenceData!$H$58),"",ReferenceData!$H$58),"")</f>
        <v>4.4697552099999998</v>
      </c>
      <c r="I58">
        <f ca="1">IFERROR(IF(0=LEN(ReferenceData!$I$58),"",ReferenceData!$I$58),"")</f>
        <v>3.2481375639999999</v>
      </c>
      <c r="J58">
        <f ca="1">IFERROR(IF(0=LEN(ReferenceData!$J$58),"",ReferenceData!$J$58),"")</f>
        <v>0.65643588200000003</v>
      </c>
      <c r="K58">
        <f ca="1">IFERROR(IF(0=LEN(ReferenceData!$K$58),"",ReferenceData!$K$58),"")</f>
        <v>7.3099760000000001E-3</v>
      </c>
      <c r="L58">
        <f ca="1">IFERROR(IF(0=LEN(ReferenceData!$L$58),"",ReferenceData!$L$58),"")</f>
        <v>5.6965796150000001</v>
      </c>
      <c r="M58">
        <f ca="1">IFERROR(IF(0=LEN(ReferenceData!$M$58),"",ReferenceData!$M$58),"")</f>
        <v>-0.97359930400000005</v>
      </c>
      <c r="N58">
        <f ca="1">IFERROR(IF(0=LEN(ReferenceData!$N$58),"",ReferenceData!$N$58),"")</f>
        <v>0.200370929</v>
      </c>
      <c r="O58">
        <f ca="1">IFERROR(IF(0=LEN(ReferenceData!$O$58),"",ReferenceData!$O$58),"")</f>
        <v>1.895743467</v>
      </c>
      <c r="P58">
        <f ca="1">IFERROR(IF(0=LEN(ReferenceData!$P$58),"",ReferenceData!$P$58),"")</f>
        <v>7.682306262</v>
      </c>
      <c r="Q58">
        <f ca="1">IFERROR(IF(0=LEN(ReferenceData!$Q$58),"",ReferenceData!$Q$58),"")</f>
        <v>4.045114871</v>
      </c>
      <c r="R58">
        <f ca="1">IFERROR(IF(0=LEN(ReferenceData!$R$58),"",ReferenceData!$R$58),"")</f>
        <v>6.2106701720000004</v>
      </c>
      <c r="S58">
        <f ca="1">IFERROR(IF(0=LEN(ReferenceData!$S$58),"",ReferenceData!$S$58),"")</f>
        <v>0.90943174299999996</v>
      </c>
      <c r="T58">
        <f ca="1">IFERROR(IF(0=LEN(ReferenceData!$T$58),"",ReferenceData!$T$58),"")</f>
        <v>7.364747135</v>
      </c>
      <c r="U58">
        <f ca="1">IFERROR(IF(0=LEN(ReferenceData!$U$58),"",ReferenceData!$U$58),"")</f>
        <v>3.1408369340000002</v>
      </c>
      <c r="V58">
        <f ca="1">IFERROR(IF(0=LEN(ReferenceData!$V$58),"",ReferenceData!$V$58),"")</f>
        <v>7.6592248999999999</v>
      </c>
      <c r="W58">
        <f ca="1">IFERROR(IF(0=LEN(ReferenceData!$W$58),"",ReferenceData!$W$58),"")</f>
        <v>-6.5945344000000003E-2</v>
      </c>
      <c r="X58">
        <f ca="1">IFERROR(IF(0=LEN(ReferenceData!$X$58),"",ReferenceData!$X$58),"")</f>
        <v>7.4506378309999999</v>
      </c>
      <c r="Y58">
        <f ca="1">IFERROR(IF(0=LEN(ReferenceData!$Y$58),"",ReferenceData!$Y$58),"")</f>
        <v>-0.33311799800000003</v>
      </c>
      <c r="Z58">
        <f ca="1">IFERROR(IF(0=LEN(ReferenceData!$Z$58),"",ReferenceData!$Z$58),"")</f>
        <v>6.7289479810000001</v>
      </c>
      <c r="AA58">
        <f ca="1">IFERROR(IF(0=LEN(ReferenceData!$AA$58),"",ReferenceData!$AA$58),"")</f>
        <v>1.893761166</v>
      </c>
      <c r="AB58">
        <f ca="1">IFERROR(IF(0=LEN(ReferenceData!$AB$58),"",ReferenceData!$AB$58),"")</f>
        <v>7.9515756880000001</v>
      </c>
      <c r="AC58">
        <f ca="1">IFERROR(IF(0=LEN(ReferenceData!$AC$58),"",ReferenceData!$AC$58),"")</f>
        <v>1.4968740899999999</v>
      </c>
      <c r="AD58">
        <f ca="1">IFERROR(IF(0=LEN(ReferenceData!$AD$58),"",ReferenceData!$AD$58),"")</f>
        <v>3.906945769</v>
      </c>
      <c r="AE58">
        <f ca="1">IFERROR(IF(0=LEN(ReferenceData!$AE$58),"",ReferenceData!$AE$58),"")</f>
        <v>3.2086786190000001</v>
      </c>
      <c r="AF58">
        <f ca="1">IFERROR(IF(0=LEN(ReferenceData!$AF$58),"",ReferenceData!$AF$58),"")</f>
        <v>5.9122495720000003</v>
      </c>
      <c r="AG58">
        <f ca="1">IFERROR(IF(0=LEN(ReferenceData!$AG$58),"",ReferenceData!$AG$58),"")</f>
        <v>-3.0496681859999999</v>
      </c>
      <c r="AH58">
        <f ca="1">IFERROR(IF(0=LEN(ReferenceData!$AH$58),"",ReferenceData!$AH$58),"")</f>
        <v>16.099868109999999</v>
      </c>
      <c r="AI58">
        <f ca="1">IFERROR(IF(0=LEN(ReferenceData!$AI$58),"",ReferenceData!$AI$58),"")</f>
        <v>0.98381842799999997</v>
      </c>
      <c r="AJ58">
        <f ca="1">IFERROR(IF(0=LEN(ReferenceData!$AJ$58),"",ReferenceData!$AJ$58),"")</f>
        <v>3.8560901620000001</v>
      </c>
      <c r="AK58">
        <f ca="1">IFERROR(IF(0=LEN(ReferenceData!$AK$58),"",ReferenceData!$AK$58),"")</f>
        <v>-2.1708404840000002</v>
      </c>
      <c r="AL58">
        <f ca="1">IFERROR(IF(0=LEN(ReferenceData!$AL$58),"",ReferenceData!$AL$58),"")</f>
        <v>3.487903534</v>
      </c>
      <c r="AM58">
        <f ca="1">IFERROR(IF(0=LEN(ReferenceData!$AM$58),"",ReferenceData!$AM$58),"")</f>
        <v>-2.0666041740000001</v>
      </c>
      <c r="AN58">
        <f ca="1">IFERROR(IF(0=LEN(ReferenceData!$AN$58),"",ReferenceData!$AN$58),"")</f>
        <v>-2.5741692469999999</v>
      </c>
      <c r="AO58">
        <f ca="1">IFERROR(IF(0=LEN(ReferenceData!$AO$58),"",ReferenceData!$AO$58),"")</f>
        <v>-2.1439988040000002</v>
      </c>
      <c r="AP58">
        <f ca="1">IFERROR(IF(0=LEN(ReferenceData!$AP$58),"",ReferenceData!$AP$58),"")</f>
        <v>-4.9571961760000001</v>
      </c>
      <c r="AQ58">
        <f ca="1">IFERROR(IF(0=LEN(ReferenceData!$AQ$58),"",ReferenceData!$AQ$58),"")</f>
        <v>-3.920065846</v>
      </c>
      <c r="AR58">
        <f ca="1">IFERROR(IF(0=LEN(ReferenceData!$AR$58),"",ReferenceData!$AR$58),"")</f>
        <v>3.6371016460000001</v>
      </c>
      <c r="AS58">
        <f ca="1">IFERROR(IF(0=LEN(ReferenceData!$AS$58),"",ReferenceData!$AS$58),"")</f>
        <v>2.4403803129999999</v>
      </c>
      <c r="AT58">
        <f ca="1">IFERROR(IF(0=LEN(ReferenceData!$AT$58),"",ReferenceData!$AT$58),"")</f>
        <v>-5.2938072319999998</v>
      </c>
      <c r="AU58">
        <f ca="1">IFERROR(IF(0=LEN(ReferenceData!$AU$58),"",ReferenceData!$AU$58),"")</f>
        <v>-0.85677632299999995</v>
      </c>
      <c r="AV58">
        <f ca="1">IFERROR(IF(0=LEN(ReferenceData!$AV$58),"",ReferenceData!$AV$58),"")</f>
        <v>5.2943447810000004</v>
      </c>
      <c r="AW58">
        <f ca="1">IFERROR(IF(0=LEN(ReferenceData!$AW$58),"",ReferenceData!$AW$58),"")</f>
        <v>-8.0741888940000006</v>
      </c>
      <c r="AX58">
        <f ca="1">IFERROR(IF(0=LEN(ReferenceData!$AX$58),"",ReferenceData!$AX$58),"")</f>
        <v>4.686070977</v>
      </c>
      <c r="AY58">
        <f ca="1">IFERROR(IF(0=LEN(ReferenceData!$AY$58),"",ReferenceData!$AY$58),"")</f>
        <v>-3.2988522570000001</v>
      </c>
      <c r="AZ58">
        <f ca="1">IFERROR(IF(0=LEN(ReferenceData!$AZ$58),"",ReferenceData!$AZ$58),"")</f>
        <v>4.305538179</v>
      </c>
      <c r="BA58">
        <f ca="1">IFERROR(IF(0=LEN(ReferenceData!$BA$58),"",ReferenceData!$BA$58),"")</f>
        <v>-0.48112032599999999</v>
      </c>
      <c r="BB58">
        <f ca="1">IFERROR(IF(0=LEN(ReferenceData!$BB$58),"",ReferenceData!$BB$58),"")</f>
        <v>4.9660354470000003</v>
      </c>
      <c r="BC58">
        <f ca="1">IFERROR(IF(0=LEN(ReferenceData!$BC$58),"",ReferenceData!$BC$58),"")</f>
        <v>-1.0513641460000001</v>
      </c>
      <c r="BD58">
        <f ca="1">IFERROR(IF(0=LEN(ReferenceData!$BD$58),"",ReferenceData!$BD$58),"")</f>
        <v>4.2520481419999996</v>
      </c>
      <c r="BE58">
        <f ca="1">IFERROR(IF(0=LEN(ReferenceData!$BE$58),"",ReferenceData!$BE$58),"")</f>
        <v>0.38231739199999998</v>
      </c>
      <c r="BF58">
        <f ca="1">IFERROR(IF(0=LEN(ReferenceData!$BF$58),"",ReferenceData!$BF$58),"")</f>
        <v>7.5005837169999996</v>
      </c>
      <c r="BG58">
        <f ca="1">IFERROR(IF(0=LEN(ReferenceData!$BG$58),"",ReferenceData!$BG$58),"")</f>
        <v>-5.1497514000000001E-2</v>
      </c>
      <c r="BH58">
        <f ca="1">IFERROR(IF(0=LEN(ReferenceData!$BH$58),"",ReferenceData!$BH$58),"")</f>
        <v>2.7128366719999999</v>
      </c>
      <c r="BI58">
        <f ca="1">IFERROR(IF(0=LEN(ReferenceData!$BI$58),"",ReferenceData!$BI$58),"")</f>
        <v>2.631878307</v>
      </c>
      <c r="BJ58">
        <f ca="1">IFERROR(IF(0=LEN(ReferenceData!$BJ$58),"",ReferenceData!$BJ$58),"")</f>
        <v>5.4117441460000002</v>
      </c>
      <c r="BK58">
        <f ca="1">IFERROR(IF(0=LEN(ReferenceData!$BK$58),"",ReferenceData!$BK$58),"")</f>
        <v>-1.0004919759999999</v>
      </c>
      <c r="BL58">
        <f ca="1">IFERROR(IF(0=LEN(ReferenceData!$BL$58),"",ReferenceData!$BL$58),"")</f>
        <v>3.0758375240000002</v>
      </c>
      <c r="BM58">
        <f ca="1">IFERROR(IF(0=LEN(ReferenceData!$BM$58),"",ReferenceData!$BM$58),"")</f>
        <v>-3.2794627119999999</v>
      </c>
    </row>
    <row r="59" spans="1:65">
      <c r="A59" t="str">
        <f>IFERROR(IF(0=LEN(ReferenceData!$A$59),"",ReferenceData!$A$59),"")</f>
        <v xml:space="preserve">    YoY % Change in Total NOI for All Equity REITs</v>
      </c>
      <c r="B59" t="str">
        <f>IFERROR(IF(0=LEN(ReferenceData!$B$59),"",ReferenceData!$B$59),"")</f>
        <v>RECFNOYY Index</v>
      </c>
      <c r="C59" t="str">
        <f>IFERROR(IF(0=LEN(ReferenceData!$C$59),"",ReferenceData!$C$59),"")</f>
        <v>PR005</v>
      </c>
      <c r="D59" t="str">
        <f>IFERROR(IF(0=LEN(ReferenceData!$D$59),"",ReferenceData!$D$59),"")</f>
        <v>PX_LAST</v>
      </c>
      <c r="E59" t="str">
        <f>IFERROR(IF(0=LEN(ReferenceData!$E$59),"",ReferenceData!$E$59),"")</f>
        <v>动态</v>
      </c>
      <c r="F59">
        <f ca="1">IFERROR(IF(0=LEN(ReferenceData!$F$59),"",ReferenceData!$F$59),"")</f>
        <v>9.8481868800000001</v>
      </c>
      <c r="G59">
        <f ca="1">IFERROR(IF(0=LEN(ReferenceData!$G$59),"",ReferenceData!$G$59),"")</f>
        <v>7.2867044270000001</v>
      </c>
      <c r="H59">
        <f ca="1">IFERROR(IF(0=LEN(ReferenceData!$H$59),"",ReferenceData!$H$59),"")</f>
        <v>8.5790650339999992</v>
      </c>
      <c r="I59">
        <f ca="1">IFERROR(IF(0=LEN(ReferenceData!$I$59),"",ReferenceData!$I$59),"")</f>
        <v>9.8541464829999992</v>
      </c>
      <c r="J59">
        <f ca="1">IFERROR(IF(0=LEN(ReferenceData!$J$59),"",ReferenceData!$J$59),"")</f>
        <v>5.3622949950000001</v>
      </c>
      <c r="K59">
        <f ca="1">IFERROR(IF(0=LEN(ReferenceData!$K$59),"",ReferenceData!$K$59),"")</f>
        <v>4.8849082319999999</v>
      </c>
      <c r="L59">
        <f ca="1">IFERROR(IF(0=LEN(ReferenceData!$L$59),"",ReferenceData!$L$59),"")</f>
        <v>6.8654451889999999</v>
      </c>
      <c r="M59">
        <f ca="1">IFERROR(IF(0=LEN(ReferenceData!$M$59),"",ReferenceData!$M$59),"")</f>
        <v>8.8731313679999992</v>
      </c>
      <c r="N59">
        <f ca="1">IFERROR(IF(0=LEN(ReferenceData!$N$59),"",ReferenceData!$N$59),"")</f>
        <v>14.39088344</v>
      </c>
      <c r="O59">
        <f ca="1">IFERROR(IF(0=LEN(ReferenceData!$O$59),"",ReferenceData!$O$59),"")</f>
        <v>21.252369420000001</v>
      </c>
      <c r="P59">
        <f ca="1">IFERROR(IF(0=LEN(ReferenceData!$P$59),"",ReferenceData!$P$59),"")</f>
        <v>20.07869298</v>
      </c>
      <c r="Q59">
        <f ca="1">IFERROR(IF(0=LEN(ReferenceData!$Q$59),"",ReferenceData!$Q$59),"")</f>
        <v>19.724576450000001</v>
      </c>
      <c r="R59">
        <f ca="1">IFERROR(IF(0=LEN(ReferenceData!$R$59),"",ReferenceData!$R$59),"")</f>
        <v>18.68402502</v>
      </c>
      <c r="S59">
        <f ca="1">IFERROR(IF(0=LEN(ReferenceData!$S$59),"",ReferenceData!$S$59),"")</f>
        <v>20.302697649999999</v>
      </c>
      <c r="T59">
        <f ca="1">IFERROR(IF(0=LEN(ReferenceData!$T$59),"",ReferenceData!$T$59),"")</f>
        <v>19.139867850000002</v>
      </c>
      <c r="U59">
        <f ca="1">IFERROR(IF(0=LEN(ReferenceData!$U$59),"",ReferenceData!$U$59),"")</f>
        <v>19.235178520000002</v>
      </c>
      <c r="V59">
        <f ca="1">IFERROR(IF(0=LEN(ReferenceData!$V$59),"",ReferenceData!$V$59),"")</f>
        <v>15.2191394</v>
      </c>
      <c r="W59">
        <f ca="1">IFERROR(IF(0=LEN(ReferenceData!$W$59),"",ReferenceData!$W$59),"")</f>
        <v>14.22353771</v>
      </c>
      <c r="X59">
        <f ca="1">IFERROR(IF(0=LEN(ReferenceData!$X$59),"",ReferenceData!$X$59),"")</f>
        <v>16.463460940000001</v>
      </c>
      <c r="Y59">
        <f ca="1">IFERROR(IF(0=LEN(ReferenceData!$Y$59),"",ReferenceData!$Y$59),"")</f>
        <v>17.006416829999999</v>
      </c>
      <c r="Z59">
        <f ca="1">IFERROR(IF(0=LEN(ReferenceData!$Z$59),"",ReferenceData!$Z$59),"")</f>
        <v>19.154781589999999</v>
      </c>
      <c r="AA59">
        <f ca="1">IFERROR(IF(0=LEN(ReferenceData!$AA$59),"",ReferenceData!$AA$59),"")</f>
        <v>16.004229989999999</v>
      </c>
      <c r="AB59">
        <f ca="1">IFERROR(IF(0=LEN(ReferenceData!$AB$59),"",ReferenceData!$AB$59),"")</f>
        <v>17.501240060000001</v>
      </c>
      <c r="AC59">
        <f ca="1">IFERROR(IF(0=LEN(ReferenceData!$AC$59),"",ReferenceData!$AC$59),"")</f>
        <v>15.2815101</v>
      </c>
      <c r="AD59">
        <f ca="1">IFERROR(IF(0=LEN(ReferenceData!$AD$59),"",ReferenceData!$AD$59),"")</f>
        <v>10.11748644</v>
      </c>
      <c r="AE59">
        <f ca="1">IFERROR(IF(0=LEN(ReferenceData!$AE$59),"",ReferenceData!$AE$59),"")</f>
        <v>23.03918238</v>
      </c>
      <c r="AF59">
        <f ca="1">IFERROR(IF(0=LEN(ReferenceData!$AF$59),"",ReferenceData!$AF$59),"")</f>
        <v>20.386837809999999</v>
      </c>
      <c r="AG59">
        <f ca="1">IFERROR(IF(0=LEN(ReferenceData!$AG$59),"",ReferenceData!$AG$59),"")</f>
        <v>18.049671610000001</v>
      </c>
      <c r="AH59">
        <f ca="1">IFERROR(IF(0=LEN(ReferenceData!$AH$59),"",ReferenceData!$AH$59),"")</f>
        <v>19.119758940000001</v>
      </c>
      <c r="AI59">
        <f ca="1">IFERROR(IF(0=LEN(ReferenceData!$AI$59),"",ReferenceData!$AI$59),"")</f>
        <v>6.1797426949999998</v>
      </c>
      <c r="AJ59">
        <f ca="1">IFERROR(IF(0=LEN(ReferenceData!$AJ$59),"",ReferenceData!$AJ$59),"")</f>
        <v>2.9723665829999999</v>
      </c>
      <c r="AK59">
        <f ca="1">IFERROR(IF(0=LEN(ReferenceData!$AK$59),"",ReferenceData!$AK$59),"")</f>
        <v>-3.4031769989999998</v>
      </c>
      <c r="AL59">
        <f ca="1">IFERROR(IF(0=LEN(ReferenceData!$AL$59),"",ReferenceData!$AL$59),"")</f>
        <v>-3.3766734399999998</v>
      </c>
      <c r="AM59">
        <f ca="1">IFERROR(IF(0=LEN(ReferenceData!$AM$59),"",ReferenceData!$AM$59),"")</f>
        <v>-11.26159138</v>
      </c>
      <c r="AN59">
        <f ca="1">IFERROR(IF(0=LEN(ReferenceData!$AN$59),"",ReferenceData!$AN$59),"")</f>
        <v>-12.94103114</v>
      </c>
      <c r="AO59">
        <f ca="1">IFERROR(IF(0=LEN(ReferenceData!$AO$59),"",ReferenceData!$AO$59),"")</f>
        <v>-7.3906875120000004</v>
      </c>
      <c r="AP59">
        <f ca="1">IFERROR(IF(0=LEN(ReferenceData!$AP$59),"",ReferenceData!$AP$59),"")</f>
        <v>-3.0521064020000002</v>
      </c>
      <c r="AQ59">
        <f ca="1">IFERROR(IF(0=LEN(ReferenceData!$AQ$59),"",ReferenceData!$AQ$59),"")</f>
        <v>-3.3954646749999999</v>
      </c>
      <c r="AR59">
        <f ca="1">IFERROR(IF(0=LEN(ReferenceData!$AR$59),"",ReferenceData!$AR$59),"")</f>
        <v>-0.315449441</v>
      </c>
      <c r="AS59">
        <f ca="1">IFERROR(IF(0=LEN(ReferenceData!$AS$59),"",ReferenceData!$AS$59),"")</f>
        <v>1.278589127</v>
      </c>
      <c r="AT59">
        <f ca="1">IFERROR(IF(0=LEN(ReferenceData!$AT$59),"",ReferenceData!$AT$59),"")</f>
        <v>-9.116732828</v>
      </c>
      <c r="AU59">
        <f ca="1">IFERROR(IF(0=LEN(ReferenceData!$AU$59),"",ReferenceData!$AU$59),"")</f>
        <v>0.46029599300000001</v>
      </c>
      <c r="AV59">
        <f ca="1">IFERROR(IF(0=LEN(ReferenceData!$AV$59),"",ReferenceData!$AV$59),"")</f>
        <v>-2.0142218010000001</v>
      </c>
      <c r="AW59">
        <f ca="1">IFERROR(IF(0=LEN(ReferenceData!$AW$59),"",ReferenceData!$AW$59),"")</f>
        <v>-2.9343945269999998</v>
      </c>
      <c r="AX59">
        <f ca="1">IFERROR(IF(0=LEN(ReferenceData!$AX$59),"",ReferenceData!$AX$59),"")</f>
        <v>5.0832208630000002</v>
      </c>
      <c r="AY59">
        <f ca="1">IFERROR(IF(0=LEN(ReferenceData!$AY$59),"",ReferenceData!$AY$59),"")</f>
        <v>5.3642474409999998</v>
      </c>
      <c r="AZ59">
        <f ca="1">IFERROR(IF(0=LEN(ReferenceData!$AZ$59),"",ReferenceData!$AZ$59),"")</f>
        <v>7.8130797340000004</v>
      </c>
      <c r="BA59">
        <f ca="1">IFERROR(IF(0=LEN(ReferenceData!$BA$59),"",ReferenceData!$BA$59),"")</f>
        <v>7.757790956</v>
      </c>
      <c r="BB59">
        <f ca="1">IFERROR(IF(0=LEN(ReferenceData!$BB$59),"",ReferenceData!$BB$59),"")</f>
        <v>8.6927104560000004</v>
      </c>
      <c r="BC59">
        <f ca="1">IFERROR(IF(0=LEN(ReferenceData!$BC$59),"",ReferenceData!$BC$59),"")</f>
        <v>11.31724438</v>
      </c>
      <c r="BD59">
        <f ca="1">IFERROR(IF(0=LEN(ReferenceData!$BD$59),"",ReferenceData!$BD$59),"")</f>
        <v>12.442094640000001</v>
      </c>
      <c r="BE59">
        <f ca="1">IFERROR(IF(0=LEN(ReferenceData!$BE$59),"",ReferenceData!$BE$59),"")</f>
        <v>10.781962630000001</v>
      </c>
      <c r="BF59">
        <f ca="1">IFERROR(IF(0=LEN(ReferenceData!$BF$59),"",ReferenceData!$BF$59),"")</f>
        <v>13.264578889999999</v>
      </c>
      <c r="BG59">
        <f ca="1">IFERROR(IF(0=LEN(ReferenceData!$BG$59),"",ReferenceData!$BG$59),"")</f>
        <v>11.06373936</v>
      </c>
      <c r="BH59">
        <f ca="1">IFERROR(IF(0=LEN(ReferenceData!$BH$59),"",ReferenceData!$BH$59),"")</f>
        <v>10.009207569999999</v>
      </c>
      <c r="BI59">
        <f ca="1">IFERROR(IF(0=LEN(ReferenceData!$BI$59),"",ReferenceData!$BI$59),"")</f>
        <v>10.39799476</v>
      </c>
      <c r="BJ59">
        <f ca="1">IFERROR(IF(0=LEN(ReferenceData!$BJ$59),"",ReferenceData!$BJ$59),"")</f>
        <v>4.0393447460000003</v>
      </c>
      <c r="BK59">
        <f ca="1">IFERROR(IF(0=LEN(ReferenceData!$BK$59),"",ReferenceData!$BK$59),"")</f>
        <v>0.65927357200000003</v>
      </c>
      <c r="BL59">
        <f ca="1">IFERROR(IF(0=LEN(ReferenceData!$BL$59),"",ReferenceData!$BL$59),"")</f>
        <v>0.93795277899999996</v>
      </c>
      <c r="BM59">
        <f ca="1">IFERROR(IF(0=LEN(ReferenceData!$BM$59),"",ReferenceData!$BM$59),"")</f>
        <v>1.9265858419999999</v>
      </c>
    </row>
    <row r="60" spans="1:65">
      <c r="A60" t="str">
        <f>IFERROR(IF(0=LEN(ReferenceData!$A$60),"",ReferenceData!$A$60),"")</f>
        <v xml:space="preserve">    </v>
      </c>
      <c r="B60" t="str">
        <f>IFERROR(IF(0=LEN(ReferenceData!$B$60),"",ReferenceData!$B$60),"")</f>
        <v/>
      </c>
      <c r="C60" t="str">
        <f>IFERROR(IF(0=LEN(ReferenceData!$C$60),"",ReferenceData!$C$60),"")</f>
        <v/>
      </c>
      <c r="D60" t="str">
        <f>IFERROR(IF(0=LEN(ReferenceData!$D$60),"",ReferenceData!$D$60),"")</f>
        <v/>
      </c>
      <c r="E60" t="str">
        <f>IFERROR(IF(0=LEN(ReferenceData!$E$60),"",ReferenceData!$E$60),"")</f>
        <v>静态</v>
      </c>
      <c r="F60" t="str">
        <f ca="1">IFERROR(IF(0=LEN(ReferenceData!$F$60),"",ReferenceData!$F$60),"")</f>
        <v/>
      </c>
      <c r="G60" t="str">
        <f ca="1">IFERROR(IF(0=LEN(ReferenceData!$G$60),"",ReferenceData!$G$60),"")</f>
        <v/>
      </c>
      <c r="H60" t="str">
        <f ca="1">IFERROR(IF(0=LEN(ReferenceData!$H$60),"",ReferenceData!$H$60),"")</f>
        <v/>
      </c>
      <c r="I60" t="str">
        <f ca="1">IFERROR(IF(0=LEN(ReferenceData!$I$60),"",ReferenceData!$I$60),"")</f>
        <v/>
      </c>
      <c r="J60" t="str">
        <f ca="1">IFERROR(IF(0=LEN(ReferenceData!$J$60),"",ReferenceData!$J$60),"")</f>
        <v/>
      </c>
      <c r="K60" t="str">
        <f ca="1">IFERROR(IF(0=LEN(ReferenceData!$K$60),"",ReferenceData!$K$60),"")</f>
        <v/>
      </c>
      <c r="L60" t="str">
        <f ca="1">IFERROR(IF(0=LEN(ReferenceData!$L$60),"",ReferenceData!$L$60),"")</f>
        <v/>
      </c>
      <c r="M60" t="str">
        <f ca="1">IFERROR(IF(0=LEN(ReferenceData!$M$60),"",ReferenceData!$M$60),"")</f>
        <v/>
      </c>
      <c r="N60" t="str">
        <f ca="1">IFERROR(IF(0=LEN(ReferenceData!$N$60),"",ReferenceData!$N$60),"")</f>
        <v/>
      </c>
      <c r="O60" t="str">
        <f ca="1">IFERROR(IF(0=LEN(ReferenceData!$O$60),"",ReferenceData!$O$60),"")</f>
        <v/>
      </c>
      <c r="P60" t="str">
        <f ca="1">IFERROR(IF(0=LEN(ReferenceData!$P$60),"",ReferenceData!$P$60),"")</f>
        <v/>
      </c>
      <c r="Q60" t="str">
        <f ca="1">IFERROR(IF(0=LEN(ReferenceData!$Q$60),"",ReferenceData!$Q$60),"")</f>
        <v/>
      </c>
      <c r="R60" t="str">
        <f ca="1">IFERROR(IF(0=LEN(ReferenceData!$R$60),"",ReferenceData!$R$60),"")</f>
        <v/>
      </c>
      <c r="S60" t="str">
        <f ca="1">IFERROR(IF(0=LEN(ReferenceData!$S$60),"",ReferenceData!$S$60),"")</f>
        <v/>
      </c>
      <c r="T60" t="str">
        <f ca="1">IFERROR(IF(0=LEN(ReferenceData!$T$60),"",ReferenceData!$T$60),"")</f>
        <v/>
      </c>
      <c r="U60" t="str">
        <f ca="1">IFERROR(IF(0=LEN(ReferenceData!$U$60),"",ReferenceData!$U$60),"")</f>
        <v/>
      </c>
      <c r="V60" t="str">
        <f ca="1">IFERROR(IF(0=LEN(ReferenceData!$V$60),"",ReferenceData!$V$60),"")</f>
        <v/>
      </c>
      <c r="W60" t="str">
        <f ca="1">IFERROR(IF(0=LEN(ReferenceData!$W$60),"",ReferenceData!$W$60),"")</f>
        <v/>
      </c>
      <c r="X60" t="str">
        <f ca="1">IFERROR(IF(0=LEN(ReferenceData!$X$60),"",ReferenceData!$X$60),"")</f>
        <v/>
      </c>
      <c r="Y60" t="str">
        <f ca="1">IFERROR(IF(0=LEN(ReferenceData!$Y$60),"",ReferenceData!$Y$60),"")</f>
        <v/>
      </c>
      <c r="Z60" t="str">
        <f ca="1">IFERROR(IF(0=LEN(ReferenceData!$Z$60),"",ReferenceData!$Z$60),"")</f>
        <v/>
      </c>
      <c r="AA60" t="str">
        <f ca="1">IFERROR(IF(0=LEN(ReferenceData!$AA$60),"",ReferenceData!$AA$60),"")</f>
        <v/>
      </c>
      <c r="AB60" t="str">
        <f ca="1">IFERROR(IF(0=LEN(ReferenceData!$AB$60),"",ReferenceData!$AB$60),"")</f>
        <v/>
      </c>
      <c r="AC60" t="str">
        <f ca="1">IFERROR(IF(0=LEN(ReferenceData!$AC$60),"",ReferenceData!$AC$60),"")</f>
        <v/>
      </c>
      <c r="AD60" t="str">
        <f ca="1">IFERROR(IF(0=LEN(ReferenceData!$AD$60),"",ReferenceData!$AD$60),"")</f>
        <v/>
      </c>
      <c r="AE60" t="str">
        <f ca="1">IFERROR(IF(0=LEN(ReferenceData!$AE$60),"",ReferenceData!$AE$60),"")</f>
        <v/>
      </c>
      <c r="AF60" t="str">
        <f ca="1">IFERROR(IF(0=LEN(ReferenceData!$AF$60),"",ReferenceData!$AF$60),"")</f>
        <v/>
      </c>
      <c r="AG60" t="str">
        <f ca="1">IFERROR(IF(0=LEN(ReferenceData!$AG$60),"",ReferenceData!$AG$60),"")</f>
        <v/>
      </c>
      <c r="AH60" t="str">
        <f ca="1">IFERROR(IF(0=LEN(ReferenceData!$AH$60),"",ReferenceData!$AH$60),"")</f>
        <v/>
      </c>
      <c r="AI60" t="str">
        <f ca="1">IFERROR(IF(0=LEN(ReferenceData!$AI$60),"",ReferenceData!$AI$60),"")</f>
        <v/>
      </c>
      <c r="AJ60" t="str">
        <f ca="1">IFERROR(IF(0=LEN(ReferenceData!$AJ$60),"",ReferenceData!$AJ$60),"")</f>
        <v/>
      </c>
      <c r="AK60" t="str">
        <f ca="1">IFERROR(IF(0=LEN(ReferenceData!$AK$60),"",ReferenceData!$AK$60),"")</f>
        <v/>
      </c>
      <c r="AL60" t="str">
        <f ca="1">IFERROR(IF(0=LEN(ReferenceData!$AL$60),"",ReferenceData!$AL$60),"")</f>
        <v/>
      </c>
      <c r="AM60" t="str">
        <f ca="1">IFERROR(IF(0=LEN(ReferenceData!$AM$60),"",ReferenceData!$AM$60),"")</f>
        <v/>
      </c>
      <c r="AN60" t="str">
        <f ca="1">IFERROR(IF(0=LEN(ReferenceData!$AN$60),"",ReferenceData!$AN$60),"")</f>
        <v/>
      </c>
      <c r="AO60" t="str">
        <f ca="1">IFERROR(IF(0=LEN(ReferenceData!$AO$60),"",ReferenceData!$AO$60),"")</f>
        <v/>
      </c>
      <c r="AP60" t="str">
        <f ca="1">IFERROR(IF(0=LEN(ReferenceData!$AP$60),"",ReferenceData!$AP$60),"")</f>
        <v/>
      </c>
      <c r="AQ60" t="str">
        <f ca="1">IFERROR(IF(0=LEN(ReferenceData!$AQ$60),"",ReferenceData!$AQ$60),"")</f>
        <v/>
      </c>
      <c r="AR60" t="str">
        <f ca="1">IFERROR(IF(0=LEN(ReferenceData!$AR$60),"",ReferenceData!$AR$60),"")</f>
        <v/>
      </c>
      <c r="AS60" t="str">
        <f ca="1">IFERROR(IF(0=LEN(ReferenceData!$AS$60),"",ReferenceData!$AS$60),"")</f>
        <v/>
      </c>
      <c r="AT60" t="str">
        <f ca="1">IFERROR(IF(0=LEN(ReferenceData!$AT$60),"",ReferenceData!$AT$60),"")</f>
        <v/>
      </c>
      <c r="AU60" t="str">
        <f ca="1">IFERROR(IF(0=LEN(ReferenceData!$AU$60),"",ReferenceData!$AU$60),"")</f>
        <v/>
      </c>
      <c r="AV60" t="str">
        <f ca="1">IFERROR(IF(0=LEN(ReferenceData!$AV$60),"",ReferenceData!$AV$60),"")</f>
        <v/>
      </c>
      <c r="AW60" t="str">
        <f ca="1">IFERROR(IF(0=LEN(ReferenceData!$AW$60),"",ReferenceData!$AW$60),"")</f>
        <v/>
      </c>
      <c r="AX60" t="str">
        <f ca="1">IFERROR(IF(0=LEN(ReferenceData!$AX$60),"",ReferenceData!$AX$60),"")</f>
        <v/>
      </c>
      <c r="AY60" t="str">
        <f ca="1">IFERROR(IF(0=LEN(ReferenceData!$AY$60),"",ReferenceData!$AY$60),"")</f>
        <v/>
      </c>
      <c r="AZ60" t="str">
        <f ca="1">IFERROR(IF(0=LEN(ReferenceData!$AZ$60),"",ReferenceData!$AZ$60),"")</f>
        <v/>
      </c>
      <c r="BA60" t="str">
        <f ca="1">IFERROR(IF(0=LEN(ReferenceData!$BA$60),"",ReferenceData!$BA$60),"")</f>
        <v/>
      </c>
      <c r="BB60" t="str">
        <f ca="1">IFERROR(IF(0=LEN(ReferenceData!$BB$60),"",ReferenceData!$BB$60),"")</f>
        <v/>
      </c>
      <c r="BC60" t="str">
        <f ca="1">IFERROR(IF(0=LEN(ReferenceData!$BC$60),"",ReferenceData!$BC$60),"")</f>
        <v/>
      </c>
      <c r="BD60" t="str">
        <f ca="1">IFERROR(IF(0=LEN(ReferenceData!$BD$60),"",ReferenceData!$BD$60),"")</f>
        <v/>
      </c>
      <c r="BE60" t="str">
        <f ca="1">IFERROR(IF(0=LEN(ReferenceData!$BE$60),"",ReferenceData!$BE$60),"")</f>
        <v/>
      </c>
      <c r="BF60" t="str">
        <f ca="1">IFERROR(IF(0=LEN(ReferenceData!$BF$60),"",ReferenceData!$BF$60),"")</f>
        <v/>
      </c>
      <c r="BG60" t="str">
        <f ca="1">IFERROR(IF(0=LEN(ReferenceData!$BG$60),"",ReferenceData!$BG$60),"")</f>
        <v/>
      </c>
      <c r="BH60" t="str">
        <f ca="1">IFERROR(IF(0=LEN(ReferenceData!$BH$60),"",ReferenceData!$BH$60),"")</f>
        <v/>
      </c>
      <c r="BI60" t="str">
        <f ca="1">IFERROR(IF(0=LEN(ReferenceData!$BI$60),"",ReferenceData!$BI$60),"")</f>
        <v/>
      </c>
      <c r="BJ60" t="str">
        <f ca="1">IFERROR(IF(0=LEN(ReferenceData!$BJ$60),"",ReferenceData!$BJ$60),"")</f>
        <v/>
      </c>
      <c r="BK60" t="str">
        <f ca="1">IFERROR(IF(0=LEN(ReferenceData!$BK$60),"",ReferenceData!$BK$60),"")</f>
        <v/>
      </c>
      <c r="BL60" t="str">
        <f ca="1">IFERROR(IF(0=LEN(ReferenceData!$BL$60),"",ReferenceData!$BL$60),"")</f>
        <v/>
      </c>
      <c r="BM60" t="str">
        <f ca="1">IFERROR(IF(0=LEN(ReferenceData!$BM$60),"",ReferenceData!$BM$60),"")</f>
        <v/>
      </c>
    </row>
    <row r="61" spans="1:65">
      <c r="A61" t="str">
        <f>IFERROR(IF(0=LEN(ReferenceData!$A$61),"",ReferenceData!$A$61),"")</f>
        <v>总股利支付-所有股票房地产投资信托</v>
      </c>
      <c r="B61" t="str">
        <f>IFERROR(IF(0=LEN(ReferenceData!$B$61),"",ReferenceData!$B$61),"")</f>
        <v>RECFTDEQ Index</v>
      </c>
      <c r="C61" t="str">
        <f>IFERROR(IF(0=LEN(ReferenceData!$C$61),"",ReferenceData!$C$61),"")</f>
        <v>PR005</v>
      </c>
      <c r="D61" t="str">
        <f>IFERROR(IF(0=LEN(ReferenceData!$D$61),"",ReferenceData!$D$61),"")</f>
        <v>PX_LAST</v>
      </c>
      <c r="E61" t="str">
        <f>IFERROR(IF(0=LEN(ReferenceData!$E$61),"",ReferenceData!$E$61),"")</f>
        <v>动态</v>
      </c>
      <c r="F61">
        <f ca="1">IFERROR(IF(0=LEN(ReferenceData!$F$61),"",ReferenceData!$F$61),"")</f>
        <v>11814.52414</v>
      </c>
      <c r="G61">
        <f ca="1">IFERROR(IF(0=LEN(ReferenceData!$G$61),"",ReferenceData!$G$61),"")</f>
        <v>11391.896000000001</v>
      </c>
      <c r="H61">
        <f ca="1">IFERROR(IF(0=LEN(ReferenceData!$H$61),"",ReferenceData!$H$61),"")</f>
        <v>11119.370999999999</v>
      </c>
      <c r="I61">
        <f ca="1">IFERROR(IF(0=LEN(ReferenceData!$I$61),"",ReferenceData!$I$61),"")</f>
        <v>11771.567999999999</v>
      </c>
      <c r="J61">
        <f ca="1">IFERROR(IF(0=LEN(ReferenceData!$J$61),"",ReferenceData!$J$61),"")</f>
        <v>11630.138000000001</v>
      </c>
      <c r="K61">
        <f ca="1">IFERROR(IF(0=LEN(ReferenceData!$K$61),"",ReferenceData!$K$61),"")</f>
        <v>10686.674000000001</v>
      </c>
      <c r="L61">
        <f ca="1">IFERROR(IF(0=LEN(ReferenceData!$L$61),"",ReferenceData!$L$61),"")</f>
        <v>10393.754000000001</v>
      </c>
      <c r="M61">
        <f ca="1">IFERROR(IF(0=LEN(ReferenceData!$M$61),"",ReferenceData!$M$61),"")</f>
        <v>13828.117</v>
      </c>
      <c r="N61">
        <f ca="1">IFERROR(IF(0=LEN(ReferenceData!$N$61),"",ReferenceData!$N$61),"")</f>
        <v>9974.5509999999995</v>
      </c>
      <c r="O61">
        <f ca="1">IFERROR(IF(0=LEN(ReferenceData!$O$61),"",ReferenceData!$O$61),"")</f>
        <v>10748.380999999999</v>
      </c>
      <c r="P61">
        <f ca="1">IFERROR(IF(0=LEN(ReferenceData!$P$61),"",ReferenceData!$P$61),"")</f>
        <v>9118.7360000000008</v>
      </c>
      <c r="Q61">
        <f ca="1">IFERROR(IF(0=LEN(ReferenceData!$Q$61),"",ReferenceData!$Q$61),"")</f>
        <v>9883.0499999999993</v>
      </c>
      <c r="R61">
        <f ca="1">IFERROR(IF(0=LEN(ReferenceData!$R$61),"",ReferenceData!$R$61),"")</f>
        <v>9408.9320000000007</v>
      </c>
      <c r="S61">
        <f ca="1">IFERROR(IF(0=LEN(ReferenceData!$S$61),"",ReferenceData!$S$61),"")</f>
        <v>7881.2150000000001</v>
      </c>
      <c r="T61">
        <f ca="1">IFERROR(IF(0=LEN(ReferenceData!$T$61),"",ReferenceData!$T$61),"")</f>
        <v>8794.5290000000005</v>
      </c>
      <c r="U61">
        <f ca="1">IFERROR(IF(0=LEN(ReferenceData!$U$61),"",ReferenceData!$U$61),"")</f>
        <v>7870.21</v>
      </c>
      <c r="V61">
        <f ca="1">IFERROR(IF(0=LEN(ReferenceData!$V$61),"",ReferenceData!$V$61),"")</f>
        <v>7001.8869999999997</v>
      </c>
      <c r="W61">
        <f ca="1">IFERROR(IF(0=LEN(ReferenceData!$W$61),"",ReferenceData!$W$61),"")</f>
        <v>6361.9210000000003</v>
      </c>
      <c r="X61">
        <f ca="1">IFERROR(IF(0=LEN(ReferenceData!$X$61),"",ReferenceData!$X$61),"")</f>
        <v>6301.31</v>
      </c>
      <c r="Y61">
        <f ca="1">IFERROR(IF(0=LEN(ReferenceData!$Y$61),"",ReferenceData!$Y$61),"")</f>
        <v>5976.3770000000004</v>
      </c>
      <c r="Z61">
        <f ca="1">IFERROR(IF(0=LEN(ReferenceData!$Z$61),"",ReferenceData!$Z$61),"")</f>
        <v>6578.4269999999997</v>
      </c>
      <c r="AA61">
        <f ca="1">IFERROR(IF(0=LEN(ReferenceData!$AA$61),"",ReferenceData!$AA$61),"")</f>
        <v>5066.8559999999998</v>
      </c>
      <c r="AB61">
        <f ca="1">IFERROR(IF(0=LEN(ReferenceData!$AB$61),"",ReferenceData!$AB$61),"")</f>
        <v>5147.17</v>
      </c>
      <c r="AC61">
        <f ca="1">IFERROR(IF(0=LEN(ReferenceData!$AC$61),"",ReferenceData!$AC$61),"")</f>
        <v>4939.1009999999997</v>
      </c>
      <c r="AD61">
        <f ca="1">IFERROR(IF(0=LEN(ReferenceData!$AD$61),"",ReferenceData!$AD$61),"")</f>
        <v>4602.9780000000001</v>
      </c>
      <c r="AE61">
        <f ca="1">IFERROR(IF(0=LEN(ReferenceData!$AE$61),"",ReferenceData!$AE$61),"")</f>
        <v>4380.1809999999996</v>
      </c>
      <c r="AF61">
        <f ca="1">IFERROR(IF(0=LEN(ReferenceData!$AF$61),"",ReferenceData!$AF$61),"")</f>
        <v>4320.723</v>
      </c>
      <c r="AG61">
        <f ca="1">IFERROR(IF(0=LEN(ReferenceData!$AG$61),"",ReferenceData!$AG$61),"")</f>
        <v>4202.8850000000002</v>
      </c>
      <c r="AH61">
        <f ca="1">IFERROR(IF(0=LEN(ReferenceData!$AH$61),"",ReferenceData!$AH$61),"")</f>
        <v>3665.1374999999998</v>
      </c>
      <c r="AI61">
        <f ca="1">IFERROR(IF(0=LEN(ReferenceData!$AI$61),"",ReferenceData!$AI$61),"")</f>
        <v>3502.848</v>
      </c>
      <c r="AJ61">
        <f ca="1">IFERROR(IF(0=LEN(ReferenceData!$AJ$61),"",ReferenceData!$AJ$61),"")</f>
        <v>3434.502</v>
      </c>
      <c r="AK61">
        <f ca="1">IFERROR(IF(0=LEN(ReferenceData!$AK$61),"",ReferenceData!$AK$61),"")</f>
        <v>3299.3690000000001</v>
      </c>
      <c r="AL61">
        <f ca="1">IFERROR(IF(0=LEN(ReferenceData!$AL$61),"",ReferenceData!$AL$61),"")</f>
        <v>2836.0839999999998</v>
      </c>
      <c r="AM61">
        <f ca="1">IFERROR(IF(0=LEN(ReferenceData!$AM$61),"",ReferenceData!$AM$61),"")</f>
        <v>2787.2550000000001</v>
      </c>
      <c r="AN61">
        <f ca="1">IFERROR(IF(0=LEN(ReferenceData!$AN$61),"",ReferenceData!$AN$61),"")</f>
        <v>2987.1869999999999</v>
      </c>
      <c r="AO61">
        <f ca="1">IFERROR(IF(0=LEN(ReferenceData!$AO$61),"",ReferenceData!$AO$61),"")</f>
        <v>3414.2350000000001</v>
      </c>
      <c r="AP61">
        <f ca="1">IFERROR(IF(0=LEN(ReferenceData!$AP$61),"",ReferenceData!$AP$61),"")</f>
        <v>4572.107</v>
      </c>
      <c r="AQ61">
        <f ca="1">IFERROR(IF(0=LEN(ReferenceData!$AQ$61),"",ReferenceData!$AQ$61),"")</f>
        <v>4597.45</v>
      </c>
      <c r="AR61">
        <f ca="1">IFERROR(IF(0=LEN(ReferenceData!$AR$61),"",ReferenceData!$AR$61),"")</f>
        <v>4527.3540000000003</v>
      </c>
      <c r="AS61">
        <f ca="1">IFERROR(IF(0=LEN(ReferenceData!$AS$61),"",ReferenceData!$AS$61),"")</f>
        <v>5729.2759999999998</v>
      </c>
      <c r="AT61">
        <f ca="1">IFERROR(IF(0=LEN(ReferenceData!$AT$61),"",ReferenceData!$AT$61),"")</f>
        <v>4552.5739999999996</v>
      </c>
      <c r="AU61">
        <f ca="1">IFERROR(IF(0=LEN(ReferenceData!$AU$61),"",ReferenceData!$AU$61),"")</f>
        <v>4354.7870000000003</v>
      </c>
      <c r="AV61">
        <f ca="1">IFERROR(IF(0=LEN(ReferenceData!$AV$61),"",ReferenceData!$AV$61),"")</f>
        <v>5311.125</v>
      </c>
      <c r="AW61">
        <f ca="1">IFERROR(IF(0=LEN(ReferenceData!$AW$61),"",ReferenceData!$AW$61),"")</f>
        <v>5512.2790000000005</v>
      </c>
      <c r="AX61">
        <f ca="1">IFERROR(IF(0=LEN(ReferenceData!$AX$61),"",ReferenceData!$AX$61),"")</f>
        <v>5006.6409999999996</v>
      </c>
      <c r="AY61">
        <f ca="1">IFERROR(IF(0=LEN(ReferenceData!$AY$61),"",ReferenceData!$AY$61),"")</f>
        <v>4557.9780000000001</v>
      </c>
      <c r="AZ61">
        <f ca="1">IFERROR(IF(0=LEN(ReferenceData!$AZ$61),"",ReferenceData!$AZ$61),"")</f>
        <v>4614.9979999999996</v>
      </c>
      <c r="BA61">
        <f ca="1">IFERROR(IF(0=LEN(ReferenceData!$BA$61),"",ReferenceData!$BA$61),"")</f>
        <v>4444.3879999999999</v>
      </c>
      <c r="BB61">
        <f ca="1">IFERROR(IF(0=LEN(ReferenceData!$BB$61),"",ReferenceData!$BB$61),"")</f>
        <v>5537.13</v>
      </c>
      <c r="BC61">
        <f ca="1">IFERROR(IF(0=LEN(ReferenceData!$BC$61),"",ReferenceData!$BC$61),"")</f>
        <v>4642.7340000000004</v>
      </c>
      <c r="BD61">
        <f ca="1">IFERROR(IF(0=LEN(ReferenceData!$BD$61),"",ReferenceData!$BD$61),"")</f>
        <v>4334.1769999999997</v>
      </c>
      <c r="BE61">
        <f ca="1">IFERROR(IF(0=LEN(ReferenceData!$BE$61),"",ReferenceData!$BE$61),"")</f>
        <v>4125.366</v>
      </c>
      <c r="BF61">
        <f ca="1">IFERROR(IF(0=LEN(ReferenceData!$BF$61),"",ReferenceData!$BF$61),"")</f>
        <v>5127.9189999999999</v>
      </c>
      <c r="BG61">
        <f ca="1">IFERROR(IF(0=LEN(ReferenceData!$BG$61),"",ReferenceData!$BG$61),"")</f>
        <v>4012.0140000000001</v>
      </c>
      <c r="BH61">
        <f ca="1">IFERROR(IF(0=LEN(ReferenceData!$BH$61),"",ReferenceData!$BH$61),"")</f>
        <v>3956.2689999999998</v>
      </c>
      <c r="BI61">
        <f ca="1">IFERROR(IF(0=LEN(ReferenceData!$BI$61),"",ReferenceData!$BI$61),"")</f>
        <v>3835.6579999999999</v>
      </c>
      <c r="BJ61">
        <f ca="1">IFERROR(IF(0=LEN(ReferenceData!$BJ$61),"",ReferenceData!$BJ$61),"")</f>
        <v>4160.6440000000002</v>
      </c>
      <c r="BK61">
        <f ca="1">IFERROR(IF(0=LEN(ReferenceData!$BK$61),"",ReferenceData!$BK$61),"")</f>
        <v>3745.3879999999999</v>
      </c>
      <c r="BL61">
        <f ca="1">IFERROR(IF(0=LEN(ReferenceData!$BL$61),"",ReferenceData!$BL$61),"")</f>
        <v>3606.8049999999998</v>
      </c>
      <c r="BM61">
        <f ca="1">IFERROR(IF(0=LEN(ReferenceData!$BM$61),"",ReferenceData!$BM$61),"")</f>
        <v>3441.6889999999999</v>
      </c>
    </row>
    <row r="62" spans="1:65">
      <c r="A62" t="str">
        <f>IFERROR(IF(0=LEN(ReferenceData!$A$62),"",ReferenceData!$A$62),"")</f>
        <v xml:space="preserve">    Office REITs</v>
      </c>
      <c r="B62" t="str">
        <f>IFERROR(IF(0=LEN(ReferenceData!$B$62),"",ReferenceData!$B$62),"")</f>
        <v>RECFTDOF Index</v>
      </c>
      <c r="C62" t="str">
        <f>IFERROR(IF(0=LEN(ReferenceData!$C$62),"",ReferenceData!$C$62),"")</f>
        <v>PR005</v>
      </c>
      <c r="D62" t="str">
        <f>IFERROR(IF(0=LEN(ReferenceData!$D$62),"",ReferenceData!$D$62),"")</f>
        <v>PX_LAST</v>
      </c>
      <c r="E62" t="str">
        <f>IFERROR(IF(0=LEN(ReferenceData!$E$62),"",ReferenceData!$E$62),"")</f>
        <v>动态</v>
      </c>
      <c r="F62">
        <f ca="1">IFERROR(IF(0=LEN(ReferenceData!$F$62),"",ReferenceData!$F$62),"")</f>
        <v>897.93088790000002</v>
      </c>
      <c r="G62">
        <f ca="1">IFERROR(IF(0=LEN(ReferenceData!$G$62),"",ReferenceData!$G$62),"")</f>
        <v>935.98199999999997</v>
      </c>
      <c r="H62">
        <f ca="1">IFERROR(IF(0=LEN(ReferenceData!$H$62),"",ReferenceData!$H$62),"")</f>
        <v>965.85500000000002</v>
      </c>
      <c r="I62">
        <f ca="1">IFERROR(IF(0=LEN(ReferenceData!$I$62),"",ReferenceData!$I$62),"")</f>
        <v>1244.7560000000001</v>
      </c>
      <c r="J62">
        <f ca="1">IFERROR(IF(0=LEN(ReferenceData!$J$62),"",ReferenceData!$J$62),"")</f>
        <v>1174.595</v>
      </c>
      <c r="K62">
        <f ca="1">IFERROR(IF(0=LEN(ReferenceData!$K$62),"",ReferenceData!$K$62),"")</f>
        <v>813.30600000000004</v>
      </c>
      <c r="L62">
        <f ca="1">IFERROR(IF(0=LEN(ReferenceData!$L$62),"",ReferenceData!$L$62),"")</f>
        <v>932.03700000000003</v>
      </c>
      <c r="M62">
        <f ca="1">IFERROR(IF(0=LEN(ReferenceData!$M$62),"",ReferenceData!$M$62),"")</f>
        <v>1086.9870000000001</v>
      </c>
      <c r="N62">
        <f ca="1">IFERROR(IF(0=LEN(ReferenceData!$N$62),"",ReferenceData!$N$62),"")</f>
        <v>799.26700000000005</v>
      </c>
      <c r="O62">
        <f ca="1">IFERROR(IF(0=LEN(ReferenceData!$O$62),"",ReferenceData!$O$62),"")</f>
        <v>1022.282</v>
      </c>
      <c r="P62">
        <f ca="1">IFERROR(IF(0=LEN(ReferenceData!$P$62),"",ReferenceData!$P$62),"")</f>
        <v>868.27099999999996</v>
      </c>
      <c r="Q62">
        <f ca="1">IFERROR(IF(0=LEN(ReferenceData!$Q$62),"",ReferenceData!$Q$62),"")</f>
        <v>1786.963</v>
      </c>
      <c r="R62">
        <f ca="1">IFERROR(IF(0=LEN(ReferenceData!$R$62),"",ReferenceData!$R$62),"")</f>
        <v>799.12199999999996</v>
      </c>
      <c r="S62">
        <f ca="1">IFERROR(IF(0=LEN(ReferenceData!$S$62),"",ReferenceData!$S$62),"")</f>
        <v>714.07799999999997</v>
      </c>
      <c r="T62">
        <f ca="1">IFERROR(IF(0=LEN(ReferenceData!$T$62),"",ReferenceData!$T$62),"")</f>
        <v>714.45299999999997</v>
      </c>
      <c r="U62">
        <f ca="1">IFERROR(IF(0=LEN(ReferenceData!$U$62),"",ReferenceData!$U$62),"")</f>
        <v>1106.502</v>
      </c>
      <c r="V62">
        <f ca="1">IFERROR(IF(0=LEN(ReferenceData!$V$62),"",ReferenceData!$V$62),"")</f>
        <v>859.48500000000001</v>
      </c>
      <c r="W62">
        <f ca="1">IFERROR(IF(0=LEN(ReferenceData!$W$62),"",ReferenceData!$W$62),"")</f>
        <v>652.74</v>
      </c>
      <c r="X62">
        <f ca="1">IFERROR(IF(0=LEN(ReferenceData!$X$62),"",ReferenceData!$X$62),"")</f>
        <v>670.98500000000001</v>
      </c>
      <c r="Y62">
        <f ca="1">IFERROR(IF(0=LEN(ReferenceData!$Y$62),"",ReferenceData!$Y$62),"")</f>
        <v>661.05700000000002</v>
      </c>
      <c r="Z62">
        <f ca="1">IFERROR(IF(0=LEN(ReferenceData!$Z$62),"",ReferenceData!$Z$62),"")</f>
        <v>560.49599999999998</v>
      </c>
      <c r="AA62">
        <f ca="1">IFERROR(IF(0=LEN(ReferenceData!$AA$62),"",ReferenceData!$AA$62),"")</f>
        <v>564.58100000000002</v>
      </c>
      <c r="AB62">
        <f ca="1">IFERROR(IF(0=LEN(ReferenceData!$AB$62),"",ReferenceData!$AB$62),"")</f>
        <v>596.04100000000005</v>
      </c>
      <c r="AC62">
        <f ca="1">IFERROR(IF(0=LEN(ReferenceData!$AC$62),"",ReferenceData!$AC$62),"")</f>
        <v>639.52599999999995</v>
      </c>
      <c r="AD62">
        <f ca="1">IFERROR(IF(0=LEN(ReferenceData!$AD$62),"",ReferenceData!$AD$62),"")</f>
        <v>523.68100000000004</v>
      </c>
      <c r="AE62">
        <f ca="1">IFERROR(IF(0=LEN(ReferenceData!$AE$62),"",ReferenceData!$AE$62),"")</f>
        <v>537.37300000000005</v>
      </c>
      <c r="AF62">
        <f ca="1">IFERROR(IF(0=LEN(ReferenceData!$AF$62),"",ReferenceData!$AF$62),"")</f>
        <v>650.68899999999996</v>
      </c>
      <c r="AG62">
        <f ca="1">IFERROR(IF(0=LEN(ReferenceData!$AG$62),"",ReferenceData!$AG$62),"")</f>
        <v>494.29500000000002</v>
      </c>
      <c r="AH62">
        <f ca="1">IFERROR(IF(0=LEN(ReferenceData!$AH$62),"",ReferenceData!$AH$62),"")</f>
        <v>484.274</v>
      </c>
      <c r="AI62">
        <f ca="1">IFERROR(IF(0=LEN(ReferenceData!$AI$62),"",ReferenceData!$AI$62),"")</f>
        <v>462.40100000000001</v>
      </c>
      <c r="AJ62">
        <f ca="1">IFERROR(IF(0=LEN(ReferenceData!$AJ$62),"",ReferenceData!$AJ$62),"")</f>
        <v>451.34</v>
      </c>
      <c r="AK62">
        <f ca="1">IFERROR(IF(0=LEN(ReferenceData!$AK$62),"",ReferenceData!$AK$62),"")</f>
        <v>450.565</v>
      </c>
      <c r="AL62">
        <f ca="1">IFERROR(IF(0=LEN(ReferenceData!$AL$62),"",ReferenceData!$AL$62),"")</f>
        <v>380.95</v>
      </c>
      <c r="AM62">
        <f ca="1">IFERROR(IF(0=LEN(ReferenceData!$AM$62),"",ReferenceData!$AM$62),"")</f>
        <v>363.16699999999997</v>
      </c>
      <c r="AN62">
        <f ca="1">IFERROR(IF(0=LEN(ReferenceData!$AN$62),"",ReferenceData!$AN$62),"")</f>
        <v>431.69400000000002</v>
      </c>
      <c r="AO62">
        <f ca="1">IFERROR(IF(0=LEN(ReferenceData!$AO$62),"",ReferenceData!$AO$62),"")</f>
        <v>472.452</v>
      </c>
      <c r="AP62">
        <f ca="1">IFERROR(IF(0=LEN(ReferenceData!$AP$62),"",ReferenceData!$AP$62),"")</f>
        <v>569.83749999999998</v>
      </c>
      <c r="AQ62">
        <f ca="1">IFERROR(IF(0=LEN(ReferenceData!$AQ$62),"",ReferenceData!$AQ$62),"")</f>
        <v>536.96</v>
      </c>
      <c r="AR62">
        <f ca="1">IFERROR(IF(0=LEN(ReferenceData!$AR$62),"",ReferenceData!$AR$62),"")</f>
        <v>549.34299999999996</v>
      </c>
      <c r="AS62">
        <f ca="1">IFERROR(IF(0=LEN(ReferenceData!$AS$62),"",ReferenceData!$AS$62),"")</f>
        <v>1384.4090000000001</v>
      </c>
      <c r="AT62">
        <f ca="1">IFERROR(IF(0=LEN(ReferenceData!$AT$62),"",ReferenceData!$AT$62),"")</f>
        <v>568.73850000000004</v>
      </c>
      <c r="AU62">
        <f ca="1">IFERROR(IF(0=LEN(ReferenceData!$AU$62),"",ReferenceData!$AU$62),"")</f>
        <v>562.41099999999994</v>
      </c>
      <c r="AV62">
        <f ca="1">IFERROR(IF(0=LEN(ReferenceData!$AV$62),"",ReferenceData!$AV$62),"")</f>
        <v>609.35699999999997</v>
      </c>
      <c r="AW62">
        <f ca="1">IFERROR(IF(0=LEN(ReferenceData!$AW$62),"",ReferenceData!$AW$62),"")</f>
        <v>1370.4829999999999</v>
      </c>
      <c r="AX62">
        <f ca="1">IFERROR(IF(0=LEN(ReferenceData!$AX$62),"",ReferenceData!$AX$62),"")</f>
        <v>953.40899999999999</v>
      </c>
      <c r="AY62">
        <f ca="1">IFERROR(IF(0=LEN(ReferenceData!$AY$62),"",ReferenceData!$AY$62),"")</f>
        <v>721.279</v>
      </c>
      <c r="AZ62">
        <f ca="1">IFERROR(IF(0=LEN(ReferenceData!$AZ$62),"",ReferenceData!$AZ$62),"")</f>
        <v>751.85400000000004</v>
      </c>
      <c r="BA62">
        <f ca="1">IFERROR(IF(0=LEN(ReferenceData!$BA$62),"",ReferenceData!$BA$62),"")</f>
        <v>636.03499999999997</v>
      </c>
      <c r="BB62">
        <f ca="1">IFERROR(IF(0=LEN(ReferenceData!$BB$62),"",ReferenceData!$BB$62),"")</f>
        <v>1425.1935000000001</v>
      </c>
      <c r="BC62">
        <f ca="1">IFERROR(IF(0=LEN(ReferenceData!$BC$62),"",ReferenceData!$BC$62),"")</f>
        <v>875.88599999999997</v>
      </c>
      <c r="BD62">
        <f ca="1">IFERROR(IF(0=LEN(ReferenceData!$BD$62),"",ReferenceData!$BD$62),"")</f>
        <v>881.58199999999999</v>
      </c>
      <c r="BE62">
        <f ca="1">IFERROR(IF(0=LEN(ReferenceData!$BE$62),"",ReferenceData!$BE$62),"")</f>
        <v>697.65800000000002</v>
      </c>
      <c r="BF62">
        <f ca="1">IFERROR(IF(0=LEN(ReferenceData!$BF$62),"",ReferenceData!$BF$62),"")</f>
        <v>1081.6125</v>
      </c>
      <c r="BG62">
        <f ca="1">IFERROR(IF(0=LEN(ReferenceData!$BG$62),"",ReferenceData!$BG$62),"")</f>
        <v>834.86</v>
      </c>
      <c r="BH62">
        <f ca="1">IFERROR(IF(0=LEN(ReferenceData!$BH$62),"",ReferenceData!$BH$62),"")</f>
        <v>790.995</v>
      </c>
      <c r="BI62">
        <f ca="1">IFERROR(IF(0=LEN(ReferenceData!$BI$62),"",ReferenceData!$BI$62),"")</f>
        <v>518.00800000000004</v>
      </c>
      <c r="BJ62">
        <f ca="1">IFERROR(IF(0=LEN(ReferenceData!$BJ$62),"",ReferenceData!$BJ$62),"")</f>
        <v>1064.3454999999999</v>
      </c>
      <c r="BK62">
        <f ca="1">IFERROR(IF(0=LEN(ReferenceData!$BK$62),"",ReferenceData!$BK$62),"")</f>
        <v>748.47299999999996</v>
      </c>
      <c r="BL62">
        <f ca="1">IFERROR(IF(0=LEN(ReferenceData!$BL$62),"",ReferenceData!$BL$62),"")</f>
        <v>756.55799999999999</v>
      </c>
      <c r="BM62">
        <f ca="1">IFERROR(IF(0=LEN(ReferenceData!$BM$62),"",ReferenceData!$BM$62),"")</f>
        <v>501.00299999999999</v>
      </c>
    </row>
    <row r="63" spans="1:65">
      <c r="A63" t="str">
        <f>IFERROR(IF(0=LEN(ReferenceData!$A$63),"",ReferenceData!$A$63),"")</f>
        <v xml:space="preserve">    Industrial REITs</v>
      </c>
      <c r="B63" t="str">
        <f>IFERROR(IF(0=LEN(ReferenceData!$B$63),"",ReferenceData!$B$63),"")</f>
        <v>RECFTDIN Index</v>
      </c>
      <c r="C63" t="str">
        <f>IFERROR(IF(0=LEN(ReferenceData!$C$63),"",ReferenceData!$C$63),"")</f>
        <v>PR005</v>
      </c>
      <c r="D63" t="str">
        <f>IFERROR(IF(0=LEN(ReferenceData!$D$63),"",ReferenceData!$D$63),"")</f>
        <v>PX_LAST</v>
      </c>
      <c r="E63" t="str">
        <f>IFERROR(IF(0=LEN(ReferenceData!$E$63),"",ReferenceData!$E$63),"")</f>
        <v>动态</v>
      </c>
      <c r="F63">
        <f ca="1">IFERROR(IF(0=LEN(ReferenceData!$F$63),"",ReferenceData!$F$63),"")</f>
        <v>952.89951659999997</v>
      </c>
      <c r="G63">
        <f ca="1">IFERROR(IF(0=LEN(ReferenceData!$G$63),"",ReferenceData!$G$63),"")</f>
        <v>598.84500000000003</v>
      </c>
      <c r="H63">
        <f ca="1">IFERROR(IF(0=LEN(ReferenceData!$H$63),"",ReferenceData!$H$63),"")</f>
        <v>619.97900000000004</v>
      </c>
      <c r="I63">
        <f ca="1">IFERROR(IF(0=LEN(ReferenceData!$I$63),"",ReferenceData!$I$63),"")</f>
        <v>596.33600000000001</v>
      </c>
      <c r="J63">
        <f ca="1">IFERROR(IF(0=LEN(ReferenceData!$J$63),"",ReferenceData!$J$63),"")</f>
        <v>586.47199999999998</v>
      </c>
      <c r="K63">
        <f ca="1">IFERROR(IF(0=LEN(ReferenceData!$K$63),"",ReferenceData!$K$63),"")</f>
        <v>618.12900000000002</v>
      </c>
      <c r="L63">
        <f ca="1">IFERROR(IF(0=LEN(ReferenceData!$L$63),"",ReferenceData!$L$63),"")</f>
        <v>661.03800000000001</v>
      </c>
      <c r="M63">
        <f ca="1">IFERROR(IF(0=LEN(ReferenceData!$M$63),"",ReferenceData!$M$63),"")</f>
        <v>594.875</v>
      </c>
      <c r="N63">
        <f ca="1">IFERROR(IF(0=LEN(ReferenceData!$N$63),"",ReferenceData!$N$63),"")</f>
        <v>637.02800000000002</v>
      </c>
      <c r="O63">
        <f ca="1">IFERROR(IF(0=LEN(ReferenceData!$O$63),"",ReferenceData!$O$63),"")</f>
        <v>637.91300000000001</v>
      </c>
      <c r="P63">
        <f ca="1">IFERROR(IF(0=LEN(ReferenceData!$P$63),"",ReferenceData!$P$63),"")</f>
        <v>503.65</v>
      </c>
      <c r="Q63">
        <f ca="1">IFERROR(IF(0=LEN(ReferenceData!$Q$63),"",ReferenceData!$Q$63),"")</f>
        <v>504.40100000000001</v>
      </c>
      <c r="R63">
        <f ca="1">IFERROR(IF(0=LEN(ReferenceData!$R$63),"",ReferenceData!$R$63),"")</f>
        <v>601.74400000000003</v>
      </c>
      <c r="S63">
        <f ca="1">IFERROR(IF(0=LEN(ReferenceData!$S$63),"",ReferenceData!$S$63),"")</f>
        <v>460.76799999999997</v>
      </c>
      <c r="T63">
        <f ca="1">IFERROR(IF(0=LEN(ReferenceData!$T$63),"",ReferenceData!$T$63),"")</f>
        <v>706.16399999999999</v>
      </c>
      <c r="U63">
        <f ca="1">IFERROR(IF(0=LEN(ReferenceData!$U$63),"",ReferenceData!$U$63),"")</f>
        <v>446.77100000000002</v>
      </c>
      <c r="V63">
        <f ca="1">IFERROR(IF(0=LEN(ReferenceData!$V$63),"",ReferenceData!$V$63),"")</f>
        <v>485.98399999999998</v>
      </c>
      <c r="W63">
        <f ca="1">IFERROR(IF(0=LEN(ReferenceData!$W$63),"",ReferenceData!$W$63),"")</f>
        <v>441.50900000000001</v>
      </c>
      <c r="X63">
        <f ca="1">IFERROR(IF(0=LEN(ReferenceData!$X$63),"",ReferenceData!$X$63),"")</f>
        <v>397.46499999999997</v>
      </c>
      <c r="Y63">
        <f ca="1">IFERROR(IF(0=LEN(ReferenceData!$Y$63),"",ReferenceData!$Y$63),"")</f>
        <v>379.072</v>
      </c>
      <c r="Z63">
        <f ca="1">IFERROR(IF(0=LEN(ReferenceData!$Z$63),"",ReferenceData!$Z$63),"")</f>
        <v>404.33800000000002</v>
      </c>
      <c r="AA63">
        <f ca="1">IFERROR(IF(0=LEN(ReferenceData!$AA$63),"",ReferenceData!$AA$63),"")</f>
        <v>376.084</v>
      </c>
      <c r="AB63">
        <f ca="1">IFERROR(IF(0=LEN(ReferenceData!$AB$63),"",ReferenceData!$AB$63),"")</f>
        <v>366.423</v>
      </c>
      <c r="AC63">
        <f ca="1">IFERROR(IF(0=LEN(ReferenceData!$AC$63),"",ReferenceData!$AC$63),"")</f>
        <v>359.02</v>
      </c>
      <c r="AD63">
        <f ca="1">IFERROR(IF(0=LEN(ReferenceData!$AD$63),"",ReferenceData!$AD$63),"")</f>
        <v>350.37200000000001</v>
      </c>
      <c r="AE63">
        <f ca="1">IFERROR(IF(0=LEN(ReferenceData!$AE$63),"",ReferenceData!$AE$63),"")</f>
        <v>363.67399999999998</v>
      </c>
      <c r="AF63">
        <f ca="1">IFERROR(IF(0=LEN(ReferenceData!$AF$63),"",ReferenceData!$AF$63),"")</f>
        <v>277.70499999999998</v>
      </c>
      <c r="AG63">
        <f ca="1">IFERROR(IF(0=LEN(ReferenceData!$AG$63),"",ReferenceData!$AG$63),"")</f>
        <v>377.38499999999999</v>
      </c>
      <c r="AH63">
        <f ca="1">IFERROR(IF(0=LEN(ReferenceData!$AH$63),"",ReferenceData!$AH$63),"")</f>
        <v>327.49200000000002</v>
      </c>
      <c r="AI63">
        <f ca="1">IFERROR(IF(0=LEN(ReferenceData!$AI$63),"",ReferenceData!$AI$63),"")</f>
        <v>333.37599999999998</v>
      </c>
      <c r="AJ63">
        <f ca="1">IFERROR(IF(0=LEN(ReferenceData!$AJ$63),"",ReferenceData!$AJ$63),"")</f>
        <v>326.214</v>
      </c>
      <c r="AK63">
        <f ca="1">IFERROR(IF(0=LEN(ReferenceData!$AK$63),"",ReferenceData!$AK$63),"")</f>
        <v>324.02</v>
      </c>
      <c r="AL63">
        <f ca="1">IFERROR(IF(0=LEN(ReferenceData!$AL$63),"",ReferenceData!$AL$63),"")</f>
        <v>322.26900000000001</v>
      </c>
      <c r="AM63">
        <f ca="1">IFERROR(IF(0=LEN(ReferenceData!$AM$63),"",ReferenceData!$AM$63),"")</f>
        <v>320.16899999999998</v>
      </c>
      <c r="AN63">
        <f ca="1">IFERROR(IF(0=LEN(ReferenceData!$AN$63),"",ReferenceData!$AN$63),"")</f>
        <v>313.83800000000002</v>
      </c>
      <c r="AO63">
        <f ca="1">IFERROR(IF(0=LEN(ReferenceData!$AO$63),"",ReferenceData!$AO$63),"")</f>
        <v>283.63799999999998</v>
      </c>
      <c r="AP63">
        <f ca="1">IFERROR(IF(0=LEN(ReferenceData!$AP$63),"",ReferenceData!$AP$63),"")</f>
        <v>480.99799999999999</v>
      </c>
      <c r="AQ63">
        <f ca="1">IFERROR(IF(0=LEN(ReferenceData!$AQ$63),"",ReferenceData!$AQ$63),"")</f>
        <v>510.55900000000003</v>
      </c>
      <c r="AR63">
        <f ca="1">IFERROR(IF(0=LEN(ReferenceData!$AR$63),"",ReferenceData!$AR$63),"")</f>
        <v>505.59699999999998</v>
      </c>
      <c r="AS63">
        <f ca="1">IFERROR(IF(0=LEN(ReferenceData!$AS$63),"",ReferenceData!$AS$63),"")</f>
        <v>512.09699999999998</v>
      </c>
      <c r="AT63">
        <f ca="1">IFERROR(IF(0=LEN(ReferenceData!$AT$63),"",ReferenceData!$AT$63),"")</f>
        <v>499.98950000000002</v>
      </c>
      <c r="AU63">
        <f ca="1">IFERROR(IF(0=LEN(ReferenceData!$AU$63),"",ReferenceData!$AU$63),"")</f>
        <v>496.52499999999998</v>
      </c>
      <c r="AV63">
        <f ca="1">IFERROR(IF(0=LEN(ReferenceData!$AV$63),"",ReferenceData!$AV$63),"")</f>
        <v>478.03100000000001</v>
      </c>
      <c r="AW63">
        <f ca="1">IFERROR(IF(0=LEN(ReferenceData!$AW$63),"",ReferenceData!$AW$63),"")</f>
        <v>505.76900000000001</v>
      </c>
      <c r="AX63">
        <f ca="1">IFERROR(IF(0=LEN(ReferenceData!$AX$63),"",ReferenceData!$AX$63),"")</f>
        <v>445.14100000000002</v>
      </c>
      <c r="AY63">
        <f ca="1">IFERROR(IF(0=LEN(ReferenceData!$AY$63),"",ReferenceData!$AY$63),"")</f>
        <v>435.80799999999999</v>
      </c>
      <c r="AZ63">
        <f ca="1">IFERROR(IF(0=LEN(ReferenceData!$AZ$63),"",ReferenceData!$AZ$63),"")</f>
        <v>396.416</v>
      </c>
      <c r="BA63">
        <f ca="1">IFERROR(IF(0=LEN(ReferenceData!$BA$63),"",ReferenceData!$BA$63),"")</f>
        <v>422.37799999999999</v>
      </c>
      <c r="BB63">
        <f ca="1">IFERROR(IF(0=LEN(ReferenceData!$BB$63),"",ReferenceData!$BB$63),"")</f>
        <v>836.88</v>
      </c>
      <c r="BC63">
        <f ca="1">IFERROR(IF(0=LEN(ReferenceData!$BC$63),"",ReferenceData!$BC$63),"")</f>
        <v>392.41500000000002</v>
      </c>
      <c r="BD63">
        <f ca="1">IFERROR(IF(0=LEN(ReferenceData!$BD$63),"",ReferenceData!$BD$63),"")</f>
        <v>437.25</v>
      </c>
      <c r="BE63">
        <f ca="1">IFERROR(IF(0=LEN(ReferenceData!$BE$63),"",ReferenceData!$BE$63),"")</f>
        <v>470.62599999999998</v>
      </c>
      <c r="BF63">
        <f ca="1">IFERROR(IF(0=LEN(ReferenceData!$BF$63),"",ReferenceData!$BF$63),"")</f>
        <v>418.99299999999999</v>
      </c>
      <c r="BG63">
        <f ca="1">IFERROR(IF(0=LEN(ReferenceData!$BG$63),"",ReferenceData!$BG$63),"")</f>
        <v>389.64400000000001</v>
      </c>
      <c r="BH63">
        <f ca="1">IFERROR(IF(0=LEN(ReferenceData!$BH$63),"",ReferenceData!$BH$63),"")</f>
        <v>398.86099999999999</v>
      </c>
      <c r="BI63">
        <f ca="1">IFERROR(IF(0=LEN(ReferenceData!$BI$63),"",ReferenceData!$BI$63),"")</f>
        <v>382.44799999999998</v>
      </c>
      <c r="BJ63">
        <f ca="1">IFERROR(IF(0=LEN(ReferenceData!$BJ$63),"",ReferenceData!$BJ$63),"")</f>
        <v>373.04450000000003</v>
      </c>
      <c r="BK63">
        <f ca="1">IFERROR(IF(0=LEN(ReferenceData!$BK$63),"",ReferenceData!$BK$63),"")</f>
        <v>393.74200000000002</v>
      </c>
      <c r="BL63">
        <f ca="1">IFERROR(IF(0=LEN(ReferenceData!$BL$63),"",ReferenceData!$BL$63),"")</f>
        <v>356.22199999999998</v>
      </c>
      <c r="BM63">
        <f ca="1">IFERROR(IF(0=LEN(ReferenceData!$BM$63),"",ReferenceData!$BM$63),"")</f>
        <v>351.95600000000002</v>
      </c>
    </row>
    <row r="64" spans="1:65">
      <c r="A64" t="str">
        <f>IFERROR(IF(0=LEN(ReferenceData!$A$64),"",ReferenceData!$A$64),"")</f>
        <v xml:space="preserve">    Retail REITs</v>
      </c>
      <c r="B64" t="str">
        <f>IFERROR(IF(0=LEN(ReferenceData!$B$64),"",ReferenceData!$B$64),"")</f>
        <v>RECFTDRT Index</v>
      </c>
      <c r="C64" t="str">
        <f>IFERROR(IF(0=LEN(ReferenceData!$C$64),"",ReferenceData!$C$64),"")</f>
        <v>PR005</v>
      </c>
      <c r="D64" t="str">
        <f>IFERROR(IF(0=LEN(ReferenceData!$D$64),"",ReferenceData!$D$64),"")</f>
        <v>PX_LAST</v>
      </c>
      <c r="E64" t="str">
        <f>IFERROR(IF(0=LEN(ReferenceData!$E$64),"",ReferenceData!$E$64),"")</f>
        <v>动态</v>
      </c>
      <c r="F64">
        <f ca="1">IFERROR(IF(0=LEN(ReferenceData!$F$64),"",ReferenceData!$F$64),"")</f>
        <v>2520.6331650000002</v>
      </c>
      <c r="G64">
        <f ca="1">IFERROR(IF(0=LEN(ReferenceData!$G$64),"",ReferenceData!$G$64),"")</f>
        <v>2371.723</v>
      </c>
      <c r="H64">
        <f ca="1">IFERROR(IF(0=LEN(ReferenceData!$H$64),"",ReferenceData!$H$64),"")</f>
        <v>2374.6489999999999</v>
      </c>
      <c r="I64">
        <f ca="1">IFERROR(IF(0=LEN(ReferenceData!$I$64),"",ReferenceData!$I$64),"")</f>
        <v>2558.607</v>
      </c>
      <c r="J64">
        <f ca="1">IFERROR(IF(0=LEN(ReferenceData!$J$64),"",ReferenceData!$J$64),"")</f>
        <v>2286.9140000000002</v>
      </c>
      <c r="K64">
        <f ca="1">IFERROR(IF(0=LEN(ReferenceData!$K$64),"",ReferenceData!$K$64),"")</f>
        <v>2207.2890000000002</v>
      </c>
      <c r="L64">
        <f ca="1">IFERROR(IF(0=LEN(ReferenceData!$L$64),"",ReferenceData!$L$64),"")</f>
        <v>2339.6260000000002</v>
      </c>
      <c r="M64">
        <f ca="1">IFERROR(IF(0=LEN(ReferenceData!$M$64),"",ReferenceData!$M$64),"")</f>
        <v>2592.9229999999998</v>
      </c>
      <c r="N64">
        <f ca="1">IFERROR(IF(0=LEN(ReferenceData!$N$64),"",ReferenceData!$N$64),"")</f>
        <v>2445.4760000000001</v>
      </c>
      <c r="O64">
        <f ca="1">IFERROR(IF(0=LEN(ReferenceData!$O$64),"",ReferenceData!$O$64),"")</f>
        <v>2066.8760000000002</v>
      </c>
      <c r="P64">
        <f ca="1">IFERROR(IF(0=LEN(ReferenceData!$P$64),"",ReferenceData!$P$64),"")</f>
        <v>2120.67</v>
      </c>
      <c r="Q64">
        <f ca="1">IFERROR(IF(0=LEN(ReferenceData!$Q$64),"",ReferenceData!$Q$64),"")</f>
        <v>2060.0680000000002</v>
      </c>
      <c r="R64">
        <f ca="1">IFERROR(IF(0=LEN(ReferenceData!$R$64),"",ReferenceData!$R$64),"")</f>
        <v>2607.4879999999998</v>
      </c>
      <c r="S64">
        <f ca="1">IFERROR(IF(0=LEN(ReferenceData!$S$64),"",ReferenceData!$S$64),"")</f>
        <v>2239.395</v>
      </c>
      <c r="T64">
        <f ca="1">IFERROR(IF(0=LEN(ReferenceData!$T$64),"",ReferenceData!$T$64),"")</f>
        <v>3083.4920000000002</v>
      </c>
      <c r="U64">
        <f ca="1">IFERROR(IF(0=LEN(ReferenceData!$U$64),"",ReferenceData!$U$64),"")</f>
        <v>1966.8630000000001</v>
      </c>
      <c r="V64">
        <f ca="1">IFERROR(IF(0=LEN(ReferenceData!$V$64),"",ReferenceData!$V$64),"")</f>
        <v>1799.4949999999999</v>
      </c>
      <c r="W64">
        <f ca="1">IFERROR(IF(0=LEN(ReferenceData!$W$64),"",ReferenceData!$W$64),"")</f>
        <v>1711.047</v>
      </c>
      <c r="X64">
        <f ca="1">IFERROR(IF(0=LEN(ReferenceData!$X$64),"",ReferenceData!$X$64),"")</f>
        <v>1646.9349999999999</v>
      </c>
      <c r="Y64">
        <f ca="1">IFERROR(IF(0=LEN(ReferenceData!$Y$64),"",ReferenceData!$Y$64),"")</f>
        <v>1495.913</v>
      </c>
      <c r="Z64">
        <f ca="1">IFERROR(IF(0=LEN(ReferenceData!$Z$64),"",ReferenceData!$Z$64),"")</f>
        <v>2111.616</v>
      </c>
      <c r="AA64">
        <f ca="1">IFERROR(IF(0=LEN(ReferenceData!$AA$64),"",ReferenceData!$AA$64),"")</f>
        <v>1396.18</v>
      </c>
      <c r="AB64">
        <f ca="1">IFERROR(IF(0=LEN(ReferenceData!$AB$64),"",ReferenceData!$AB$64),"")</f>
        <v>1355.588</v>
      </c>
      <c r="AC64">
        <f ca="1">IFERROR(IF(0=LEN(ReferenceData!$AC$64),"",ReferenceData!$AC$64),"")</f>
        <v>1250.9000000000001</v>
      </c>
      <c r="AD64">
        <f ca="1">IFERROR(IF(0=LEN(ReferenceData!$AD$64),"",ReferenceData!$AD$64),"")</f>
        <v>1378.9390000000001</v>
      </c>
      <c r="AE64">
        <f ca="1">IFERROR(IF(0=LEN(ReferenceData!$AE$64),"",ReferenceData!$AE$64),"")</f>
        <v>1130.201</v>
      </c>
      <c r="AF64">
        <f ca="1">IFERROR(IF(0=LEN(ReferenceData!$AF$64),"",ReferenceData!$AF$64),"")</f>
        <v>1139.095</v>
      </c>
      <c r="AG64">
        <f ca="1">IFERROR(IF(0=LEN(ReferenceData!$AG$64),"",ReferenceData!$AG$64),"")</f>
        <v>1062.4839999999999</v>
      </c>
      <c r="AH64">
        <f ca="1">IFERROR(IF(0=LEN(ReferenceData!$AH$64),"",ReferenceData!$AH$64),"")</f>
        <v>986.58749999999998</v>
      </c>
      <c r="AI64">
        <f ca="1">IFERROR(IF(0=LEN(ReferenceData!$AI$64),"",ReferenceData!$AI$64),"")</f>
        <v>859.07500000000005</v>
      </c>
      <c r="AJ64">
        <f ca="1">IFERROR(IF(0=LEN(ReferenceData!$AJ$64),"",ReferenceData!$AJ$64),"")</f>
        <v>853.03599999999994</v>
      </c>
      <c r="AK64">
        <f ca="1">IFERROR(IF(0=LEN(ReferenceData!$AK$64),"",ReferenceData!$AK$64),"")</f>
        <v>748.40099999999995</v>
      </c>
      <c r="AL64">
        <f ca="1">IFERROR(IF(0=LEN(ReferenceData!$AL$64),"",ReferenceData!$AL$64),"")</f>
        <v>549.62</v>
      </c>
      <c r="AM64">
        <f ca="1">IFERROR(IF(0=LEN(ReferenceData!$AM$64),"",ReferenceData!$AM$64),"")</f>
        <v>524.63599999999997</v>
      </c>
      <c r="AN64">
        <f ca="1">IFERROR(IF(0=LEN(ReferenceData!$AN$64),"",ReferenceData!$AN$64),"")</f>
        <v>628.28599999999994</v>
      </c>
      <c r="AO64">
        <f ca="1">IFERROR(IF(0=LEN(ReferenceData!$AO$64),"",ReferenceData!$AO$64),"")</f>
        <v>768.06100000000004</v>
      </c>
      <c r="AP64">
        <f ca="1">IFERROR(IF(0=LEN(ReferenceData!$AP$64),"",ReferenceData!$AP$64),"")</f>
        <v>1148.5415</v>
      </c>
      <c r="AQ64">
        <f ca="1">IFERROR(IF(0=LEN(ReferenceData!$AQ$64),"",ReferenceData!$AQ$64),"")</f>
        <v>1267.027</v>
      </c>
      <c r="AR64">
        <f ca="1">IFERROR(IF(0=LEN(ReferenceData!$AR$64),"",ReferenceData!$AR$64),"")</f>
        <v>1269.0840000000001</v>
      </c>
      <c r="AS64">
        <f ca="1">IFERROR(IF(0=LEN(ReferenceData!$AS$64),"",ReferenceData!$AS$64),"")</f>
        <v>1283.221</v>
      </c>
      <c r="AT64">
        <f ca="1">IFERROR(IF(0=LEN(ReferenceData!$AT$64),"",ReferenceData!$AT$64),"")</f>
        <v>1211.0419999999999</v>
      </c>
      <c r="AU64">
        <f ca="1">IFERROR(IF(0=LEN(ReferenceData!$AU$64),"",ReferenceData!$AU$64),"")</f>
        <v>1192.701</v>
      </c>
      <c r="AV64">
        <f ca="1">IFERROR(IF(0=LEN(ReferenceData!$AV$64),"",ReferenceData!$AV$64),"")</f>
        <v>1224.3720000000001</v>
      </c>
      <c r="AW64">
        <f ca="1">IFERROR(IF(0=LEN(ReferenceData!$AW$64),"",ReferenceData!$AW$64),"")</f>
        <v>1165.173</v>
      </c>
      <c r="AX64">
        <f ca="1">IFERROR(IF(0=LEN(ReferenceData!$AX$64),"",ReferenceData!$AX$64),"")</f>
        <v>1163.7650000000001</v>
      </c>
      <c r="AY64">
        <f ca="1">IFERROR(IF(0=LEN(ReferenceData!$AY$64),"",ReferenceData!$AY$64),"")</f>
        <v>1138.6320000000001</v>
      </c>
      <c r="AZ64">
        <f ca="1">IFERROR(IF(0=LEN(ReferenceData!$AZ$64),"",ReferenceData!$AZ$64),"")</f>
        <v>1323.4059999999999</v>
      </c>
      <c r="BA64">
        <f ca="1">IFERROR(IF(0=LEN(ReferenceData!$BA$64),"",ReferenceData!$BA$64),"")</f>
        <v>1207.626</v>
      </c>
      <c r="BB64">
        <f ca="1">IFERROR(IF(0=LEN(ReferenceData!$BB$64),"",ReferenceData!$BB$64),"")</f>
        <v>1170.0425</v>
      </c>
      <c r="BC64">
        <f ca="1">IFERROR(IF(0=LEN(ReferenceData!$BC$64),"",ReferenceData!$BC$64),"")</f>
        <v>1469.374</v>
      </c>
      <c r="BD64">
        <f ca="1">IFERROR(IF(0=LEN(ReferenceData!$BD$64),"",ReferenceData!$BD$64),"")</f>
        <v>1148.2049999999999</v>
      </c>
      <c r="BE64">
        <f ca="1">IFERROR(IF(0=LEN(ReferenceData!$BE$64),"",ReferenceData!$BE$64),"")</f>
        <v>1116.56</v>
      </c>
      <c r="BF64">
        <f ca="1">IFERROR(IF(0=LEN(ReferenceData!$BF$64),"",ReferenceData!$BF$64),"")</f>
        <v>1162.8119999999999</v>
      </c>
      <c r="BG64">
        <f ca="1">IFERROR(IF(0=LEN(ReferenceData!$BG$64),"",ReferenceData!$BG$64),"")</f>
        <v>1050.623</v>
      </c>
      <c r="BH64">
        <f ca="1">IFERROR(IF(0=LEN(ReferenceData!$BH$64),"",ReferenceData!$BH$64),"")</f>
        <v>1084.345</v>
      </c>
      <c r="BI64">
        <f ca="1">IFERROR(IF(0=LEN(ReferenceData!$BI$64),"",ReferenceData!$BI$64),"")</f>
        <v>1019.524</v>
      </c>
      <c r="BJ64">
        <f ca="1">IFERROR(IF(0=LEN(ReferenceData!$BJ$64),"",ReferenceData!$BJ$64),"")</f>
        <v>996.40099999999995</v>
      </c>
      <c r="BK64">
        <f ca="1">IFERROR(IF(0=LEN(ReferenceData!$BK$64),"",ReferenceData!$BK$64),"")</f>
        <v>923.17399999999998</v>
      </c>
      <c r="BL64">
        <f ca="1">IFERROR(IF(0=LEN(ReferenceData!$BL$64),"",ReferenceData!$BL$64),"")</f>
        <v>922.86199999999997</v>
      </c>
      <c r="BM64">
        <f ca="1">IFERROR(IF(0=LEN(ReferenceData!$BM$64),"",ReferenceData!$BM$64),"")</f>
        <v>884.19200000000001</v>
      </c>
    </row>
    <row r="65" spans="1:65">
      <c r="A65" t="str">
        <f>IFERROR(IF(0=LEN(ReferenceData!$A$65),"",ReferenceData!$A$65),"")</f>
        <v xml:space="preserve">    Shopping Center REITs</v>
      </c>
      <c r="B65" t="str">
        <f>IFERROR(IF(0=LEN(ReferenceData!$B$65),"",ReferenceData!$B$65),"")</f>
        <v>RECFTDSC Index</v>
      </c>
      <c r="C65" t="str">
        <f>IFERROR(IF(0=LEN(ReferenceData!$C$65),"",ReferenceData!$C$65),"")</f>
        <v>PR005</v>
      </c>
      <c r="D65" t="str">
        <f>IFERROR(IF(0=LEN(ReferenceData!$D$65),"",ReferenceData!$D$65),"")</f>
        <v>PX_LAST</v>
      </c>
      <c r="E65" t="str">
        <f>IFERROR(IF(0=LEN(ReferenceData!$E$65),"",ReferenceData!$E$65),"")</f>
        <v>动态</v>
      </c>
      <c r="F65">
        <f ca="1">IFERROR(IF(0=LEN(ReferenceData!$F$65),"",ReferenceData!$F$65),"")</f>
        <v>753.92453850000004</v>
      </c>
      <c r="G65">
        <f ca="1">IFERROR(IF(0=LEN(ReferenceData!$G$65),"",ReferenceData!$G$65),"")</f>
        <v>747.44</v>
      </c>
      <c r="H65">
        <f ca="1">IFERROR(IF(0=LEN(ReferenceData!$H$65),"",ReferenceData!$H$65),"")</f>
        <v>753.59199999999998</v>
      </c>
      <c r="I65">
        <f ca="1">IFERROR(IF(0=LEN(ReferenceData!$I$65),"",ReferenceData!$I$65),"")</f>
        <v>729.51400000000001</v>
      </c>
      <c r="J65">
        <f ca="1">IFERROR(IF(0=LEN(ReferenceData!$J$65),"",ReferenceData!$J$65),"")</f>
        <v>746.70299999999997</v>
      </c>
      <c r="K65">
        <f ca="1">IFERROR(IF(0=LEN(ReferenceData!$K$65),"",ReferenceData!$K$65),"")</f>
        <v>705.96900000000005</v>
      </c>
      <c r="L65">
        <f ca="1">IFERROR(IF(0=LEN(ReferenceData!$L$65),"",ReferenceData!$L$65),"")</f>
        <v>736.29200000000003</v>
      </c>
      <c r="M65">
        <f ca="1">IFERROR(IF(0=LEN(ReferenceData!$M$65),"",ReferenceData!$M$65),"")</f>
        <v>773.27700000000004</v>
      </c>
      <c r="N65">
        <f ca="1">IFERROR(IF(0=LEN(ReferenceData!$N$65),"",ReferenceData!$N$65),"")</f>
        <v>674.80700000000002</v>
      </c>
      <c r="O65">
        <f ca="1">IFERROR(IF(0=LEN(ReferenceData!$O$65),"",ReferenceData!$O$65),"")</f>
        <v>685.77</v>
      </c>
      <c r="P65">
        <f ca="1">IFERROR(IF(0=LEN(ReferenceData!$P$65),"",ReferenceData!$P$65),"")</f>
        <v>714.99400000000003</v>
      </c>
      <c r="Q65">
        <f ca="1">IFERROR(IF(0=LEN(ReferenceData!$Q$65),"",ReferenceData!$Q$65),"")</f>
        <v>749.37099999999998</v>
      </c>
      <c r="R65">
        <f ca="1">IFERROR(IF(0=LEN(ReferenceData!$R$65),"",ReferenceData!$R$65),"")</f>
        <v>679.88099999999997</v>
      </c>
      <c r="S65">
        <f ca="1">IFERROR(IF(0=LEN(ReferenceData!$S$65),"",ReferenceData!$S$65),"")</f>
        <v>781.84500000000003</v>
      </c>
      <c r="T65">
        <f ca="1">IFERROR(IF(0=LEN(ReferenceData!$T$65),"",ReferenceData!$T$65),"")</f>
        <v>634.29600000000005</v>
      </c>
      <c r="U65">
        <f ca="1">IFERROR(IF(0=LEN(ReferenceData!$U$65),"",ReferenceData!$U$65),"")</f>
        <v>628.80799999999999</v>
      </c>
      <c r="V65">
        <f ca="1">IFERROR(IF(0=LEN(ReferenceData!$V$65),"",ReferenceData!$V$65),"")</f>
        <v>617.625</v>
      </c>
      <c r="W65">
        <f ca="1">IFERROR(IF(0=LEN(ReferenceData!$W$65),"",ReferenceData!$W$65),"")</f>
        <v>532.97900000000004</v>
      </c>
      <c r="X65">
        <f ca="1">IFERROR(IF(0=LEN(ReferenceData!$X$65),"",ReferenceData!$X$65),"")</f>
        <v>529.00800000000004</v>
      </c>
      <c r="Y65">
        <f ca="1">IFERROR(IF(0=LEN(ReferenceData!$Y$65),"",ReferenceData!$Y$65),"")</f>
        <v>494.56099999999998</v>
      </c>
      <c r="Z65">
        <f ca="1">IFERROR(IF(0=LEN(ReferenceData!$Z$65),"",ReferenceData!$Z$65),"")</f>
        <v>1223.83</v>
      </c>
      <c r="AA65">
        <f ca="1">IFERROR(IF(0=LEN(ReferenceData!$AA$65),"",ReferenceData!$AA$65),"")</f>
        <v>503.04700000000003</v>
      </c>
      <c r="AB65">
        <f ca="1">IFERROR(IF(0=LEN(ReferenceData!$AB$65),"",ReferenceData!$AB$65),"")</f>
        <v>508.846</v>
      </c>
      <c r="AC65">
        <f ca="1">IFERROR(IF(0=LEN(ReferenceData!$AC$65),"",ReferenceData!$AC$65),"")</f>
        <v>423.125</v>
      </c>
      <c r="AD65">
        <f ca="1">IFERROR(IF(0=LEN(ReferenceData!$AD$65),"",ReferenceData!$AD$65),"")</f>
        <v>405.55500000000001</v>
      </c>
      <c r="AE65">
        <f ca="1">IFERROR(IF(0=LEN(ReferenceData!$AE$65),"",ReferenceData!$AE$65),"")</f>
        <v>390.70100000000002</v>
      </c>
      <c r="AF65">
        <f ca="1">IFERROR(IF(0=LEN(ReferenceData!$AF$65),"",ReferenceData!$AF$65),"")</f>
        <v>383.48</v>
      </c>
      <c r="AG65">
        <f ca="1">IFERROR(IF(0=LEN(ReferenceData!$AG$65),"",ReferenceData!$AG$65),"")</f>
        <v>372.88099999999997</v>
      </c>
      <c r="AH65">
        <f ca="1">IFERROR(IF(0=LEN(ReferenceData!$AH$65),"",ReferenceData!$AH$65),"")</f>
        <v>350.20850000000002</v>
      </c>
      <c r="AI65">
        <f ca="1">IFERROR(IF(0=LEN(ReferenceData!$AI$65),"",ReferenceData!$AI$65),"")</f>
        <v>339.52499999999998</v>
      </c>
      <c r="AJ65">
        <f ca="1">IFERROR(IF(0=LEN(ReferenceData!$AJ$65),"",ReferenceData!$AJ$65),"")</f>
        <v>339.09500000000003</v>
      </c>
      <c r="AK65">
        <f ca="1">IFERROR(IF(0=LEN(ReferenceData!$AK$65),"",ReferenceData!$AK$65),"")</f>
        <v>325.02999999999997</v>
      </c>
      <c r="AL65">
        <f ca="1">IFERROR(IF(0=LEN(ReferenceData!$AL$65),"",ReferenceData!$AL$65),"")</f>
        <v>274.45499999999998</v>
      </c>
      <c r="AM65">
        <f ca="1">IFERROR(IF(0=LEN(ReferenceData!$AM$65),"",ReferenceData!$AM$65),"")</f>
        <v>272.64400000000001</v>
      </c>
      <c r="AN65">
        <f ca="1">IFERROR(IF(0=LEN(ReferenceData!$AN$65),"",ReferenceData!$AN$65),"")</f>
        <v>372.27499999999998</v>
      </c>
      <c r="AO65">
        <f ca="1">IFERROR(IF(0=LEN(ReferenceData!$AO$65),"",ReferenceData!$AO$65),"")</f>
        <v>406.51400000000001</v>
      </c>
      <c r="AP65">
        <f ca="1">IFERROR(IF(0=LEN(ReferenceData!$AP$65),"",ReferenceData!$AP$65),"")</f>
        <v>529.38800000000003</v>
      </c>
      <c r="AQ65">
        <f ca="1">IFERROR(IF(0=LEN(ReferenceData!$AQ$65),"",ReferenceData!$AQ$65),"")</f>
        <v>483.79899999999998</v>
      </c>
      <c r="AR65">
        <f ca="1">IFERROR(IF(0=LEN(ReferenceData!$AR$65),"",ReferenceData!$AR$65),"")</f>
        <v>487.351</v>
      </c>
      <c r="AS65">
        <f ca="1">IFERROR(IF(0=LEN(ReferenceData!$AS$65),"",ReferenceData!$AS$65),"")</f>
        <v>473.89600000000002</v>
      </c>
      <c r="AT65">
        <f ca="1">IFERROR(IF(0=LEN(ReferenceData!$AT$65),"",ReferenceData!$AT$65),"")</f>
        <v>461.32850000000002</v>
      </c>
      <c r="AU65">
        <f ca="1">IFERROR(IF(0=LEN(ReferenceData!$AU$65),"",ReferenceData!$AU$65),"")</f>
        <v>461.34199999999998</v>
      </c>
      <c r="AV65">
        <f ca="1">IFERROR(IF(0=LEN(ReferenceData!$AV$65),"",ReferenceData!$AV$65),"")</f>
        <v>453.61700000000002</v>
      </c>
      <c r="AW65">
        <f ca="1">IFERROR(IF(0=LEN(ReferenceData!$AW$65),"",ReferenceData!$AW$65),"")</f>
        <v>455.37799999999999</v>
      </c>
      <c r="AX65">
        <f ca="1">IFERROR(IF(0=LEN(ReferenceData!$AX$65),"",ReferenceData!$AX$65),"")</f>
        <v>454.98599999999999</v>
      </c>
      <c r="AY65">
        <f ca="1">IFERROR(IF(0=LEN(ReferenceData!$AY$65),"",ReferenceData!$AY$65),"")</f>
        <v>429.84100000000001</v>
      </c>
      <c r="AZ65">
        <f ca="1">IFERROR(IF(0=LEN(ReferenceData!$AZ$65),"",ReferenceData!$AZ$65),"")</f>
        <v>560.84699999999998</v>
      </c>
      <c r="BA65">
        <f ca="1">IFERROR(IF(0=LEN(ReferenceData!$BA$65),"",ReferenceData!$BA$65),"")</f>
        <v>519.322</v>
      </c>
      <c r="BB65">
        <f ca="1">IFERROR(IF(0=LEN(ReferenceData!$BB$65),"",ReferenceData!$BB$65),"")</f>
        <v>497.34949999999998</v>
      </c>
      <c r="BC65">
        <f ca="1">IFERROR(IF(0=LEN(ReferenceData!$BC$65),"",ReferenceData!$BC$65),"")</f>
        <v>785.87099999999998</v>
      </c>
      <c r="BD65">
        <f ca="1">IFERROR(IF(0=LEN(ReferenceData!$BD$65),"",ReferenceData!$BD$65),"")</f>
        <v>464.49599999999998</v>
      </c>
      <c r="BE65">
        <f ca="1">IFERROR(IF(0=LEN(ReferenceData!$BE$65),"",ReferenceData!$BE$65),"")</f>
        <v>454.13600000000002</v>
      </c>
      <c r="BF65">
        <f ca="1">IFERROR(IF(0=LEN(ReferenceData!$BF$65),"",ReferenceData!$BF$65),"")</f>
        <v>451.53</v>
      </c>
      <c r="BG65">
        <f ca="1">IFERROR(IF(0=LEN(ReferenceData!$BG$65),"",ReferenceData!$BG$65),"")</f>
        <v>441.113</v>
      </c>
      <c r="BH65">
        <f ca="1">IFERROR(IF(0=LEN(ReferenceData!$BH$65),"",ReferenceData!$BH$65),"")</f>
        <v>442.61</v>
      </c>
      <c r="BI65">
        <f ca="1">IFERROR(IF(0=LEN(ReferenceData!$BI$65),"",ReferenceData!$BI$65),"")</f>
        <v>412.27699999999999</v>
      </c>
      <c r="BJ65">
        <f ca="1">IFERROR(IF(0=LEN(ReferenceData!$BJ$65),"",ReferenceData!$BJ$65),"")</f>
        <v>427.5745</v>
      </c>
      <c r="BK65">
        <f ca="1">IFERROR(IF(0=LEN(ReferenceData!$BK$65),"",ReferenceData!$BK$65),"")</f>
        <v>399.95600000000002</v>
      </c>
      <c r="BL65">
        <f ca="1">IFERROR(IF(0=LEN(ReferenceData!$BL$65),"",ReferenceData!$BL$65),"")</f>
        <v>409.483</v>
      </c>
      <c r="BM65">
        <f ca="1">IFERROR(IF(0=LEN(ReferenceData!$BM$65),"",ReferenceData!$BM$65),"")</f>
        <v>364.721</v>
      </c>
    </row>
    <row r="66" spans="1:65">
      <c r="A66" t="str">
        <f>IFERROR(IF(0=LEN(ReferenceData!$A$66),"",ReferenceData!$A$66),"")</f>
        <v xml:space="preserve">    Regional Mall REITs</v>
      </c>
      <c r="B66" t="str">
        <f>IFERROR(IF(0=LEN(ReferenceData!$B$66),"",ReferenceData!$B$66),"")</f>
        <v>RECFTDRM Index</v>
      </c>
      <c r="C66" t="str">
        <f>IFERROR(IF(0=LEN(ReferenceData!$C$66),"",ReferenceData!$C$66),"")</f>
        <v>PR005</v>
      </c>
      <c r="D66" t="str">
        <f>IFERROR(IF(0=LEN(ReferenceData!$D$66),"",ReferenceData!$D$66),"")</f>
        <v>PX_LAST</v>
      </c>
      <c r="E66" t="str">
        <f>IFERROR(IF(0=LEN(ReferenceData!$E$66),"",ReferenceData!$E$66),"")</f>
        <v>动态</v>
      </c>
      <c r="F66">
        <f ca="1">IFERROR(IF(0=LEN(ReferenceData!$F$66),"",ReferenceData!$F$66),"")</f>
        <v>1308.6773860000001</v>
      </c>
      <c r="G66">
        <f ca="1">IFERROR(IF(0=LEN(ReferenceData!$G$66),"",ReferenceData!$G$66),"")</f>
        <v>1178.818</v>
      </c>
      <c r="H66">
        <f ca="1">IFERROR(IF(0=LEN(ReferenceData!$H$66),"",ReferenceData!$H$66),"")</f>
        <v>1182.825</v>
      </c>
      <c r="I66">
        <f ca="1">IFERROR(IF(0=LEN(ReferenceData!$I$66),"",ReferenceData!$I$66),"")</f>
        <v>1396.0920000000001</v>
      </c>
      <c r="J66">
        <f ca="1">IFERROR(IF(0=LEN(ReferenceData!$J$66),"",ReferenceData!$J$66),"")</f>
        <v>1107.846</v>
      </c>
      <c r="K66">
        <f ca="1">IFERROR(IF(0=LEN(ReferenceData!$K$66),"",ReferenceData!$K$66),"")</f>
        <v>1090.076</v>
      </c>
      <c r="L66">
        <f ca="1">IFERROR(IF(0=LEN(ReferenceData!$L$66),"",ReferenceData!$L$66),"")</f>
        <v>1239.864</v>
      </c>
      <c r="M66">
        <f ca="1">IFERROR(IF(0=LEN(ReferenceData!$M$66),"",ReferenceData!$M$66),"")</f>
        <v>1430.7570000000001</v>
      </c>
      <c r="N66">
        <f ca="1">IFERROR(IF(0=LEN(ReferenceData!$N$66),"",ReferenceData!$N$66),"")</f>
        <v>1427.7190000000001</v>
      </c>
      <c r="O66">
        <f ca="1">IFERROR(IF(0=LEN(ReferenceData!$O$66),"",ReferenceData!$O$66),"")</f>
        <v>1049.5219999999999</v>
      </c>
      <c r="P66">
        <f ca="1">IFERROR(IF(0=LEN(ReferenceData!$P$66),"",ReferenceData!$P$66),"")</f>
        <v>1086.249</v>
      </c>
      <c r="Q66">
        <f ca="1">IFERROR(IF(0=LEN(ReferenceData!$Q$66),"",ReferenceData!$Q$66),"")</f>
        <v>990.73400000000004</v>
      </c>
      <c r="R66">
        <f ca="1">IFERROR(IF(0=LEN(ReferenceData!$R$66),"",ReferenceData!$R$66),"")</f>
        <v>1395.1880000000001</v>
      </c>
      <c r="S66">
        <f ca="1">IFERROR(IF(0=LEN(ReferenceData!$S$66),"",ReferenceData!$S$66),"")</f>
        <v>929.38300000000004</v>
      </c>
      <c r="T66">
        <f ca="1">IFERROR(IF(0=LEN(ReferenceData!$T$66),"",ReferenceData!$T$66),"")</f>
        <v>1951.0989999999999</v>
      </c>
      <c r="U66">
        <f ca="1">IFERROR(IF(0=LEN(ReferenceData!$U$66),"",ReferenceData!$U$66),"")</f>
        <v>867.048</v>
      </c>
      <c r="V66">
        <f ca="1">IFERROR(IF(0=LEN(ReferenceData!$V$66),"",ReferenceData!$V$66),"")</f>
        <v>859.81100000000004</v>
      </c>
      <c r="W66">
        <f ca="1">IFERROR(IF(0=LEN(ReferenceData!$W$66),"",ReferenceData!$W$66),"")</f>
        <v>795.74599999999998</v>
      </c>
      <c r="X66">
        <f ca="1">IFERROR(IF(0=LEN(ReferenceData!$X$66),"",ReferenceData!$X$66),"")</f>
        <v>790.40899999999999</v>
      </c>
      <c r="Y66">
        <f ca="1">IFERROR(IF(0=LEN(ReferenceData!$Y$66),"",ReferenceData!$Y$66),"")</f>
        <v>769.66700000000003</v>
      </c>
      <c r="Z66">
        <f ca="1">IFERROR(IF(0=LEN(ReferenceData!$Z$66),"",ReferenceData!$Z$66),"")</f>
        <v>759.64200000000005</v>
      </c>
      <c r="AA66">
        <f ca="1">IFERROR(IF(0=LEN(ReferenceData!$AA$66),"",ReferenceData!$AA$66),"")</f>
        <v>738.22</v>
      </c>
      <c r="AB66">
        <f ca="1">IFERROR(IF(0=LEN(ReferenceData!$AB$66),"",ReferenceData!$AB$66),"")</f>
        <v>697.38400000000001</v>
      </c>
      <c r="AC66">
        <f ca="1">IFERROR(IF(0=LEN(ReferenceData!$AC$66),"",ReferenceData!$AC$66),"")</f>
        <v>689.22400000000005</v>
      </c>
      <c r="AD66">
        <f ca="1">IFERROR(IF(0=LEN(ReferenceData!$AD$66),"",ReferenceData!$AD$66),"")</f>
        <v>849.28499999999997</v>
      </c>
      <c r="AE66">
        <f ca="1">IFERROR(IF(0=LEN(ReferenceData!$AE$66),"",ReferenceData!$AE$66),"")</f>
        <v>622.84799999999996</v>
      </c>
      <c r="AF66">
        <f ca="1">IFERROR(IF(0=LEN(ReferenceData!$AF$66),"",ReferenceData!$AF$66),"")</f>
        <v>639.71699999999998</v>
      </c>
      <c r="AG66">
        <f ca="1">IFERROR(IF(0=LEN(ReferenceData!$AG$66),"",ReferenceData!$AG$66),"")</f>
        <v>579.42399999999998</v>
      </c>
      <c r="AH66">
        <f ca="1">IFERROR(IF(0=LEN(ReferenceData!$AH$66),"",ReferenceData!$AH$66),"")</f>
        <v>529.61</v>
      </c>
      <c r="AI66">
        <f ca="1">IFERROR(IF(0=LEN(ReferenceData!$AI$66),"",ReferenceData!$AI$66),"")</f>
        <v>415.75700000000001</v>
      </c>
      <c r="AJ66">
        <f ca="1">IFERROR(IF(0=LEN(ReferenceData!$AJ$66),"",ReferenceData!$AJ$66),"")</f>
        <v>413.09399999999999</v>
      </c>
      <c r="AK66">
        <f ca="1">IFERROR(IF(0=LEN(ReferenceData!$AK$66),"",ReferenceData!$AK$66),"")</f>
        <v>323.60599999999999</v>
      </c>
      <c r="AL66">
        <f ca="1">IFERROR(IF(0=LEN(ReferenceData!$AL$66),"",ReferenceData!$AL$66),"")</f>
        <v>175.54900000000001</v>
      </c>
      <c r="AM66">
        <f ca="1">IFERROR(IF(0=LEN(ReferenceData!$AM$66),"",ReferenceData!$AM$66),"")</f>
        <v>153.53399999999999</v>
      </c>
      <c r="AN66">
        <f ca="1">IFERROR(IF(0=LEN(ReferenceData!$AN$66),"",ReferenceData!$AN$66),"")</f>
        <v>157.898</v>
      </c>
      <c r="AO66">
        <f ca="1">IFERROR(IF(0=LEN(ReferenceData!$AO$66),"",ReferenceData!$AO$66),"")</f>
        <v>263.91699999999997</v>
      </c>
      <c r="AP66">
        <f ca="1">IFERROR(IF(0=LEN(ReferenceData!$AP$66),"",ReferenceData!$AP$66),"")</f>
        <v>512.36800000000005</v>
      </c>
      <c r="AQ66">
        <f ca="1">IFERROR(IF(0=LEN(ReferenceData!$AQ$66),"",ReferenceData!$AQ$66),"")</f>
        <v>668.41399999999999</v>
      </c>
      <c r="AR66">
        <f ca="1">IFERROR(IF(0=LEN(ReferenceData!$AR$66),"",ReferenceData!$AR$66),"")</f>
        <v>664.53899999999999</v>
      </c>
      <c r="AS66">
        <f ca="1">IFERROR(IF(0=LEN(ReferenceData!$AS$66),"",ReferenceData!$AS$66),"")</f>
        <v>717.26900000000001</v>
      </c>
      <c r="AT66">
        <f ca="1">IFERROR(IF(0=LEN(ReferenceData!$AT$66),"",ReferenceData!$AT$66),"")</f>
        <v>654.1875</v>
      </c>
      <c r="AU66">
        <f ca="1">IFERROR(IF(0=LEN(ReferenceData!$AU$66),"",ReferenceData!$AU$66),"")</f>
        <v>633.73900000000003</v>
      </c>
      <c r="AV66">
        <f ca="1">IFERROR(IF(0=LEN(ReferenceData!$AV$66),"",ReferenceData!$AV$66),"")</f>
        <v>672.28099999999995</v>
      </c>
      <c r="AW66">
        <f ca="1">IFERROR(IF(0=LEN(ReferenceData!$AW$66),"",ReferenceData!$AW$66),"")</f>
        <v>627.846</v>
      </c>
      <c r="AX66">
        <f ca="1">IFERROR(IF(0=LEN(ReferenceData!$AX$66),"",ReferenceData!$AX$66),"")</f>
        <v>606.64599999999996</v>
      </c>
      <c r="AY66">
        <f ca="1">IFERROR(IF(0=LEN(ReferenceData!$AY$66),"",ReferenceData!$AY$66),"")</f>
        <v>596.19399999999996</v>
      </c>
      <c r="AZ66">
        <f ca="1">IFERROR(IF(0=LEN(ReferenceData!$AZ$66),"",ReferenceData!$AZ$66),"")</f>
        <v>656.63199999999995</v>
      </c>
      <c r="BA66">
        <f ca="1">IFERROR(IF(0=LEN(ReferenceData!$BA$66),"",ReferenceData!$BA$66),"")</f>
        <v>589.05799999999999</v>
      </c>
      <c r="BB66">
        <f ca="1">IFERROR(IF(0=LEN(ReferenceData!$BB$66),"",ReferenceData!$BB$66),"")</f>
        <v>555.83100000000002</v>
      </c>
      <c r="BC66">
        <f ca="1">IFERROR(IF(0=LEN(ReferenceData!$BC$66),"",ReferenceData!$BC$66),"")</f>
        <v>593.202</v>
      </c>
      <c r="BD66">
        <f ca="1">IFERROR(IF(0=LEN(ReferenceData!$BD$66),"",ReferenceData!$BD$66),"")</f>
        <v>594.322</v>
      </c>
      <c r="BE66">
        <f ca="1">IFERROR(IF(0=LEN(ReferenceData!$BE$66),"",ReferenceData!$BE$66),"")</f>
        <v>577.93399999999997</v>
      </c>
      <c r="BF66">
        <f ca="1">IFERROR(IF(0=LEN(ReferenceData!$BF$66),"",ReferenceData!$BF$66),"")</f>
        <v>649.44100000000003</v>
      </c>
      <c r="BG66">
        <f ca="1">IFERROR(IF(0=LEN(ReferenceData!$BG$66),"",ReferenceData!$BG$66),"")</f>
        <v>539.822</v>
      </c>
      <c r="BH66">
        <f ca="1">IFERROR(IF(0=LEN(ReferenceData!$BH$66),"",ReferenceData!$BH$66),"")</f>
        <v>572.55100000000004</v>
      </c>
      <c r="BI66">
        <f ca="1">IFERROR(IF(0=LEN(ReferenceData!$BI$66),"",ReferenceData!$BI$66),"")</f>
        <v>539.649</v>
      </c>
      <c r="BJ66">
        <f ca="1">IFERROR(IF(0=LEN(ReferenceData!$BJ$66),"",ReferenceData!$BJ$66),"")</f>
        <v>503.2235</v>
      </c>
      <c r="BK66">
        <f ca="1">IFERROR(IF(0=LEN(ReferenceData!$BK$66),"",ReferenceData!$BK$66),"")</f>
        <v>460.89600000000002</v>
      </c>
      <c r="BL66">
        <f ca="1">IFERROR(IF(0=LEN(ReferenceData!$BL$66),"",ReferenceData!$BL$66),"")</f>
        <v>455.988</v>
      </c>
      <c r="BM66">
        <f ca="1">IFERROR(IF(0=LEN(ReferenceData!$BM$66),"",ReferenceData!$BM$66),"")</f>
        <v>461.96600000000001</v>
      </c>
    </row>
    <row r="67" spans="1:65">
      <c r="A67" t="str">
        <f>IFERROR(IF(0=LEN(ReferenceData!$A$67),"",ReferenceData!$A$67),"")</f>
        <v xml:space="preserve">    Free Standing Retail REITs</v>
      </c>
      <c r="B67" t="str">
        <f>IFERROR(IF(0=LEN(ReferenceData!$B$67),"",ReferenceData!$B$67),"")</f>
        <v>RECFTDFS Index</v>
      </c>
      <c r="C67" t="str">
        <f>IFERROR(IF(0=LEN(ReferenceData!$C$67),"",ReferenceData!$C$67),"")</f>
        <v>PR005</v>
      </c>
      <c r="D67" t="str">
        <f>IFERROR(IF(0=LEN(ReferenceData!$D$67),"",ReferenceData!$D$67),"")</f>
        <v>PX_LAST</v>
      </c>
      <c r="E67" t="str">
        <f>IFERROR(IF(0=LEN(ReferenceData!$E$67),"",ReferenceData!$E$67),"")</f>
        <v>动态</v>
      </c>
      <c r="F67">
        <f ca="1">IFERROR(IF(0=LEN(ReferenceData!$F$67),"",ReferenceData!$F$67),"")</f>
        <v>458.0312399</v>
      </c>
      <c r="G67">
        <f ca="1">IFERROR(IF(0=LEN(ReferenceData!$G$67),"",ReferenceData!$G$67),"")</f>
        <v>445.46499999999997</v>
      </c>
      <c r="H67">
        <f ca="1">IFERROR(IF(0=LEN(ReferenceData!$H$67),"",ReferenceData!$H$67),"")</f>
        <v>438.23200000000003</v>
      </c>
      <c r="I67">
        <f ca="1">IFERROR(IF(0=LEN(ReferenceData!$I$67),"",ReferenceData!$I$67),"")</f>
        <v>433.00099999999998</v>
      </c>
      <c r="J67">
        <f ca="1">IFERROR(IF(0=LEN(ReferenceData!$J$67),"",ReferenceData!$J$67),"")</f>
        <v>432.36500000000001</v>
      </c>
      <c r="K67">
        <f ca="1">IFERROR(IF(0=LEN(ReferenceData!$K$67),"",ReferenceData!$K$67),"")</f>
        <v>411.24400000000003</v>
      </c>
      <c r="L67">
        <f ca="1">IFERROR(IF(0=LEN(ReferenceData!$L$67),"",ReferenceData!$L$67),"")</f>
        <v>363.47</v>
      </c>
      <c r="M67">
        <f ca="1">IFERROR(IF(0=LEN(ReferenceData!$M$67),"",ReferenceData!$M$67),"")</f>
        <v>388.88900000000001</v>
      </c>
      <c r="N67">
        <f ca="1">IFERROR(IF(0=LEN(ReferenceData!$N$67),"",ReferenceData!$N$67),"")</f>
        <v>342.95</v>
      </c>
      <c r="O67">
        <f ca="1">IFERROR(IF(0=LEN(ReferenceData!$O$67),"",ReferenceData!$O$67),"")</f>
        <v>331.584</v>
      </c>
      <c r="P67">
        <f ca="1">IFERROR(IF(0=LEN(ReferenceData!$P$67),"",ReferenceData!$P$67),"")</f>
        <v>319.42700000000002</v>
      </c>
      <c r="Q67">
        <f ca="1">IFERROR(IF(0=LEN(ReferenceData!$Q$67),"",ReferenceData!$Q$67),"")</f>
        <v>319.96300000000002</v>
      </c>
      <c r="R67">
        <f ca="1">IFERROR(IF(0=LEN(ReferenceData!$R$67),"",ReferenceData!$R$67),"")</f>
        <v>532.41899999999998</v>
      </c>
      <c r="S67">
        <f ca="1">IFERROR(IF(0=LEN(ReferenceData!$S$67),"",ReferenceData!$S$67),"")</f>
        <v>528.16700000000003</v>
      </c>
      <c r="T67">
        <f ca="1">IFERROR(IF(0=LEN(ReferenceData!$T$67),"",ReferenceData!$T$67),"")</f>
        <v>498.09699999999998</v>
      </c>
      <c r="U67">
        <f ca="1">IFERROR(IF(0=LEN(ReferenceData!$U$67),"",ReferenceData!$U$67),"")</f>
        <v>471.00700000000001</v>
      </c>
      <c r="V67">
        <f ca="1">IFERROR(IF(0=LEN(ReferenceData!$V$67),"",ReferenceData!$V$67),"")</f>
        <v>322.05900000000003</v>
      </c>
      <c r="W67">
        <f ca="1">IFERROR(IF(0=LEN(ReferenceData!$W$67),"",ReferenceData!$W$67),"")</f>
        <v>382.322</v>
      </c>
      <c r="X67">
        <f ca="1">IFERROR(IF(0=LEN(ReferenceData!$X$67),"",ReferenceData!$X$67),"")</f>
        <v>327.51799999999997</v>
      </c>
      <c r="Y67">
        <f ca="1">IFERROR(IF(0=LEN(ReferenceData!$Y$67),"",ReferenceData!$Y$67),"")</f>
        <v>231.685</v>
      </c>
      <c r="Z67">
        <f ca="1">IFERROR(IF(0=LEN(ReferenceData!$Z$67),"",ReferenceData!$Z$67),"")</f>
        <v>128.14400000000001</v>
      </c>
      <c r="AA67">
        <f ca="1">IFERROR(IF(0=LEN(ReferenceData!$AA$67),"",ReferenceData!$AA$67),"")</f>
        <v>154.91300000000001</v>
      </c>
      <c r="AB67">
        <f ca="1">IFERROR(IF(0=LEN(ReferenceData!$AB$67),"",ReferenceData!$AB$67),"")</f>
        <v>149.358</v>
      </c>
      <c r="AC67">
        <f ca="1">IFERROR(IF(0=LEN(ReferenceData!$AC$67),"",ReferenceData!$AC$67),"")</f>
        <v>138.55099999999999</v>
      </c>
      <c r="AD67">
        <f ca="1">IFERROR(IF(0=LEN(ReferenceData!$AD$67),"",ReferenceData!$AD$67),"")</f>
        <v>124.099</v>
      </c>
      <c r="AE67">
        <f ca="1">IFERROR(IF(0=LEN(ReferenceData!$AE$67),"",ReferenceData!$AE$67),"")</f>
        <v>116.652</v>
      </c>
      <c r="AF67">
        <f ca="1">IFERROR(IF(0=LEN(ReferenceData!$AF$67),"",ReferenceData!$AF$67),"")</f>
        <v>115.898</v>
      </c>
      <c r="AG67">
        <f ca="1">IFERROR(IF(0=LEN(ReferenceData!$AG$67),"",ReferenceData!$AG$67),"")</f>
        <v>110.179</v>
      </c>
      <c r="AH67">
        <f ca="1">IFERROR(IF(0=LEN(ReferenceData!$AH$67),"",ReferenceData!$AH$67),"")</f>
        <v>106.76900000000001</v>
      </c>
      <c r="AI67">
        <f ca="1">IFERROR(IF(0=LEN(ReferenceData!$AI$67),"",ReferenceData!$AI$67),"")</f>
        <v>103.79300000000001</v>
      </c>
      <c r="AJ67">
        <f ca="1">IFERROR(IF(0=LEN(ReferenceData!$AJ$67),"",ReferenceData!$AJ$67),"")</f>
        <v>100.84699999999999</v>
      </c>
      <c r="AK67">
        <f ca="1">IFERROR(IF(0=LEN(ReferenceData!$AK$67),"",ReferenceData!$AK$67),"")</f>
        <v>99.765000000000001</v>
      </c>
      <c r="AL67">
        <f ca="1">IFERROR(IF(0=LEN(ReferenceData!$AL$67),"",ReferenceData!$AL$67),"")</f>
        <v>99.616</v>
      </c>
      <c r="AM67">
        <f ca="1">IFERROR(IF(0=LEN(ReferenceData!$AM$67),"",ReferenceData!$AM$67),"")</f>
        <v>98.457999999999998</v>
      </c>
      <c r="AN67">
        <f ca="1">IFERROR(IF(0=LEN(ReferenceData!$AN$67),"",ReferenceData!$AN$67),"")</f>
        <v>98.113</v>
      </c>
      <c r="AO67">
        <f ca="1">IFERROR(IF(0=LEN(ReferenceData!$AO$67),"",ReferenceData!$AO$67),"")</f>
        <v>97.63</v>
      </c>
      <c r="AP67">
        <f ca="1">IFERROR(IF(0=LEN(ReferenceData!$AP$67),"",ReferenceData!$AP$67),"")</f>
        <v>106.7855</v>
      </c>
      <c r="AQ67">
        <f ca="1">IFERROR(IF(0=LEN(ReferenceData!$AQ$67),"",ReferenceData!$AQ$67),"")</f>
        <v>114.81399999999999</v>
      </c>
      <c r="AR67">
        <f ca="1">IFERROR(IF(0=LEN(ReferenceData!$AR$67),"",ReferenceData!$AR$67),"")</f>
        <v>117.194</v>
      </c>
      <c r="AS67">
        <f ca="1">IFERROR(IF(0=LEN(ReferenceData!$AS$67),"",ReferenceData!$AS$67),"")</f>
        <v>92.055999999999997</v>
      </c>
      <c r="AT67">
        <f ca="1">IFERROR(IF(0=LEN(ReferenceData!$AT$67),"",ReferenceData!$AT$67),"")</f>
        <v>95.525999999999996</v>
      </c>
      <c r="AU67">
        <f ca="1">IFERROR(IF(0=LEN(ReferenceData!$AU$67),"",ReferenceData!$AU$67),"")</f>
        <v>97.62</v>
      </c>
      <c r="AV67">
        <f ca="1">IFERROR(IF(0=LEN(ReferenceData!$AV$67),"",ReferenceData!$AV$67),"")</f>
        <v>98.474000000000004</v>
      </c>
      <c r="AW67">
        <f ca="1">IFERROR(IF(0=LEN(ReferenceData!$AW$67),"",ReferenceData!$AW$67),"")</f>
        <v>81.948999999999998</v>
      </c>
      <c r="AX67">
        <f ca="1">IFERROR(IF(0=LEN(ReferenceData!$AX$67),"",ReferenceData!$AX$67),"")</f>
        <v>102.133</v>
      </c>
      <c r="AY67">
        <f ca="1">IFERROR(IF(0=LEN(ReferenceData!$AY$67),"",ReferenceData!$AY$67),"")</f>
        <v>112.59699999999999</v>
      </c>
      <c r="AZ67">
        <f ca="1">IFERROR(IF(0=LEN(ReferenceData!$AZ$67),"",ReferenceData!$AZ$67),"")</f>
        <v>105.92700000000001</v>
      </c>
      <c r="BA67">
        <f ca="1">IFERROR(IF(0=LEN(ReferenceData!$BA$67),"",ReferenceData!$BA$67),"")</f>
        <v>99.245999999999995</v>
      </c>
      <c r="BB67">
        <f ca="1">IFERROR(IF(0=LEN(ReferenceData!$BB$67),"",ReferenceData!$BB$67),"")</f>
        <v>116.86199999999999</v>
      </c>
      <c r="BC67">
        <f ca="1">IFERROR(IF(0=LEN(ReferenceData!$BC$67),"",ReferenceData!$BC$67),"")</f>
        <v>90.301000000000002</v>
      </c>
      <c r="BD67">
        <f ca="1">IFERROR(IF(0=LEN(ReferenceData!$BD$67),"",ReferenceData!$BD$67),"")</f>
        <v>89.387</v>
      </c>
      <c r="BE67">
        <f ca="1">IFERROR(IF(0=LEN(ReferenceData!$BE$67),"",ReferenceData!$BE$67),"")</f>
        <v>84.49</v>
      </c>
      <c r="BF67">
        <f ca="1">IFERROR(IF(0=LEN(ReferenceData!$BF$67),"",ReferenceData!$BF$67),"")</f>
        <v>61.841000000000001</v>
      </c>
      <c r="BG67">
        <f ca="1">IFERROR(IF(0=LEN(ReferenceData!$BG$67),"",ReferenceData!$BG$67),"")</f>
        <v>69.688000000000002</v>
      </c>
      <c r="BH67">
        <f ca="1">IFERROR(IF(0=LEN(ReferenceData!$BH$67),"",ReferenceData!$BH$67),"")</f>
        <v>69.183999999999997</v>
      </c>
      <c r="BI67">
        <f ca="1">IFERROR(IF(0=LEN(ReferenceData!$BI$67),"",ReferenceData!$BI$67),"")</f>
        <v>67.597999999999999</v>
      </c>
      <c r="BJ67">
        <f ca="1">IFERROR(IF(0=LEN(ReferenceData!$BJ$67),"",ReferenceData!$BJ$67),"")</f>
        <v>65.602999999999994</v>
      </c>
      <c r="BK67">
        <f ca="1">IFERROR(IF(0=LEN(ReferenceData!$BK$67),"",ReferenceData!$BK$67),"")</f>
        <v>62.322000000000003</v>
      </c>
      <c r="BL67">
        <f ca="1">IFERROR(IF(0=LEN(ReferenceData!$BL$67),"",ReferenceData!$BL$67),"")</f>
        <v>57.390999999999998</v>
      </c>
      <c r="BM67">
        <f ca="1">IFERROR(IF(0=LEN(ReferenceData!$BM$67),"",ReferenceData!$BM$67),"")</f>
        <v>57.505000000000003</v>
      </c>
    </row>
    <row r="68" spans="1:65">
      <c r="A68" t="str">
        <f>IFERROR(IF(0=LEN(ReferenceData!$A$68),"",ReferenceData!$A$68),"")</f>
        <v xml:space="preserve">    Residential REITs</v>
      </c>
      <c r="B68" t="str">
        <f>IFERROR(IF(0=LEN(ReferenceData!$B$68),"",ReferenceData!$B$68),"")</f>
        <v>RECFTDRS Index</v>
      </c>
      <c r="C68" t="str">
        <f>IFERROR(IF(0=LEN(ReferenceData!$C$68),"",ReferenceData!$C$68),"")</f>
        <v>PR005</v>
      </c>
      <c r="D68" t="str">
        <f>IFERROR(IF(0=LEN(ReferenceData!$D$68),"",ReferenceData!$D$68),"")</f>
        <v>PX_LAST</v>
      </c>
      <c r="E68" t="str">
        <f>IFERROR(IF(0=LEN(ReferenceData!$E$68),"",ReferenceData!$E$68),"")</f>
        <v>动态</v>
      </c>
      <c r="F68">
        <f ca="1">IFERROR(IF(0=LEN(ReferenceData!$F$68),"",ReferenceData!$F$68),"")</f>
        <v>1262.0165119999999</v>
      </c>
      <c r="G68">
        <f ca="1">IFERROR(IF(0=LEN(ReferenceData!$G$68),"",ReferenceData!$G$68),"")</f>
        <v>1267.269</v>
      </c>
      <c r="H68">
        <f ca="1">IFERROR(IF(0=LEN(ReferenceData!$H$68),"",ReferenceData!$H$68),"")</f>
        <v>1217.9159999999999</v>
      </c>
      <c r="I68">
        <f ca="1">IFERROR(IF(0=LEN(ReferenceData!$I$68),"",ReferenceData!$I$68),"")</f>
        <v>1151.943</v>
      </c>
      <c r="J68">
        <f ca="1">IFERROR(IF(0=LEN(ReferenceData!$J$68),"",ReferenceData!$J$68),"")</f>
        <v>2238.2809999999999</v>
      </c>
      <c r="K68">
        <f ca="1">IFERROR(IF(0=LEN(ReferenceData!$K$68),"",ReferenceData!$K$68),"")</f>
        <v>1526.346</v>
      </c>
      <c r="L68">
        <f ca="1">IFERROR(IF(0=LEN(ReferenceData!$L$68),"",ReferenceData!$L$68),"")</f>
        <v>1090.8209999999999</v>
      </c>
      <c r="M68">
        <f ca="1">IFERROR(IF(0=LEN(ReferenceData!$M$68),"",ReferenceData!$M$68),"")</f>
        <v>4083.9560000000001</v>
      </c>
      <c r="N68">
        <f ca="1">IFERROR(IF(0=LEN(ReferenceData!$N$68),"",ReferenceData!$N$68),"")</f>
        <v>1021.991</v>
      </c>
      <c r="O68">
        <f ca="1">IFERROR(IF(0=LEN(ReferenceData!$O$68),"",ReferenceData!$O$68),"")</f>
        <v>1002.208</v>
      </c>
      <c r="P68">
        <f ca="1">IFERROR(IF(0=LEN(ReferenceData!$P$68),"",ReferenceData!$P$68),"")</f>
        <v>1066.7470000000001</v>
      </c>
      <c r="Q68">
        <f ca="1">IFERROR(IF(0=LEN(ReferenceData!$Q$68),"",ReferenceData!$Q$68),"")</f>
        <v>996.202</v>
      </c>
      <c r="R68">
        <f ca="1">IFERROR(IF(0=LEN(ReferenceData!$R$68),"",ReferenceData!$R$68),"")</f>
        <v>963.899</v>
      </c>
      <c r="S68">
        <f ca="1">IFERROR(IF(0=LEN(ReferenceData!$S$68),"",ReferenceData!$S$68),"")</f>
        <v>951.91700000000003</v>
      </c>
      <c r="T68">
        <f ca="1">IFERROR(IF(0=LEN(ReferenceData!$T$68),"",ReferenceData!$T$68),"")</f>
        <v>824.80200000000002</v>
      </c>
      <c r="U68">
        <f ca="1">IFERROR(IF(0=LEN(ReferenceData!$U$68),"",ReferenceData!$U$68),"")</f>
        <v>956.75900000000001</v>
      </c>
      <c r="V68">
        <f ca="1">IFERROR(IF(0=LEN(ReferenceData!$V$68),"",ReferenceData!$V$68),"")</f>
        <v>812.40300000000002</v>
      </c>
      <c r="W68">
        <f ca="1">IFERROR(IF(0=LEN(ReferenceData!$W$68),"",ReferenceData!$W$68),"")</f>
        <v>784.28700000000003</v>
      </c>
      <c r="X68">
        <f ca="1">IFERROR(IF(0=LEN(ReferenceData!$X$68),"",ReferenceData!$X$68),"")</f>
        <v>774.10599999999999</v>
      </c>
      <c r="Y68">
        <f ca="1">IFERROR(IF(0=LEN(ReferenceData!$Y$68),"",ReferenceData!$Y$68),"")</f>
        <v>814.28399999999999</v>
      </c>
      <c r="Z68">
        <f ca="1">IFERROR(IF(0=LEN(ReferenceData!$Z$68),"",ReferenceData!$Z$68),"")</f>
        <v>674.13699999999994</v>
      </c>
      <c r="AA68">
        <f ca="1">IFERROR(IF(0=LEN(ReferenceData!$AA$68),"",ReferenceData!$AA$68),"")</f>
        <v>639.63300000000004</v>
      </c>
      <c r="AB68">
        <f ca="1">IFERROR(IF(0=LEN(ReferenceData!$AB$68),"",ReferenceData!$AB$68),"")</f>
        <v>623.61099999999999</v>
      </c>
      <c r="AC68">
        <f ca="1">IFERROR(IF(0=LEN(ReferenceData!$AC$68),"",ReferenceData!$AC$68),"")</f>
        <v>661.76400000000001</v>
      </c>
      <c r="AD68">
        <f ca="1">IFERROR(IF(0=LEN(ReferenceData!$AD$68),"",ReferenceData!$AD$68),"")</f>
        <v>564.46199999999999</v>
      </c>
      <c r="AE68">
        <f ca="1">IFERROR(IF(0=LEN(ReferenceData!$AE$68),"",ReferenceData!$AE$68),"")</f>
        <v>551.97500000000002</v>
      </c>
      <c r="AF68">
        <f ca="1">IFERROR(IF(0=LEN(ReferenceData!$AF$68),"",ReferenceData!$AF$68),"")</f>
        <v>525.04200000000003</v>
      </c>
      <c r="AG68">
        <f ca="1">IFERROR(IF(0=LEN(ReferenceData!$AG$68),"",ReferenceData!$AG$68),"")</f>
        <v>544.89700000000005</v>
      </c>
      <c r="AH68">
        <f ca="1">IFERROR(IF(0=LEN(ReferenceData!$AH$68),"",ReferenceData!$AH$68),"")</f>
        <v>495.00099999999998</v>
      </c>
      <c r="AI68">
        <f ca="1">IFERROR(IF(0=LEN(ReferenceData!$AI$68),"",ReferenceData!$AI$68),"")</f>
        <v>489.94799999999998</v>
      </c>
      <c r="AJ68">
        <f ca="1">IFERROR(IF(0=LEN(ReferenceData!$AJ$68),"",ReferenceData!$AJ$68),"")</f>
        <v>485.04599999999999</v>
      </c>
      <c r="AK68">
        <f ca="1">IFERROR(IF(0=LEN(ReferenceData!$AK$68),"",ReferenceData!$AK$68),"")</f>
        <v>468.86</v>
      </c>
      <c r="AL68">
        <f ca="1">IFERROR(IF(0=LEN(ReferenceData!$AL$68),"",ReferenceData!$AL$68),"")</f>
        <v>482.54599999999999</v>
      </c>
      <c r="AM68">
        <f ca="1">IFERROR(IF(0=LEN(ReferenceData!$AM$68),"",ReferenceData!$AM$68),"")</f>
        <v>510.69400000000002</v>
      </c>
      <c r="AN68">
        <f ca="1">IFERROR(IF(0=LEN(ReferenceData!$AN$68),"",ReferenceData!$AN$68),"")</f>
        <v>549.096</v>
      </c>
      <c r="AO68">
        <f ca="1">IFERROR(IF(0=LEN(ReferenceData!$AO$68),"",ReferenceData!$AO$68),"")</f>
        <v>635.30899999999997</v>
      </c>
      <c r="AP68">
        <f ca="1">IFERROR(IF(0=LEN(ReferenceData!$AP$68),"",ReferenceData!$AP$68),"")</f>
        <v>706.91849999999999</v>
      </c>
      <c r="AQ68">
        <f ca="1">IFERROR(IF(0=LEN(ReferenceData!$AQ$68),"",ReferenceData!$AQ$68),"")</f>
        <v>693.24900000000002</v>
      </c>
      <c r="AR68">
        <f ca="1">IFERROR(IF(0=LEN(ReferenceData!$AR$68),"",ReferenceData!$AR$68),"")</f>
        <v>664.80499999999995</v>
      </c>
      <c r="AS68">
        <f ca="1">IFERROR(IF(0=LEN(ReferenceData!$AS$68),"",ReferenceData!$AS$68),"")</f>
        <v>644.01499999999999</v>
      </c>
      <c r="AT68">
        <f ca="1">IFERROR(IF(0=LEN(ReferenceData!$AT$68),"",ReferenceData!$AT$68),"")</f>
        <v>725.55</v>
      </c>
      <c r="AU68">
        <f ca="1">IFERROR(IF(0=LEN(ReferenceData!$AU$68),"",ReferenceData!$AU$68),"")</f>
        <v>662.58799999999997</v>
      </c>
      <c r="AV68">
        <f ca="1">IFERROR(IF(0=LEN(ReferenceData!$AV$68),"",ReferenceData!$AV$68),"")</f>
        <v>738.89700000000005</v>
      </c>
      <c r="AW68">
        <f ca="1">IFERROR(IF(0=LEN(ReferenceData!$AW$68),"",ReferenceData!$AW$68),"")</f>
        <v>775.27499999999998</v>
      </c>
      <c r="AX68">
        <f ca="1">IFERROR(IF(0=LEN(ReferenceData!$AX$68),"",ReferenceData!$AX$68),"")</f>
        <v>698.904</v>
      </c>
      <c r="AY68">
        <f ca="1">IFERROR(IF(0=LEN(ReferenceData!$AY$68),"",ReferenceData!$AY$68),"")</f>
        <v>711.34799999999996</v>
      </c>
      <c r="AZ68">
        <f ca="1">IFERROR(IF(0=LEN(ReferenceData!$AZ$68),"",ReferenceData!$AZ$68),"")</f>
        <v>721.149</v>
      </c>
      <c r="BA68">
        <f ca="1">IFERROR(IF(0=LEN(ReferenceData!$BA$68),"",ReferenceData!$BA$68),"")</f>
        <v>705.702</v>
      </c>
      <c r="BB68">
        <f ca="1">IFERROR(IF(0=LEN(ReferenceData!$BB$68),"",ReferenceData!$BB$68),"")</f>
        <v>702.67</v>
      </c>
      <c r="BC68">
        <f ca="1">IFERROR(IF(0=LEN(ReferenceData!$BC$68),"",ReferenceData!$BC$68),"")</f>
        <v>723.19200000000001</v>
      </c>
      <c r="BD68">
        <f ca="1">IFERROR(IF(0=LEN(ReferenceData!$BD$68),"",ReferenceData!$BD$68),"")</f>
        <v>707.66200000000003</v>
      </c>
      <c r="BE68">
        <f ca="1">IFERROR(IF(0=LEN(ReferenceData!$BE$68),"",ReferenceData!$BE$68),"")</f>
        <v>744.84</v>
      </c>
      <c r="BF68">
        <f ca="1">IFERROR(IF(0=LEN(ReferenceData!$BF$68),"",ReferenceData!$BF$68),"")</f>
        <v>949.76199999999994</v>
      </c>
      <c r="BG68">
        <f ca="1">IFERROR(IF(0=LEN(ReferenceData!$BG$68),"",ReferenceData!$BG$68),"")</f>
        <v>737.65499999999997</v>
      </c>
      <c r="BH68">
        <f ca="1">IFERROR(IF(0=LEN(ReferenceData!$BH$68),"",ReferenceData!$BH$68),"")</f>
        <v>743.73900000000003</v>
      </c>
      <c r="BI68">
        <f ca="1">IFERROR(IF(0=LEN(ReferenceData!$BI$68),"",ReferenceData!$BI$68),"")</f>
        <v>929.78300000000002</v>
      </c>
      <c r="BJ68">
        <f ca="1">IFERROR(IF(0=LEN(ReferenceData!$BJ$68),"",ReferenceData!$BJ$68),"")</f>
        <v>814.67499999999995</v>
      </c>
      <c r="BK68">
        <f ca="1">IFERROR(IF(0=LEN(ReferenceData!$BK$68),"",ReferenceData!$BK$68),"")</f>
        <v>724.26700000000005</v>
      </c>
      <c r="BL68">
        <f ca="1">IFERROR(IF(0=LEN(ReferenceData!$BL$68),"",ReferenceData!$BL$68),"")</f>
        <v>742.005</v>
      </c>
      <c r="BM68">
        <f ca="1">IFERROR(IF(0=LEN(ReferenceData!$BM$68),"",ReferenceData!$BM$68),"")</f>
        <v>751.476</v>
      </c>
    </row>
    <row r="69" spans="1:65">
      <c r="A69" t="str">
        <f>IFERROR(IF(0=LEN(ReferenceData!$A$69),"",ReferenceData!$A$69),"")</f>
        <v xml:space="preserve">    Apartment REITs</v>
      </c>
      <c r="B69" t="str">
        <f>IFERROR(IF(0=LEN(ReferenceData!$B$69),"",ReferenceData!$B$69),"")</f>
        <v>RECFTDAP Index</v>
      </c>
      <c r="C69" t="str">
        <f>IFERROR(IF(0=LEN(ReferenceData!$C$69),"",ReferenceData!$C$69),"")</f>
        <v>PR005</v>
      </c>
      <c r="D69" t="str">
        <f>IFERROR(IF(0=LEN(ReferenceData!$D$69),"",ReferenceData!$D$69),"")</f>
        <v>PX_LAST</v>
      </c>
      <c r="E69" t="str">
        <f>IFERROR(IF(0=LEN(ReferenceData!$E$69),"",ReferenceData!$E$69),"")</f>
        <v>动态</v>
      </c>
      <c r="F69">
        <f ca="1">IFERROR(IF(0=LEN(ReferenceData!$F$69),"",ReferenceData!$F$69),"")</f>
        <v>1075.9775500000001</v>
      </c>
      <c r="G69">
        <f ca="1">IFERROR(IF(0=LEN(ReferenceData!$G$69),"",ReferenceData!$G$69),"")</f>
        <v>1054.354</v>
      </c>
      <c r="H69">
        <f ca="1">IFERROR(IF(0=LEN(ReferenceData!$H$69),"",ReferenceData!$H$69),"")</f>
        <v>1020.494</v>
      </c>
      <c r="I69">
        <f ca="1">IFERROR(IF(0=LEN(ReferenceData!$I$69),"",ReferenceData!$I$69),"")</f>
        <v>990.07899999999995</v>
      </c>
      <c r="J69">
        <f ca="1">IFERROR(IF(0=LEN(ReferenceData!$J$69),"",ReferenceData!$J$69),"")</f>
        <v>2077.6089999999999</v>
      </c>
      <c r="K69">
        <f ca="1">IFERROR(IF(0=LEN(ReferenceData!$K$69),"",ReferenceData!$K$69),"")</f>
        <v>1365.3869999999999</v>
      </c>
      <c r="L69">
        <f ca="1">IFERROR(IF(0=LEN(ReferenceData!$L$69),"",ReferenceData!$L$69),"")</f>
        <v>941.64599999999996</v>
      </c>
      <c r="M69">
        <f ca="1">IFERROR(IF(0=LEN(ReferenceData!$M$69),"",ReferenceData!$M$69),"")</f>
        <v>3969.8850000000002</v>
      </c>
      <c r="N69">
        <f ca="1">IFERROR(IF(0=LEN(ReferenceData!$N$69),"",ReferenceData!$N$69),"")</f>
        <v>884.58500000000004</v>
      </c>
      <c r="O69">
        <f ca="1">IFERROR(IF(0=LEN(ReferenceData!$O$69),"",ReferenceData!$O$69),"")</f>
        <v>882.11199999999997</v>
      </c>
      <c r="P69">
        <f ca="1">IFERROR(IF(0=LEN(ReferenceData!$P$69),"",ReferenceData!$P$69),"")</f>
        <v>950.46500000000003</v>
      </c>
      <c r="Q69">
        <f ca="1">IFERROR(IF(0=LEN(ReferenceData!$Q$69),"",ReferenceData!$Q$69),"")</f>
        <v>889.70600000000002</v>
      </c>
      <c r="R69">
        <f ca="1">IFERROR(IF(0=LEN(ReferenceData!$R$69),"",ReferenceData!$R$69),"")</f>
        <v>861.52599999999995</v>
      </c>
      <c r="S69">
        <f ca="1">IFERROR(IF(0=LEN(ReferenceData!$S$69),"",ReferenceData!$S$69),"")</f>
        <v>860.25800000000004</v>
      </c>
      <c r="T69">
        <f ca="1">IFERROR(IF(0=LEN(ReferenceData!$T$69),"",ReferenceData!$T$69),"")</f>
        <v>735.43</v>
      </c>
      <c r="U69">
        <f ca="1">IFERROR(IF(0=LEN(ReferenceData!$U$69),"",ReferenceData!$U$69),"")</f>
        <v>880.279</v>
      </c>
      <c r="V69">
        <f ca="1">IFERROR(IF(0=LEN(ReferenceData!$V$69),"",ReferenceData!$V$69),"")</f>
        <v>748.65099999999995</v>
      </c>
      <c r="W69">
        <f ca="1">IFERROR(IF(0=LEN(ReferenceData!$W$69),"",ReferenceData!$W$69),"")</f>
        <v>724.23699999999997</v>
      </c>
      <c r="X69">
        <f ca="1">IFERROR(IF(0=LEN(ReferenceData!$X$69),"",ReferenceData!$X$69),"")</f>
        <v>719.59199999999998</v>
      </c>
      <c r="Y69">
        <f ca="1">IFERROR(IF(0=LEN(ReferenceData!$Y$69),"",ReferenceData!$Y$69),"")</f>
        <v>785.21600000000001</v>
      </c>
      <c r="Z69">
        <f ca="1">IFERROR(IF(0=LEN(ReferenceData!$Z$69),"",ReferenceData!$Z$69),"")</f>
        <v>605.64400000000001</v>
      </c>
      <c r="AA69">
        <f ca="1">IFERROR(IF(0=LEN(ReferenceData!$AA$69),"",ReferenceData!$AA$69),"")</f>
        <v>593.48699999999997</v>
      </c>
      <c r="AB69">
        <f ca="1">IFERROR(IF(0=LEN(ReferenceData!$AB$69),"",ReferenceData!$AB$69),"")</f>
        <v>577.33299999999997</v>
      </c>
      <c r="AC69">
        <f ca="1">IFERROR(IF(0=LEN(ReferenceData!$AC$69),"",ReferenceData!$AC$69),"")</f>
        <v>621.71299999999997</v>
      </c>
      <c r="AD69">
        <f ca="1">IFERROR(IF(0=LEN(ReferenceData!$AD$69),"",ReferenceData!$AD$69),"")</f>
        <v>524.72400000000005</v>
      </c>
      <c r="AE69">
        <f ca="1">IFERROR(IF(0=LEN(ReferenceData!$AE$69),"",ReferenceData!$AE$69),"")</f>
        <v>513.50300000000004</v>
      </c>
      <c r="AF69">
        <f ca="1">IFERROR(IF(0=LEN(ReferenceData!$AF$69),"",ReferenceData!$AF$69),"")</f>
        <v>490.517</v>
      </c>
      <c r="AG69">
        <f ca="1">IFERROR(IF(0=LEN(ReferenceData!$AG$69),"",ReferenceData!$AG$69),"")</f>
        <v>513.255</v>
      </c>
      <c r="AH69">
        <f ca="1">IFERROR(IF(0=LEN(ReferenceData!$AH$69),"",ReferenceData!$AH$69),"")</f>
        <v>464.17599999999999</v>
      </c>
      <c r="AI69">
        <f ca="1">IFERROR(IF(0=LEN(ReferenceData!$AI$69),"",ReferenceData!$AI$69),"")</f>
        <v>459.471</v>
      </c>
      <c r="AJ69">
        <f ca="1">IFERROR(IF(0=LEN(ReferenceData!$AJ$69),"",ReferenceData!$AJ$69),"")</f>
        <v>454.82</v>
      </c>
      <c r="AK69">
        <f ca="1">IFERROR(IF(0=LEN(ReferenceData!$AK$69),"",ReferenceData!$AK$69),"")</f>
        <v>438.79199999999997</v>
      </c>
      <c r="AL69">
        <f ca="1">IFERROR(IF(0=LEN(ReferenceData!$AL$69),"",ReferenceData!$AL$69),"")</f>
        <v>452.55700000000002</v>
      </c>
      <c r="AM69">
        <f ca="1">IFERROR(IF(0=LEN(ReferenceData!$AM$69),"",ReferenceData!$AM$69),"")</f>
        <v>483.82</v>
      </c>
      <c r="AN69">
        <f ca="1">IFERROR(IF(0=LEN(ReferenceData!$AN$69),"",ReferenceData!$AN$69),"")</f>
        <v>522.31600000000003</v>
      </c>
      <c r="AO69">
        <f ca="1">IFERROR(IF(0=LEN(ReferenceData!$AO$69),"",ReferenceData!$AO$69),"")</f>
        <v>610.16099999999994</v>
      </c>
      <c r="AP69">
        <f ca="1">IFERROR(IF(0=LEN(ReferenceData!$AP$69),"",ReferenceData!$AP$69),"")</f>
        <v>681.79650000000004</v>
      </c>
      <c r="AQ69">
        <f ca="1">IFERROR(IF(0=LEN(ReferenceData!$AQ$69),"",ReferenceData!$AQ$69),"")</f>
        <v>665.43200000000002</v>
      </c>
      <c r="AR69">
        <f ca="1">IFERROR(IF(0=LEN(ReferenceData!$AR$69),"",ReferenceData!$AR$69),"")</f>
        <v>636.99199999999996</v>
      </c>
      <c r="AS69">
        <f ca="1">IFERROR(IF(0=LEN(ReferenceData!$AS$69),"",ReferenceData!$AS$69),"")</f>
        <v>617.07100000000003</v>
      </c>
      <c r="AT69">
        <f ca="1">IFERROR(IF(0=LEN(ReferenceData!$AT$69),"",ReferenceData!$AT$69),"")</f>
        <v>700.17449999999997</v>
      </c>
      <c r="AU69">
        <f ca="1">IFERROR(IF(0=LEN(ReferenceData!$AU$69),"",ReferenceData!$AU$69),"")</f>
        <v>636.17600000000004</v>
      </c>
      <c r="AV69">
        <f ca="1">IFERROR(IF(0=LEN(ReferenceData!$AV$69),"",ReferenceData!$AV$69),"")</f>
        <v>713.71900000000005</v>
      </c>
      <c r="AW69">
        <f ca="1">IFERROR(IF(0=LEN(ReferenceData!$AW$69),"",ReferenceData!$AW$69),"")</f>
        <v>752.51099999999997</v>
      </c>
      <c r="AX69">
        <f ca="1">IFERROR(IF(0=LEN(ReferenceData!$AX$69),"",ReferenceData!$AX$69),"")</f>
        <v>675.58600000000001</v>
      </c>
      <c r="AY69">
        <f ca="1">IFERROR(IF(0=LEN(ReferenceData!$AY$69),"",ReferenceData!$AY$69),"")</f>
        <v>688.08100000000002</v>
      </c>
      <c r="AZ69">
        <f ca="1">IFERROR(IF(0=LEN(ReferenceData!$AZ$69),"",ReferenceData!$AZ$69),"")</f>
        <v>696.98699999999997</v>
      </c>
      <c r="BA69">
        <f ca="1">IFERROR(IF(0=LEN(ReferenceData!$BA$69),"",ReferenceData!$BA$69),"")</f>
        <v>683.07100000000003</v>
      </c>
      <c r="BB69">
        <f ca="1">IFERROR(IF(0=LEN(ReferenceData!$BB$69),"",ReferenceData!$BB$69),"")</f>
        <v>677.09900000000005</v>
      </c>
      <c r="BC69">
        <f ca="1">IFERROR(IF(0=LEN(ReferenceData!$BC$69),"",ReferenceData!$BC$69),"")</f>
        <v>673.55600000000004</v>
      </c>
      <c r="BD69">
        <f ca="1">IFERROR(IF(0=LEN(ReferenceData!$BD$69),"",ReferenceData!$BD$69),"")</f>
        <v>670.16899999999998</v>
      </c>
      <c r="BE69">
        <f ca="1">IFERROR(IF(0=LEN(ReferenceData!$BE$69),"",ReferenceData!$BE$69),"")</f>
        <v>707.91099999999994</v>
      </c>
      <c r="BF69">
        <f ca="1">IFERROR(IF(0=LEN(ReferenceData!$BF$69),"",ReferenceData!$BF$69),"")</f>
        <v>914.15200000000004</v>
      </c>
      <c r="BG69">
        <f ca="1">IFERROR(IF(0=LEN(ReferenceData!$BG$69),"",ReferenceData!$BG$69),"")</f>
        <v>700.98500000000001</v>
      </c>
      <c r="BH69">
        <f ca="1">IFERROR(IF(0=LEN(ReferenceData!$BH$69),"",ReferenceData!$BH$69),"")</f>
        <v>714.76700000000005</v>
      </c>
      <c r="BI69">
        <f ca="1">IFERROR(IF(0=LEN(ReferenceData!$BI$69),"",ReferenceData!$BI$69),"")</f>
        <v>685.36800000000005</v>
      </c>
      <c r="BJ69">
        <f ca="1">IFERROR(IF(0=LEN(ReferenceData!$BJ$69),"",ReferenceData!$BJ$69),"")</f>
        <v>676.375</v>
      </c>
      <c r="BK69">
        <f ca="1">IFERROR(IF(0=LEN(ReferenceData!$BK$69),"",ReferenceData!$BK$69),"")</f>
        <v>691.69299999999998</v>
      </c>
      <c r="BL69">
        <f ca="1">IFERROR(IF(0=LEN(ReferenceData!$BL$69),"",ReferenceData!$BL$69),"")</f>
        <v>689.94100000000003</v>
      </c>
      <c r="BM69">
        <f ca="1">IFERROR(IF(0=LEN(ReferenceData!$BM$69),"",ReferenceData!$BM$69),"")</f>
        <v>700.70699999999999</v>
      </c>
    </row>
    <row r="70" spans="1:65">
      <c r="A70" t="str">
        <f>IFERROR(IF(0=LEN(ReferenceData!$A$70),"",ReferenceData!$A$70),"")</f>
        <v xml:space="preserve">    Manufactured Home REITs</v>
      </c>
      <c r="B70" t="str">
        <f>IFERROR(IF(0=LEN(ReferenceData!$B$70),"",ReferenceData!$B$70),"")</f>
        <v>RECFTDMH Index</v>
      </c>
      <c r="C70" t="str">
        <f>IFERROR(IF(0=LEN(ReferenceData!$C$70),"",ReferenceData!$C$70),"")</f>
        <v>PR005</v>
      </c>
      <c r="D70" t="str">
        <f>IFERROR(IF(0=LEN(ReferenceData!$D$70),"",ReferenceData!$D$70),"")</f>
        <v>PX_LAST</v>
      </c>
      <c r="E70" t="str">
        <f>IFERROR(IF(0=LEN(ReferenceData!$E$70),"",ReferenceData!$E$70),"")</f>
        <v>动态</v>
      </c>
      <c r="F70">
        <f ca="1">IFERROR(IF(0=LEN(ReferenceData!$F$70),"",ReferenceData!$F$70),"")</f>
        <v>118.38376820000001</v>
      </c>
      <c r="G70">
        <f ca="1">IFERROR(IF(0=LEN(ReferenceData!$G$70),"",ReferenceData!$G$70),"")</f>
        <v>116.349</v>
      </c>
      <c r="H70">
        <f ca="1">IFERROR(IF(0=LEN(ReferenceData!$H$70),"",ReferenceData!$H$70),"")</f>
        <v>111.682</v>
      </c>
      <c r="I70">
        <f ca="1">IFERROR(IF(0=LEN(ReferenceData!$I$70),"",ReferenceData!$I$70),"")</f>
        <v>104.36199999999999</v>
      </c>
      <c r="J70">
        <f ca="1">IFERROR(IF(0=LEN(ReferenceData!$J$70),"",ReferenceData!$J$70),"")</f>
        <v>103.346</v>
      </c>
      <c r="K70">
        <f ca="1">IFERROR(IF(0=LEN(ReferenceData!$K$70),"",ReferenceData!$K$70),"")</f>
        <v>101.015</v>
      </c>
      <c r="L70">
        <f ca="1">IFERROR(IF(0=LEN(ReferenceData!$L$70),"",ReferenceData!$L$70),"")</f>
        <v>96.935000000000002</v>
      </c>
      <c r="M70">
        <f ca="1">IFERROR(IF(0=LEN(ReferenceData!$M$70),"",ReferenceData!$M$70),"")</f>
        <v>88.195999999999998</v>
      </c>
      <c r="N70">
        <f ca="1">IFERROR(IF(0=LEN(ReferenceData!$N$70),"",ReferenceData!$N$70),"")</f>
        <v>84.406000000000006</v>
      </c>
      <c r="O70">
        <f ca="1">IFERROR(IF(0=LEN(ReferenceData!$O$70),"",ReferenceData!$O$70),"")</f>
        <v>84.594999999999999</v>
      </c>
      <c r="P70">
        <f ca="1">IFERROR(IF(0=LEN(ReferenceData!$P$70),"",ReferenceData!$P$70),"")</f>
        <v>85.156999999999996</v>
      </c>
      <c r="Q70">
        <f ca="1">IFERROR(IF(0=LEN(ReferenceData!$Q$70),"",ReferenceData!$Q$70),"")</f>
        <v>76.41</v>
      </c>
      <c r="R70">
        <f ca="1">IFERROR(IF(0=LEN(ReferenceData!$R$70),"",ReferenceData!$R$70),"")</f>
        <v>73.113</v>
      </c>
      <c r="S70">
        <f ca="1">IFERROR(IF(0=LEN(ReferenceData!$S$70),"",ReferenceData!$S$70),"")</f>
        <v>68.197999999999993</v>
      </c>
      <c r="T70">
        <f ca="1">IFERROR(IF(0=LEN(ReferenceData!$T$70),"",ReferenceData!$T$70),"")</f>
        <v>67.542000000000002</v>
      </c>
      <c r="U70">
        <f ca="1">IFERROR(IF(0=LEN(ReferenceData!$U$70),"",ReferenceData!$U$70),"")</f>
        <v>57.109000000000002</v>
      </c>
      <c r="V70">
        <f ca="1">IFERROR(IF(0=LEN(ReferenceData!$V$70),"",ReferenceData!$V$70),"")</f>
        <v>56.847000000000001</v>
      </c>
      <c r="W70">
        <f ca="1">IFERROR(IF(0=LEN(ReferenceData!$W$70),"",ReferenceData!$W$70),"")</f>
        <v>59.018000000000001</v>
      </c>
      <c r="X70">
        <f ca="1">IFERROR(IF(0=LEN(ReferenceData!$X$70),"",ReferenceData!$X$70),"")</f>
        <v>54.064</v>
      </c>
      <c r="Y70">
        <f ca="1">IFERROR(IF(0=LEN(ReferenceData!$Y$70),"",ReferenceData!$Y$70),"")</f>
        <v>29.068000000000001</v>
      </c>
      <c r="Z70">
        <f ca="1">IFERROR(IF(0=LEN(ReferenceData!$Z$70),"",ReferenceData!$Z$70),"")</f>
        <v>68.492999999999995</v>
      </c>
      <c r="AA70">
        <f ca="1">IFERROR(IF(0=LEN(ReferenceData!$AA$70),"",ReferenceData!$AA$70),"")</f>
        <v>46.146000000000001</v>
      </c>
      <c r="AB70">
        <f ca="1">IFERROR(IF(0=LEN(ReferenceData!$AB$70),"",ReferenceData!$AB$70),"")</f>
        <v>46.277999999999999</v>
      </c>
      <c r="AC70">
        <f ca="1">IFERROR(IF(0=LEN(ReferenceData!$AC$70),"",ReferenceData!$AC$70),"")</f>
        <v>40.051000000000002</v>
      </c>
      <c r="AD70">
        <f ca="1">IFERROR(IF(0=LEN(ReferenceData!$AD$70),"",ReferenceData!$AD$70),"")</f>
        <v>39.738</v>
      </c>
      <c r="AE70">
        <f ca="1">IFERROR(IF(0=LEN(ReferenceData!$AE$70),"",ReferenceData!$AE$70),"")</f>
        <v>38.472000000000001</v>
      </c>
      <c r="AF70">
        <f ca="1">IFERROR(IF(0=LEN(ReferenceData!$AF$70),"",ReferenceData!$AF$70),"")</f>
        <v>34.524999999999999</v>
      </c>
      <c r="AG70">
        <f ca="1">IFERROR(IF(0=LEN(ReferenceData!$AG$70),"",ReferenceData!$AG$70),"")</f>
        <v>31.641999999999999</v>
      </c>
      <c r="AH70">
        <f ca="1">IFERROR(IF(0=LEN(ReferenceData!$AH$70),"",ReferenceData!$AH$70),"")</f>
        <v>30.824999999999999</v>
      </c>
      <c r="AI70">
        <f ca="1">IFERROR(IF(0=LEN(ReferenceData!$AI$70),"",ReferenceData!$AI$70),"")</f>
        <v>30.477</v>
      </c>
      <c r="AJ70">
        <f ca="1">IFERROR(IF(0=LEN(ReferenceData!$AJ$70),"",ReferenceData!$AJ$70),"")</f>
        <v>30.225999999999999</v>
      </c>
      <c r="AK70">
        <f ca="1">IFERROR(IF(0=LEN(ReferenceData!$AK$70),"",ReferenceData!$AK$70),"")</f>
        <v>30.068000000000001</v>
      </c>
      <c r="AL70">
        <f ca="1">IFERROR(IF(0=LEN(ReferenceData!$AL$70),"",ReferenceData!$AL$70),"")</f>
        <v>29.989000000000001</v>
      </c>
      <c r="AM70">
        <f ca="1">IFERROR(IF(0=LEN(ReferenceData!$AM$70),"",ReferenceData!$AM$70),"")</f>
        <v>26.873999999999999</v>
      </c>
      <c r="AN70">
        <f ca="1">IFERROR(IF(0=LEN(ReferenceData!$AN$70),"",ReferenceData!$AN$70),"")</f>
        <v>26.78</v>
      </c>
      <c r="AO70">
        <f ca="1">IFERROR(IF(0=LEN(ReferenceData!$AO$70),"",ReferenceData!$AO$70),"")</f>
        <v>25.148</v>
      </c>
      <c r="AP70">
        <f ca="1">IFERROR(IF(0=LEN(ReferenceData!$AP$70),"",ReferenceData!$AP$70),"")</f>
        <v>25.122</v>
      </c>
      <c r="AQ70">
        <f ca="1">IFERROR(IF(0=LEN(ReferenceData!$AQ$70),"",ReferenceData!$AQ$70),"")</f>
        <v>27.817</v>
      </c>
      <c r="AR70">
        <f ca="1">IFERROR(IF(0=LEN(ReferenceData!$AR$70),"",ReferenceData!$AR$70),"")</f>
        <v>27.812999999999999</v>
      </c>
      <c r="AS70">
        <f ca="1">IFERROR(IF(0=LEN(ReferenceData!$AS$70),"",ReferenceData!$AS$70),"")</f>
        <v>26.943999999999999</v>
      </c>
      <c r="AT70">
        <f ca="1">IFERROR(IF(0=LEN(ReferenceData!$AT$70),"",ReferenceData!$AT$70),"")</f>
        <v>25.375499999999999</v>
      </c>
      <c r="AU70">
        <f ca="1">IFERROR(IF(0=LEN(ReferenceData!$AU$70),"",ReferenceData!$AU$70),"")</f>
        <v>26.411999999999999</v>
      </c>
      <c r="AV70">
        <f ca="1">IFERROR(IF(0=LEN(ReferenceData!$AV$70),"",ReferenceData!$AV$70),"")</f>
        <v>25.178000000000001</v>
      </c>
      <c r="AW70">
        <f ca="1">IFERROR(IF(0=LEN(ReferenceData!$AW$70),"",ReferenceData!$AW$70),"")</f>
        <v>22.763999999999999</v>
      </c>
      <c r="AX70">
        <f ca="1">IFERROR(IF(0=LEN(ReferenceData!$AX$70),"",ReferenceData!$AX$70),"")</f>
        <v>23.318000000000001</v>
      </c>
      <c r="AY70">
        <f ca="1">IFERROR(IF(0=LEN(ReferenceData!$AY$70),"",ReferenceData!$AY$70),"")</f>
        <v>23.266999999999999</v>
      </c>
      <c r="AZ70">
        <f ca="1">IFERROR(IF(0=LEN(ReferenceData!$AZ$70),"",ReferenceData!$AZ$70),"")</f>
        <v>24.161999999999999</v>
      </c>
      <c r="BA70">
        <f ca="1">IFERROR(IF(0=LEN(ReferenceData!$BA$70),"",ReferenceData!$BA$70),"")</f>
        <v>22.631</v>
      </c>
      <c r="BB70">
        <f ca="1">IFERROR(IF(0=LEN(ReferenceData!$BB$70),"",ReferenceData!$BB$70),"")</f>
        <v>25.571000000000002</v>
      </c>
      <c r="BC70">
        <f ca="1">IFERROR(IF(0=LEN(ReferenceData!$BC$70),"",ReferenceData!$BC$70),"")</f>
        <v>49.636000000000003</v>
      </c>
      <c r="BD70">
        <f ca="1">IFERROR(IF(0=LEN(ReferenceData!$BD$70),"",ReferenceData!$BD$70),"")</f>
        <v>37.493000000000002</v>
      </c>
      <c r="BE70">
        <f ca="1">IFERROR(IF(0=LEN(ReferenceData!$BE$70),"",ReferenceData!$BE$70),"")</f>
        <v>36.929000000000002</v>
      </c>
      <c r="BF70">
        <f ca="1">IFERROR(IF(0=LEN(ReferenceData!$BF$70),"",ReferenceData!$BF$70),"")</f>
        <v>35.61</v>
      </c>
      <c r="BG70">
        <f ca="1">IFERROR(IF(0=LEN(ReferenceData!$BG$70),"",ReferenceData!$BG$70),"")</f>
        <v>36.67</v>
      </c>
      <c r="BH70">
        <f ca="1">IFERROR(IF(0=LEN(ReferenceData!$BH$70),"",ReferenceData!$BH$70),"")</f>
        <v>28.972000000000001</v>
      </c>
      <c r="BI70">
        <f ca="1">IFERROR(IF(0=LEN(ReferenceData!$BI$70),"",ReferenceData!$BI$70),"")</f>
        <v>244.41499999999999</v>
      </c>
      <c r="BJ70">
        <f ca="1">IFERROR(IF(0=LEN(ReferenceData!$BJ$70),"",ReferenceData!$BJ$70),"")</f>
        <v>138.30000000000001</v>
      </c>
      <c r="BK70">
        <f ca="1">IFERROR(IF(0=LEN(ReferenceData!$BK$70),"",ReferenceData!$BK$70),"")</f>
        <v>32.573999999999998</v>
      </c>
      <c r="BL70">
        <f ca="1">IFERROR(IF(0=LEN(ReferenceData!$BL$70),"",ReferenceData!$BL$70),"")</f>
        <v>52.064</v>
      </c>
      <c r="BM70">
        <f ca="1">IFERROR(IF(0=LEN(ReferenceData!$BM$70),"",ReferenceData!$BM$70),"")</f>
        <v>50.768999999999998</v>
      </c>
    </row>
    <row r="71" spans="1:65">
      <c r="A71" t="str">
        <f>IFERROR(IF(0=LEN(ReferenceData!$A$71),"",ReferenceData!$A$71),"")</f>
        <v xml:space="preserve">    Single Family Rental REITs</v>
      </c>
      <c r="B71" t="str">
        <f>IFERROR(IF(0=LEN(ReferenceData!$B$71),"",ReferenceData!$B$71),"")</f>
        <v>RECFTDSF Index</v>
      </c>
      <c r="C71" t="str">
        <f>IFERROR(IF(0=LEN(ReferenceData!$C$71),"",ReferenceData!$C$71),"")</f>
        <v>PR005</v>
      </c>
      <c r="D71" t="str">
        <f>IFERROR(IF(0=LEN(ReferenceData!$D$71),"",ReferenceData!$D$71),"")</f>
        <v>PX_LAST</v>
      </c>
      <c r="E71" t="str">
        <f>IFERROR(IF(0=LEN(ReferenceData!$E$71),"",ReferenceData!$E$71),"")</f>
        <v>动态</v>
      </c>
      <c r="F71">
        <f ca="1">IFERROR(IF(0=LEN(ReferenceData!$F$71),"",ReferenceData!$F$71),"")</f>
        <v>67.655193550000007</v>
      </c>
      <c r="G71">
        <f ca="1">IFERROR(IF(0=LEN(ReferenceData!$G$71),"",ReferenceData!$G$71),"")</f>
        <v>96.566000000000003</v>
      </c>
      <c r="H71">
        <f ca="1">IFERROR(IF(0=LEN(ReferenceData!$H$71),"",ReferenceData!$H$71),"")</f>
        <v>85.74</v>
      </c>
      <c r="I71">
        <f ca="1">IFERROR(IF(0=LEN(ReferenceData!$I$71),"",ReferenceData!$I$71),"")</f>
        <v>57.502000000000002</v>
      </c>
      <c r="J71">
        <f ca="1">IFERROR(IF(0=LEN(ReferenceData!$J$71),"",ReferenceData!$J$71),"")</f>
        <v>57.326000000000001</v>
      </c>
      <c r="K71">
        <f ca="1">IFERROR(IF(0=LEN(ReferenceData!$K$71),"",ReferenceData!$K$71),"")</f>
        <v>59.944000000000003</v>
      </c>
      <c r="L71">
        <f ca="1">IFERROR(IF(0=LEN(ReferenceData!$L$71),"",ReferenceData!$L$71),"")</f>
        <v>52.24</v>
      </c>
      <c r="M71">
        <f ca="1">IFERROR(IF(0=LEN(ReferenceData!$M$71),"",ReferenceData!$M$71),"")</f>
        <v>25.875</v>
      </c>
      <c r="N71">
        <f ca="1">IFERROR(IF(0=LEN(ReferenceData!$N$71),"",ReferenceData!$N$71),"")</f>
        <v>53</v>
      </c>
      <c r="O71">
        <f ca="1">IFERROR(IF(0=LEN(ReferenceData!$O$71),"",ReferenceData!$O$71),"")</f>
        <v>35.500999999999998</v>
      </c>
      <c r="P71">
        <f ca="1">IFERROR(IF(0=LEN(ReferenceData!$P$71),"",ReferenceData!$P$71),"")</f>
        <v>31.125</v>
      </c>
      <c r="Q71">
        <f ca="1">IFERROR(IF(0=LEN(ReferenceData!$Q$71),"",ReferenceData!$Q$71),"")</f>
        <v>30.085999999999999</v>
      </c>
      <c r="R71">
        <f ca="1">IFERROR(IF(0=LEN(ReferenceData!$R$71),"",ReferenceData!$R$71),"")</f>
        <v>29.26</v>
      </c>
      <c r="S71">
        <f ca="1">IFERROR(IF(0=LEN(ReferenceData!$S$71),"",ReferenceData!$S$71),"")</f>
        <v>23.460999999999999</v>
      </c>
      <c r="T71">
        <f ca="1">IFERROR(IF(0=LEN(ReferenceData!$T$71),"",ReferenceData!$T$71),"")</f>
        <v>21.83</v>
      </c>
      <c r="U71">
        <f ca="1">IFERROR(IF(0=LEN(ReferenceData!$U$71),"",ReferenceData!$U$71),"")</f>
        <v>19.370999999999999</v>
      </c>
      <c r="V71">
        <f ca="1">IFERROR(IF(0=LEN(ReferenceData!$V$71),"",ReferenceData!$V$71),"")</f>
        <v>6.9050000000000002</v>
      </c>
      <c r="W71">
        <f ca="1">IFERROR(IF(0=LEN(ReferenceData!$W$71),"",ReferenceData!$W$71),"")</f>
        <v>1.032</v>
      </c>
      <c r="X71">
        <f ca="1">IFERROR(IF(0=LEN(ReferenceData!$X$71),"",ReferenceData!$X$71),"")</f>
        <v>0.45</v>
      </c>
      <c r="Y71">
        <f ca="1">IFERROR(IF(0=LEN(ReferenceData!$Y$71),"",ReferenceData!$Y$71),"")</f>
        <v>0</v>
      </c>
      <c r="Z71">
        <f ca="1">IFERROR(IF(0=LEN(ReferenceData!$Z$71),"",ReferenceData!$Z$71),"")</f>
        <v>0</v>
      </c>
      <c r="AA71">
        <f ca="1">IFERROR(IF(0=LEN(ReferenceData!$AA$71),"",ReferenceData!$AA$71),"")</f>
        <v>0</v>
      </c>
      <c r="AB71">
        <f ca="1">IFERROR(IF(0=LEN(ReferenceData!$AB$71),"",ReferenceData!$AB$71),"")</f>
        <v>0</v>
      </c>
      <c r="AC71">
        <f ca="1">IFERROR(IF(0=LEN(ReferenceData!$AC$71),"",ReferenceData!$AC$71),"")</f>
        <v>0</v>
      </c>
      <c r="AD71">
        <f ca="1">IFERROR(IF(0=LEN(ReferenceData!$AD$71),"",ReferenceData!$AD$71),"")</f>
        <v>0</v>
      </c>
      <c r="AE71">
        <f ca="1">IFERROR(IF(0=LEN(ReferenceData!$AE$71),"",ReferenceData!$AE$71),"")</f>
        <v>0</v>
      </c>
      <c r="AF71">
        <f ca="1">IFERROR(IF(0=LEN(ReferenceData!$AF$71),"",ReferenceData!$AF$71),"")</f>
        <v>0</v>
      </c>
      <c r="AG71">
        <f ca="1">IFERROR(IF(0=LEN(ReferenceData!$AG$71),"",ReferenceData!$AG$71),"")</f>
        <v>0</v>
      </c>
      <c r="AH71">
        <f ca="1">IFERROR(IF(0=LEN(ReferenceData!$AH$71),"",ReferenceData!$AH$71),"")</f>
        <v>0</v>
      </c>
      <c r="AI71">
        <f ca="1">IFERROR(IF(0=LEN(ReferenceData!$AI$71),"",ReferenceData!$AI$71),"")</f>
        <v>0</v>
      </c>
      <c r="AJ71">
        <f ca="1">IFERROR(IF(0=LEN(ReferenceData!$AJ$71),"",ReferenceData!$AJ$71),"")</f>
        <v>0</v>
      </c>
      <c r="AK71">
        <f ca="1">IFERROR(IF(0=LEN(ReferenceData!$AK$71),"",ReferenceData!$AK$71),"")</f>
        <v>0</v>
      </c>
      <c r="AL71">
        <f ca="1">IFERROR(IF(0=LEN(ReferenceData!$AL$71),"",ReferenceData!$AL$71),"")</f>
        <v>0</v>
      </c>
      <c r="AM71">
        <f ca="1">IFERROR(IF(0=LEN(ReferenceData!$AM$71),"",ReferenceData!$AM$71),"")</f>
        <v>0</v>
      </c>
      <c r="AN71">
        <f ca="1">IFERROR(IF(0=LEN(ReferenceData!$AN$71),"",ReferenceData!$AN$71),"")</f>
        <v>0</v>
      </c>
      <c r="AO71">
        <f ca="1">IFERROR(IF(0=LEN(ReferenceData!$AO$71),"",ReferenceData!$AO$71),"")</f>
        <v>0</v>
      </c>
      <c r="AP71">
        <f ca="1">IFERROR(IF(0=LEN(ReferenceData!$AP$71),"",ReferenceData!$AP$71),"")</f>
        <v>0</v>
      </c>
      <c r="AQ71">
        <f ca="1">IFERROR(IF(0=LEN(ReferenceData!$AQ$71),"",ReferenceData!$AQ$71),"")</f>
        <v>0</v>
      </c>
      <c r="AR71">
        <f ca="1">IFERROR(IF(0=LEN(ReferenceData!$AR$71),"",ReferenceData!$AR$71),"")</f>
        <v>0</v>
      </c>
      <c r="AS71">
        <f ca="1">IFERROR(IF(0=LEN(ReferenceData!$AS$71),"",ReferenceData!$AS$71),"")</f>
        <v>0</v>
      </c>
      <c r="AT71">
        <f ca="1">IFERROR(IF(0=LEN(ReferenceData!$AT$71),"",ReferenceData!$AT$71),"")</f>
        <v>0</v>
      </c>
      <c r="AU71">
        <f ca="1">IFERROR(IF(0=LEN(ReferenceData!$AU$71),"",ReferenceData!$AU$71),"")</f>
        <v>0</v>
      </c>
      <c r="AV71">
        <f ca="1">IFERROR(IF(0=LEN(ReferenceData!$AV$71),"",ReferenceData!$AV$71),"")</f>
        <v>0</v>
      </c>
      <c r="AW71">
        <f ca="1">IFERROR(IF(0=LEN(ReferenceData!$AW$71),"",ReferenceData!$AW$71),"")</f>
        <v>0</v>
      </c>
      <c r="AX71">
        <f ca="1">IFERROR(IF(0=LEN(ReferenceData!$AX$71),"",ReferenceData!$AX$71),"")</f>
        <v>0</v>
      </c>
      <c r="AY71">
        <f ca="1">IFERROR(IF(0=LEN(ReferenceData!$AY$71),"",ReferenceData!$AY$71),"")</f>
        <v>0</v>
      </c>
      <c r="AZ71">
        <f ca="1">IFERROR(IF(0=LEN(ReferenceData!$AZ$71),"",ReferenceData!$AZ$71),"")</f>
        <v>0</v>
      </c>
      <c r="BA71">
        <f ca="1">IFERROR(IF(0=LEN(ReferenceData!$BA$71),"",ReferenceData!$BA$71),"")</f>
        <v>0</v>
      </c>
      <c r="BB71">
        <f ca="1">IFERROR(IF(0=LEN(ReferenceData!$BB$71),"",ReferenceData!$BB$71),"")</f>
        <v>0</v>
      </c>
      <c r="BC71">
        <f ca="1">IFERROR(IF(0=LEN(ReferenceData!$BC$71),"",ReferenceData!$BC$71),"")</f>
        <v>0</v>
      </c>
      <c r="BD71">
        <f ca="1">IFERROR(IF(0=LEN(ReferenceData!$BD$71),"",ReferenceData!$BD$71),"")</f>
        <v>0</v>
      </c>
      <c r="BE71">
        <f ca="1">IFERROR(IF(0=LEN(ReferenceData!$BE$71),"",ReferenceData!$BE$71),"")</f>
        <v>0</v>
      </c>
      <c r="BF71">
        <f ca="1">IFERROR(IF(0=LEN(ReferenceData!$BF$71),"",ReferenceData!$BF$71),"")</f>
        <v>0</v>
      </c>
      <c r="BG71">
        <f ca="1">IFERROR(IF(0=LEN(ReferenceData!$BG$71),"",ReferenceData!$BG$71),"")</f>
        <v>0</v>
      </c>
      <c r="BH71">
        <f ca="1">IFERROR(IF(0=LEN(ReferenceData!$BH$71),"",ReferenceData!$BH$71),"")</f>
        <v>0</v>
      </c>
      <c r="BI71">
        <f ca="1">IFERROR(IF(0=LEN(ReferenceData!$BI$71),"",ReferenceData!$BI$71),"")</f>
        <v>0</v>
      </c>
      <c r="BJ71">
        <f ca="1">IFERROR(IF(0=LEN(ReferenceData!$BJ$71),"",ReferenceData!$BJ$71),"")</f>
        <v>0</v>
      </c>
      <c r="BK71">
        <f ca="1">IFERROR(IF(0=LEN(ReferenceData!$BK$71),"",ReferenceData!$BK$71),"")</f>
        <v>0</v>
      </c>
      <c r="BL71">
        <f ca="1">IFERROR(IF(0=LEN(ReferenceData!$BL$71),"",ReferenceData!$BL$71),"")</f>
        <v>0</v>
      </c>
      <c r="BM71">
        <f ca="1">IFERROR(IF(0=LEN(ReferenceData!$BM$71),"",ReferenceData!$BM$71),"")</f>
        <v>0</v>
      </c>
    </row>
    <row r="72" spans="1:65">
      <c r="A72" t="str">
        <f>IFERROR(IF(0=LEN(ReferenceData!$A$72),"",ReferenceData!$A$72),"")</f>
        <v xml:space="preserve">    Diversified REITs</v>
      </c>
      <c r="B72" t="str">
        <f>IFERROR(IF(0=LEN(ReferenceData!$B$72),"",ReferenceData!$B$72),"")</f>
        <v>RECFTDDV Index</v>
      </c>
      <c r="C72" t="str">
        <f>IFERROR(IF(0=LEN(ReferenceData!$C$72),"",ReferenceData!$C$72),"")</f>
        <v>PR005</v>
      </c>
      <c r="D72" t="str">
        <f>IFERROR(IF(0=LEN(ReferenceData!$D$72),"",ReferenceData!$D$72),"")</f>
        <v>PX_LAST</v>
      </c>
      <c r="E72" t="str">
        <f>IFERROR(IF(0=LEN(ReferenceData!$E$72),"",ReferenceData!$E$72),"")</f>
        <v>动态</v>
      </c>
      <c r="F72">
        <f ca="1">IFERROR(IF(0=LEN(ReferenceData!$F$72),"",ReferenceData!$F$72),"")</f>
        <v>1217.522706</v>
      </c>
      <c r="G72">
        <f ca="1">IFERROR(IF(0=LEN(ReferenceData!$G$72),"",ReferenceData!$G$72),"")</f>
        <v>1165.999</v>
      </c>
      <c r="H72">
        <f ca="1">IFERROR(IF(0=LEN(ReferenceData!$H$72),"",ReferenceData!$H$72),"")</f>
        <v>976.90800000000002</v>
      </c>
      <c r="I72">
        <f ca="1">IFERROR(IF(0=LEN(ReferenceData!$I$72),"",ReferenceData!$I$72),"")</f>
        <v>1110.9659999999999</v>
      </c>
      <c r="J72">
        <f ca="1">IFERROR(IF(0=LEN(ReferenceData!$J$72),"",ReferenceData!$J$72),"")</f>
        <v>813.88300000000004</v>
      </c>
      <c r="K72">
        <f ca="1">IFERROR(IF(0=LEN(ReferenceData!$K$72),"",ReferenceData!$K$72),"")</f>
        <v>774.70500000000004</v>
      </c>
      <c r="L72">
        <f ca="1">IFERROR(IF(0=LEN(ReferenceData!$L$72),"",ReferenceData!$L$72),"")</f>
        <v>773.15300000000002</v>
      </c>
      <c r="M72">
        <f ca="1">IFERROR(IF(0=LEN(ReferenceData!$M$72),"",ReferenceData!$M$72),"")</f>
        <v>738.98500000000001</v>
      </c>
      <c r="N72">
        <f ca="1">IFERROR(IF(0=LEN(ReferenceData!$N$72),"",ReferenceData!$N$72),"")</f>
        <v>760.74900000000002</v>
      </c>
      <c r="O72">
        <f ca="1">IFERROR(IF(0=LEN(ReferenceData!$O$72),"",ReferenceData!$O$72),"")</f>
        <v>1059.1510000000001</v>
      </c>
      <c r="P72">
        <f ca="1">IFERROR(IF(0=LEN(ReferenceData!$P$72),"",ReferenceData!$P$72),"")</f>
        <v>1042.492</v>
      </c>
      <c r="Q72">
        <f ca="1">IFERROR(IF(0=LEN(ReferenceData!$Q$72),"",ReferenceData!$Q$72),"")</f>
        <v>1102.3420000000001</v>
      </c>
      <c r="R72">
        <f ca="1">IFERROR(IF(0=LEN(ReferenceData!$R$72),"",ReferenceData!$R$72),"")</f>
        <v>1369.4390000000001</v>
      </c>
      <c r="S72">
        <f ca="1">IFERROR(IF(0=LEN(ReferenceData!$S$72),"",ReferenceData!$S$72),"")</f>
        <v>678.82600000000002</v>
      </c>
      <c r="T72">
        <f ca="1">IFERROR(IF(0=LEN(ReferenceData!$T$72),"",ReferenceData!$T$72),"")</f>
        <v>762.72299999999996</v>
      </c>
      <c r="U72">
        <f ca="1">IFERROR(IF(0=LEN(ReferenceData!$U$72),"",ReferenceData!$U$72),"")</f>
        <v>839.37099999999998</v>
      </c>
      <c r="V72">
        <f ca="1">IFERROR(IF(0=LEN(ReferenceData!$V$72),"",ReferenceData!$V$72),"")</f>
        <v>650.73099999999999</v>
      </c>
      <c r="W72">
        <f ca="1">IFERROR(IF(0=LEN(ReferenceData!$W$72),"",ReferenceData!$W$72),"")</f>
        <v>551.30600000000004</v>
      </c>
      <c r="X72">
        <f ca="1">IFERROR(IF(0=LEN(ReferenceData!$X$72),"",ReferenceData!$X$72),"")</f>
        <v>667.75599999999997</v>
      </c>
      <c r="Y72">
        <f ca="1">IFERROR(IF(0=LEN(ReferenceData!$Y$72),"",ReferenceData!$Y$72),"")</f>
        <v>596.798</v>
      </c>
      <c r="Z72">
        <f ca="1">IFERROR(IF(0=LEN(ReferenceData!$Z$72),"",ReferenceData!$Z$72),"")</f>
        <v>593.36199999999997</v>
      </c>
      <c r="AA72">
        <f ca="1">IFERROR(IF(0=LEN(ReferenceData!$AA$72),"",ReferenceData!$AA$72),"")</f>
        <v>322.78300000000002</v>
      </c>
      <c r="AB72">
        <f ca="1">IFERROR(IF(0=LEN(ReferenceData!$AB$72),"",ReferenceData!$AB$72),"")</f>
        <v>368.96600000000001</v>
      </c>
      <c r="AC72">
        <f ca="1">IFERROR(IF(0=LEN(ReferenceData!$AC$72),"",ReferenceData!$AC$72),"")</f>
        <v>337.34699999999998</v>
      </c>
      <c r="AD72">
        <f ca="1">IFERROR(IF(0=LEN(ReferenceData!$AD$72),"",ReferenceData!$AD$72),"")</f>
        <v>345.245</v>
      </c>
      <c r="AE72">
        <f ca="1">IFERROR(IF(0=LEN(ReferenceData!$AE$72),"",ReferenceData!$AE$72),"")</f>
        <v>314.41399999999999</v>
      </c>
      <c r="AF72">
        <f ca="1">IFERROR(IF(0=LEN(ReferenceData!$AF$72),"",ReferenceData!$AF$72),"")</f>
        <v>331.06599999999997</v>
      </c>
      <c r="AG72">
        <f ca="1">IFERROR(IF(0=LEN(ReferenceData!$AG$72),"",ReferenceData!$AG$72),"")</f>
        <v>353.63099999999997</v>
      </c>
      <c r="AH72">
        <f ca="1">IFERROR(IF(0=LEN(ReferenceData!$AH$72),"",ReferenceData!$AH$72),"")</f>
        <v>278.47500000000002</v>
      </c>
      <c r="AI72">
        <f ca="1">IFERROR(IF(0=LEN(ReferenceData!$AI$72),"",ReferenceData!$AI$72),"")</f>
        <v>237.86799999999999</v>
      </c>
      <c r="AJ72">
        <f ca="1">IFERROR(IF(0=LEN(ReferenceData!$AJ$72),"",ReferenceData!$AJ$72),"")</f>
        <v>230.95</v>
      </c>
      <c r="AK72">
        <f ca="1">IFERROR(IF(0=LEN(ReferenceData!$AK$72),"",ReferenceData!$AK$72),"")</f>
        <v>222.815</v>
      </c>
      <c r="AL72">
        <f ca="1">IFERROR(IF(0=LEN(ReferenceData!$AL$72),"",ReferenceData!$AL$72),"")</f>
        <v>159.89400000000001</v>
      </c>
      <c r="AM72">
        <f ca="1">IFERROR(IF(0=LEN(ReferenceData!$AM$72),"",ReferenceData!$AM$72),"")</f>
        <v>154.95400000000001</v>
      </c>
      <c r="AN72">
        <f ca="1">IFERROR(IF(0=LEN(ReferenceData!$AN$72),"",ReferenceData!$AN$72),"")</f>
        <v>156.15700000000001</v>
      </c>
      <c r="AO72">
        <f ca="1">IFERROR(IF(0=LEN(ReferenceData!$AO$72),"",ReferenceData!$AO$72),"")</f>
        <v>179.26599999999999</v>
      </c>
      <c r="AP72">
        <f ca="1">IFERROR(IF(0=LEN(ReferenceData!$AP$72),"",ReferenceData!$AP$72),"")</f>
        <v>303.37950000000001</v>
      </c>
      <c r="AQ72">
        <f ca="1">IFERROR(IF(0=LEN(ReferenceData!$AQ$72),"",ReferenceData!$AQ$72),"")</f>
        <v>297.32</v>
      </c>
      <c r="AR72">
        <f ca="1">IFERROR(IF(0=LEN(ReferenceData!$AR$72),"",ReferenceData!$AR$72),"")</f>
        <v>289.80399999999997</v>
      </c>
      <c r="AS72">
        <f ca="1">IFERROR(IF(0=LEN(ReferenceData!$AS$72),"",ReferenceData!$AS$72),"")</f>
        <v>543.00199999999995</v>
      </c>
      <c r="AT72">
        <f ca="1">IFERROR(IF(0=LEN(ReferenceData!$AT$72),"",ReferenceData!$AT$72),"")</f>
        <v>305.11849999999998</v>
      </c>
      <c r="AU72">
        <f ca="1">IFERROR(IF(0=LEN(ReferenceData!$AU$72),"",ReferenceData!$AU$72),"")</f>
        <v>291.56200000000001</v>
      </c>
      <c r="AV72">
        <f ca="1">IFERROR(IF(0=LEN(ReferenceData!$AV$72),"",ReferenceData!$AV$72),"")</f>
        <v>855.24599999999998</v>
      </c>
      <c r="AW72">
        <f ca="1">IFERROR(IF(0=LEN(ReferenceData!$AW$72),"",ReferenceData!$AW$72),"")</f>
        <v>385.416</v>
      </c>
      <c r="AX72">
        <f ca="1">IFERROR(IF(0=LEN(ReferenceData!$AX$72),"",ReferenceData!$AX$72),"")</f>
        <v>671.17399999999998</v>
      </c>
      <c r="AY72">
        <f ca="1">IFERROR(IF(0=LEN(ReferenceData!$AY$72),"",ReferenceData!$AY$72),"")</f>
        <v>411.077</v>
      </c>
      <c r="AZ72">
        <f ca="1">IFERROR(IF(0=LEN(ReferenceData!$AZ$72),"",ReferenceData!$AZ$72),"")</f>
        <v>392.255</v>
      </c>
      <c r="BA72">
        <f ca="1">IFERROR(IF(0=LEN(ReferenceData!$BA$72),"",ReferenceData!$BA$72),"")</f>
        <v>381.65499999999997</v>
      </c>
      <c r="BB72">
        <f ca="1">IFERROR(IF(0=LEN(ReferenceData!$BB$72),"",ReferenceData!$BB$72),"")</f>
        <v>503.44650000000001</v>
      </c>
      <c r="BC72">
        <f ca="1">IFERROR(IF(0=LEN(ReferenceData!$BC$72),"",ReferenceData!$BC$72),"")</f>
        <v>340.65600000000001</v>
      </c>
      <c r="BD72">
        <f ca="1">IFERROR(IF(0=LEN(ReferenceData!$BD$72),"",ReferenceData!$BD$72),"")</f>
        <v>321.10199999999998</v>
      </c>
      <c r="BE72">
        <f ca="1">IFERROR(IF(0=LEN(ReferenceData!$BE$72),"",ReferenceData!$BE$72),"")</f>
        <v>310.68400000000003</v>
      </c>
      <c r="BF72">
        <f ca="1">IFERROR(IF(0=LEN(ReferenceData!$BF$72),"",ReferenceData!$BF$72),"")</f>
        <v>655.39250000000004</v>
      </c>
      <c r="BG72">
        <f ca="1">IFERROR(IF(0=LEN(ReferenceData!$BG$72),"",ReferenceData!$BG$72),"")</f>
        <v>290.10500000000002</v>
      </c>
      <c r="BH72">
        <f ca="1">IFERROR(IF(0=LEN(ReferenceData!$BH$72),"",ReferenceData!$BH$72),"")</f>
        <v>283.40199999999999</v>
      </c>
      <c r="BI72">
        <f ca="1">IFERROR(IF(0=LEN(ReferenceData!$BI$72),"",ReferenceData!$BI$72),"")</f>
        <v>304.81900000000002</v>
      </c>
      <c r="BJ72">
        <f ca="1">IFERROR(IF(0=LEN(ReferenceData!$BJ$72),"",ReferenceData!$BJ$72),"")</f>
        <v>310.33</v>
      </c>
      <c r="BK72">
        <f ca="1">IFERROR(IF(0=LEN(ReferenceData!$BK$72),"",ReferenceData!$BK$72),"")</f>
        <v>364.25299999999999</v>
      </c>
      <c r="BL72">
        <f ca="1">IFERROR(IF(0=LEN(ReferenceData!$BL$72),"",ReferenceData!$BL$72),"")</f>
        <v>283.99</v>
      </c>
      <c r="BM72">
        <f ca="1">IFERROR(IF(0=LEN(ReferenceData!$BM$72),"",ReferenceData!$BM$72),"")</f>
        <v>377.65300000000002</v>
      </c>
    </row>
    <row r="73" spans="1:65">
      <c r="A73" t="str">
        <f>IFERROR(IF(0=LEN(ReferenceData!$A$73),"",ReferenceData!$A$73),"")</f>
        <v xml:space="preserve">    Lodging/Resort REITs</v>
      </c>
      <c r="B73" t="str">
        <f>IFERROR(IF(0=LEN(ReferenceData!$B$73),"",ReferenceData!$B$73),"")</f>
        <v>RECFTDLR Index</v>
      </c>
      <c r="C73" t="str">
        <f>IFERROR(IF(0=LEN(ReferenceData!$C$73),"",ReferenceData!$C$73),"")</f>
        <v>PR005</v>
      </c>
      <c r="D73" t="str">
        <f>IFERROR(IF(0=LEN(ReferenceData!$D$73),"",ReferenceData!$D$73),"")</f>
        <v>PX_LAST</v>
      </c>
      <c r="E73" t="str">
        <f>IFERROR(IF(0=LEN(ReferenceData!$E$73),"",ReferenceData!$E$73),"")</f>
        <v>动态</v>
      </c>
      <c r="F73">
        <f ca="1">IFERROR(IF(0=LEN(ReferenceData!$F$73),"",ReferenceData!$F$73),"")</f>
        <v>790.37087220000001</v>
      </c>
      <c r="G73">
        <f ca="1">IFERROR(IF(0=LEN(ReferenceData!$G$73),"",ReferenceData!$G$73),"")</f>
        <v>802.86800000000005</v>
      </c>
      <c r="H73">
        <f ca="1">IFERROR(IF(0=LEN(ReferenceData!$H$73),"",ReferenceData!$H$73),"")</f>
        <v>766.62699999999995</v>
      </c>
      <c r="I73">
        <f ca="1">IFERROR(IF(0=LEN(ReferenceData!$I$73),"",ReferenceData!$I$73),"")</f>
        <v>935.26300000000003</v>
      </c>
      <c r="J73">
        <f ca="1">IFERROR(IF(0=LEN(ReferenceData!$J$73),"",ReferenceData!$J$73),"")</f>
        <v>666.01400000000001</v>
      </c>
      <c r="K73">
        <f ca="1">IFERROR(IF(0=LEN(ReferenceData!$K$73),"",ReferenceData!$K$73),"")</f>
        <v>647.79200000000003</v>
      </c>
      <c r="L73">
        <f ca="1">IFERROR(IF(0=LEN(ReferenceData!$L$73),"",ReferenceData!$L$73),"")</f>
        <v>640.11</v>
      </c>
      <c r="M73">
        <f ca="1">IFERROR(IF(0=LEN(ReferenceData!$M$73),"",ReferenceData!$M$73),"")</f>
        <v>805.75699999999995</v>
      </c>
      <c r="N73">
        <f ca="1">IFERROR(IF(0=LEN(ReferenceData!$N$73),"",ReferenceData!$N$73),"")</f>
        <v>654.49699999999996</v>
      </c>
      <c r="O73">
        <f ca="1">IFERROR(IF(0=LEN(ReferenceData!$O$73),"",ReferenceData!$O$73),"")</f>
        <v>627.63900000000001</v>
      </c>
      <c r="P73">
        <f ca="1">IFERROR(IF(0=LEN(ReferenceData!$P$73),"",ReferenceData!$P$73),"")</f>
        <v>628.01700000000005</v>
      </c>
      <c r="Q73">
        <f ca="1">IFERROR(IF(0=LEN(ReferenceData!$Q$73),"",ReferenceData!$Q$73),"")</f>
        <v>626.87900000000002</v>
      </c>
      <c r="R73">
        <f ca="1">IFERROR(IF(0=LEN(ReferenceData!$R$73),"",ReferenceData!$R$73),"")</f>
        <v>502.03699999999998</v>
      </c>
      <c r="S73">
        <f ca="1">IFERROR(IF(0=LEN(ReferenceData!$S$73),"",ReferenceData!$S$73),"")</f>
        <v>448.92200000000003</v>
      </c>
      <c r="T73">
        <f ca="1">IFERROR(IF(0=LEN(ReferenceData!$T$73),"",ReferenceData!$T$73),"")</f>
        <v>435.70299999999997</v>
      </c>
      <c r="U73">
        <f ca="1">IFERROR(IF(0=LEN(ReferenceData!$U$73),"",ReferenceData!$U$73),"")</f>
        <v>401.642</v>
      </c>
      <c r="V73">
        <f ca="1">IFERROR(IF(0=LEN(ReferenceData!$V$73),"",ReferenceData!$V$73),"")</f>
        <v>394.79399999999998</v>
      </c>
      <c r="W73">
        <f ca="1">IFERROR(IF(0=LEN(ReferenceData!$W$73),"",ReferenceData!$W$73),"")</f>
        <v>359.00299999999999</v>
      </c>
      <c r="X73">
        <f ca="1">IFERROR(IF(0=LEN(ReferenceData!$X$73),"",ReferenceData!$X$73),"")</f>
        <v>348.40300000000002</v>
      </c>
      <c r="Y73">
        <f ca="1">IFERROR(IF(0=LEN(ReferenceData!$Y$73),"",ReferenceData!$Y$73),"")</f>
        <v>301.17599999999999</v>
      </c>
      <c r="Z73">
        <f ca="1">IFERROR(IF(0=LEN(ReferenceData!$Z$73),"",ReferenceData!$Z$73),"")</f>
        <v>412.69499999999999</v>
      </c>
      <c r="AA73">
        <f ca="1">IFERROR(IF(0=LEN(ReferenceData!$AA$73),"",ReferenceData!$AA$73),"")</f>
        <v>237.983</v>
      </c>
      <c r="AB73">
        <f ca="1">IFERROR(IF(0=LEN(ReferenceData!$AB$73),"",ReferenceData!$AB$73),"")</f>
        <v>339.96499999999997</v>
      </c>
      <c r="AC73">
        <f ca="1">IFERROR(IF(0=LEN(ReferenceData!$AC$73),"",ReferenceData!$AC$73),"")</f>
        <v>224.09100000000001</v>
      </c>
      <c r="AD73">
        <f ca="1">IFERROR(IF(0=LEN(ReferenceData!$AD$73),"",ReferenceData!$AD$73),"")</f>
        <v>211.251</v>
      </c>
      <c r="AE73">
        <f ca="1">IFERROR(IF(0=LEN(ReferenceData!$AE$73),"",ReferenceData!$AE$73),"")</f>
        <v>190.999</v>
      </c>
      <c r="AF73">
        <f ca="1">IFERROR(IF(0=LEN(ReferenceData!$AF$73),"",ReferenceData!$AF$73),"")</f>
        <v>169.44399999999999</v>
      </c>
      <c r="AG73">
        <f ca="1">IFERROR(IF(0=LEN(ReferenceData!$AG$73),"",ReferenceData!$AG$73),"")</f>
        <v>137.959</v>
      </c>
      <c r="AH73">
        <f ca="1">IFERROR(IF(0=LEN(ReferenceData!$AH$73),"",ReferenceData!$AH$73),"")</f>
        <v>112.85</v>
      </c>
      <c r="AI73">
        <f ca="1">IFERROR(IF(0=LEN(ReferenceData!$AI$73),"",ReferenceData!$AI$73),"")</f>
        <v>97.86</v>
      </c>
      <c r="AJ73">
        <f ca="1">IFERROR(IF(0=LEN(ReferenceData!$AJ$73),"",ReferenceData!$AJ$73),"")</f>
        <v>103.488</v>
      </c>
      <c r="AK73">
        <f ca="1">IFERROR(IF(0=LEN(ReferenceData!$AK$73),"",ReferenceData!$AK$73),"")</f>
        <v>94.126999999999995</v>
      </c>
      <c r="AL73">
        <f ca="1">IFERROR(IF(0=LEN(ReferenceData!$AL$73),"",ReferenceData!$AL$73),"")</f>
        <v>49.898000000000003</v>
      </c>
      <c r="AM73">
        <f ca="1">IFERROR(IF(0=LEN(ReferenceData!$AM$73),"",ReferenceData!$AM$73),"")</f>
        <v>37.274000000000001</v>
      </c>
      <c r="AN73">
        <f ca="1">IFERROR(IF(0=LEN(ReferenceData!$AN$73),"",ReferenceData!$AN$73),"")</f>
        <v>42.585000000000001</v>
      </c>
      <c r="AO73">
        <f ca="1">IFERROR(IF(0=LEN(ReferenceData!$AO$73),"",ReferenceData!$AO$73),"")</f>
        <v>162.733</v>
      </c>
      <c r="AP73">
        <f ca="1">IFERROR(IF(0=LEN(ReferenceData!$AP$73),"",ReferenceData!$AP$73),"")</f>
        <v>354.80500000000001</v>
      </c>
      <c r="AQ73">
        <f ca="1">IFERROR(IF(0=LEN(ReferenceData!$AQ$73),"",ReferenceData!$AQ$73),"")</f>
        <v>384.61700000000002</v>
      </c>
      <c r="AR73">
        <f ca="1">IFERROR(IF(0=LEN(ReferenceData!$AR$73),"",ReferenceData!$AR$73),"")</f>
        <v>385.447</v>
      </c>
      <c r="AS73">
        <f ca="1">IFERROR(IF(0=LEN(ReferenceData!$AS$73),"",ReferenceData!$AS$73),"")</f>
        <v>486.00700000000001</v>
      </c>
      <c r="AT73">
        <f ca="1">IFERROR(IF(0=LEN(ReferenceData!$AT$73),"",ReferenceData!$AT$73),"")</f>
        <v>436.77050000000003</v>
      </c>
      <c r="AU73">
        <f ca="1">IFERROR(IF(0=LEN(ReferenceData!$AU$73),"",ReferenceData!$AU$73),"")</f>
        <v>368.09500000000003</v>
      </c>
      <c r="AV73">
        <f ca="1">IFERROR(IF(0=LEN(ReferenceData!$AV$73),"",ReferenceData!$AV$73),"")</f>
        <v>382.74700000000001</v>
      </c>
      <c r="AW73">
        <f ca="1">IFERROR(IF(0=LEN(ReferenceData!$AW$73),"",ReferenceData!$AW$73),"")</f>
        <v>530.70600000000002</v>
      </c>
      <c r="AX73">
        <f ca="1">IFERROR(IF(0=LEN(ReferenceData!$AX$73),"",ReferenceData!$AX$73),"")</f>
        <v>363.822</v>
      </c>
      <c r="AY73">
        <f ca="1">IFERROR(IF(0=LEN(ReferenceData!$AY$73),"",ReferenceData!$AY$73),"")</f>
        <v>346.47500000000002</v>
      </c>
      <c r="AZ73">
        <f ca="1">IFERROR(IF(0=LEN(ReferenceData!$AZ$73),"",ReferenceData!$AZ$73),"")</f>
        <v>289.399</v>
      </c>
      <c r="BA73">
        <f ca="1">IFERROR(IF(0=LEN(ReferenceData!$BA$73),"",ReferenceData!$BA$73),"")</f>
        <v>243.273</v>
      </c>
      <c r="BB73">
        <f ca="1">IFERROR(IF(0=LEN(ReferenceData!$BB$73),"",ReferenceData!$BB$73),"")</f>
        <v>244.30099999999999</v>
      </c>
      <c r="BC73">
        <f ca="1">IFERROR(IF(0=LEN(ReferenceData!$BC$73),"",ReferenceData!$BC$73),"")</f>
        <v>214.143</v>
      </c>
      <c r="BD73">
        <f ca="1">IFERROR(IF(0=LEN(ReferenceData!$BD$73),"",ReferenceData!$BD$73),"")</f>
        <v>187.965</v>
      </c>
      <c r="BE73">
        <f ca="1">IFERROR(IF(0=LEN(ReferenceData!$BE$73),"",ReferenceData!$BE$73),"")</f>
        <v>146.61199999999999</v>
      </c>
      <c r="BF73">
        <f ca="1">IFERROR(IF(0=LEN(ReferenceData!$BF$73),"",ReferenceData!$BF$73),"")</f>
        <v>145.07300000000001</v>
      </c>
      <c r="BG73">
        <f ca="1">IFERROR(IF(0=LEN(ReferenceData!$BG$73),"",ReferenceData!$BG$73),"")</f>
        <v>135.13300000000001</v>
      </c>
      <c r="BH73">
        <f ca="1">IFERROR(IF(0=LEN(ReferenceData!$BH$73),"",ReferenceData!$BH$73),"")</f>
        <v>106.613</v>
      </c>
      <c r="BI73">
        <f ca="1">IFERROR(IF(0=LEN(ReferenceData!$BI$73),"",ReferenceData!$BI$73),"")</f>
        <v>102.223</v>
      </c>
      <c r="BJ73">
        <f ca="1">IFERROR(IF(0=LEN(ReferenceData!$BJ$73),"",ReferenceData!$BJ$73),"")</f>
        <v>96.373500000000007</v>
      </c>
      <c r="BK73">
        <f ca="1">IFERROR(IF(0=LEN(ReferenceData!$BK$73),"",ReferenceData!$BK$73),"")</f>
        <v>97.73</v>
      </c>
      <c r="BL73">
        <f ca="1">IFERROR(IF(0=LEN(ReferenceData!$BL$73),"",ReferenceData!$BL$73),"")</f>
        <v>109.09</v>
      </c>
      <c r="BM73">
        <f ca="1">IFERROR(IF(0=LEN(ReferenceData!$BM$73),"",ReferenceData!$BM$73),"")</f>
        <v>126.88500000000001</v>
      </c>
    </row>
    <row r="74" spans="1:65">
      <c r="A74" t="str">
        <f>IFERROR(IF(0=LEN(ReferenceData!$A$74),"",ReferenceData!$A$74),"")</f>
        <v xml:space="preserve">    Self Storage REITs</v>
      </c>
      <c r="B74" t="str">
        <f>IFERROR(IF(0=LEN(ReferenceData!$B$74),"",ReferenceData!$B$74),"")</f>
        <v>RECFTDSS Index</v>
      </c>
      <c r="C74" t="str">
        <f>IFERROR(IF(0=LEN(ReferenceData!$C$74),"",ReferenceData!$C$74),"")</f>
        <v>PR005</v>
      </c>
      <c r="D74" t="str">
        <f>IFERROR(IF(0=LEN(ReferenceData!$D$74),"",ReferenceData!$D$74),"")</f>
        <v>PX_LAST</v>
      </c>
      <c r="E74" t="str">
        <f>IFERROR(IF(0=LEN(ReferenceData!$E$74),"",ReferenceData!$E$74),"")</f>
        <v>动态</v>
      </c>
      <c r="F74">
        <f ca="1">IFERROR(IF(0=LEN(ReferenceData!$F$74),"",ReferenceData!$F$74),"")</f>
        <v>654.13105729999995</v>
      </c>
      <c r="G74">
        <f ca="1">IFERROR(IF(0=LEN(ReferenceData!$G$74),"",ReferenceData!$G$74),"")</f>
        <v>640.63400000000001</v>
      </c>
      <c r="H74">
        <f ca="1">IFERROR(IF(0=LEN(ReferenceData!$H$74),"",ReferenceData!$H$74),"")</f>
        <v>639.41600000000005</v>
      </c>
      <c r="I74">
        <f ca="1">IFERROR(IF(0=LEN(ReferenceData!$I$74),"",ReferenceData!$I$74),"")</f>
        <v>634.57000000000005</v>
      </c>
      <c r="J74">
        <f ca="1">IFERROR(IF(0=LEN(ReferenceData!$J$74),"",ReferenceData!$J$74),"")</f>
        <v>635.93399999999997</v>
      </c>
      <c r="K74">
        <f ca="1">IFERROR(IF(0=LEN(ReferenceData!$K$74),"",ReferenceData!$K$74),"")</f>
        <v>581.875</v>
      </c>
      <c r="L74">
        <f ca="1">IFERROR(IF(0=LEN(ReferenceData!$L$74),"",ReferenceData!$L$74),"")</f>
        <v>574.08000000000004</v>
      </c>
      <c r="M74">
        <f ca="1">IFERROR(IF(0=LEN(ReferenceData!$M$74),"",ReferenceData!$M$74),"")</f>
        <v>522.75699999999995</v>
      </c>
      <c r="N74">
        <f ca="1">IFERROR(IF(0=LEN(ReferenceData!$N$74),"",ReferenceData!$N$74),"")</f>
        <v>522.06500000000005</v>
      </c>
      <c r="O74">
        <f ca="1">IFERROR(IF(0=LEN(ReferenceData!$O$74),"",ReferenceData!$O$74),"")</f>
        <v>505.27300000000002</v>
      </c>
      <c r="P74">
        <f ca="1">IFERROR(IF(0=LEN(ReferenceData!$P$74),"",ReferenceData!$P$74),"")</f>
        <v>496.13200000000001</v>
      </c>
      <c r="Q74">
        <f ca="1">IFERROR(IF(0=LEN(ReferenceData!$Q$74),"",ReferenceData!$Q$74),"")</f>
        <v>421.27600000000001</v>
      </c>
      <c r="R74">
        <f ca="1">IFERROR(IF(0=LEN(ReferenceData!$R$74),"",ReferenceData!$R$74),"")</f>
        <v>409.541</v>
      </c>
      <c r="S74">
        <f ca="1">IFERROR(IF(0=LEN(ReferenceData!$S$74),"",ReferenceData!$S$74),"")</f>
        <v>407.82600000000002</v>
      </c>
      <c r="T74">
        <f ca="1">IFERROR(IF(0=LEN(ReferenceData!$T$74),"",ReferenceData!$T$74),"")</f>
        <v>403.66500000000002</v>
      </c>
      <c r="U74">
        <f ca="1">IFERROR(IF(0=LEN(ReferenceData!$U$74),"",ReferenceData!$U$74),"")</f>
        <v>388.81799999999998</v>
      </c>
      <c r="V74">
        <f ca="1">IFERROR(IF(0=LEN(ReferenceData!$V$74),"",ReferenceData!$V$74),"")</f>
        <v>379.137</v>
      </c>
      <c r="W74">
        <f ca="1">IFERROR(IF(0=LEN(ReferenceData!$W$74),"",ReferenceData!$W$74),"")</f>
        <v>350.44600000000003</v>
      </c>
      <c r="X74">
        <f ca="1">IFERROR(IF(0=LEN(ReferenceData!$X$74),"",ReferenceData!$X$74),"")</f>
        <v>347.93799999999999</v>
      </c>
      <c r="Y74">
        <f ca="1">IFERROR(IF(0=LEN(ReferenceData!$Y$74),"",ReferenceData!$Y$74),"")</f>
        <v>326.67399999999998</v>
      </c>
      <c r="Z74">
        <f ca="1">IFERROR(IF(0=LEN(ReferenceData!$Z$74),"",ReferenceData!$Z$74),"")</f>
        <v>500.94799999999998</v>
      </c>
      <c r="AA74">
        <f ca="1">IFERROR(IF(0=LEN(ReferenceData!$AA$74),"",ReferenceData!$AA$74),"")</f>
        <v>287.74200000000002</v>
      </c>
      <c r="AB74">
        <f ca="1">IFERROR(IF(0=LEN(ReferenceData!$AB$74),"",ReferenceData!$AB$74),"")</f>
        <v>290.37200000000001</v>
      </c>
      <c r="AC74">
        <f ca="1">IFERROR(IF(0=LEN(ReferenceData!$AC$74),"",ReferenceData!$AC$74),"")</f>
        <v>291.96199999999999</v>
      </c>
      <c r="AD74">
        <f ca="1">IFERROR(IF(0=LEN(ReferenceData!$AD$74),"",ReferenceData!$AD$74),"")</f>
        <v>252.453</v>
      </c>
      <c r="AE74">
        <f ca="1">IFERROR(IF(0=LEN(ReferenceData!$AE$74),"",ReferenceData!$AE$74),"")</f>
        <v>259.99400000000003</v>
      </c>
      <c r="AF74">
        <f ca="1">IFERROR(IF(0=LEN(ReferenceData!$AF$74),"",ReferenceData!$AF$74),"")</f>
        <v>259.99200000000002</v>
      </c>
      <c r="AG74">
        <f ca="1">IFERROR(IF(0=LEN(ReferenceData!$AG$74),"",ReferenceData!$AG$74),"")</f>
        <v>233.12200000000001</v>
      </c>
      <c r="AH74">
        <f ca="1">IFERROR(IF(0=LEN(ReferenceData!$AH$74),"",ReferenceData!$AH$74),"")</f>
        <v>227.084</v>
      </c>
      <c r="AI74">
        <f ca="1">IFERROR(IF(0=LEN(ReferenceData!$AI$74),"",ReferenceData!$AI$74),"")</f>
        <v>226.69399999999999</v>
      </c>
      <c r="AJ74">
        <f ca="1">IFERROR(IF(0=LEN(ReferenceData!$AJ$74),"",ReferenceData!$AJ$74),"")</f>
        <v>227.315</v>
      </c>
      <c r="AK74">
        <f ca="1">IFERROR(IF(0=LEN(ReferenceData!$AK$74),"",ReferenceData!$AK$74),"")</f>
        <v>206.83500000000001</v>
      </c>
      <c r="AL74">
        <f ca="1">IFERROR(IF(0=LEN(ReferenceData!$AL$74),"",ReferenceData!$AL$74),"")</f>
        <v>193.95400000000001</v>
      </c>
      <c r="AM74">
        <f ca="1">IFERROR(IF(0=LEN(ReferenceData!$AM$74),"",ReferenceData!$AM$74),"")</f>
        <v>176.75800000000001</v>
      </c>
      <c r="AN74">
        <f ca="1">IFERROR(IF(0=LEN(ReferenceData!$AN$74),"",ReferenceData!$AN$74),"")</f>
        <v>179.322</v>
      </c>
      <c r="AO74">
        <f ca="1">IFERROR(IF(0=LEN(ReferenceData!$AO$74),"",ReferenceData!$AO$74),"")</f>
        <v>205.12799999999999</v>
      </c>
      <c r="AP74">
        <f ca="1">IFERROR(IF(0=LEN(ReferenceData!$AP$74),"",ReferenceData!$AP$74),"")</f>
        <v>318.69400000000002</v>
      </c>
      <c r="AQ74">
        <f ca="1">IFERROR(IF(0=LEN(ReferenceData!$AQ$74),"",ReferenceData!$AQ$74),"")</f>
        <v>217.142</v>
      </c>
      <c r="AR74">
        <f ca="1">IFERROR(IF(0=LEN(ReferenceData!$AR$74),"",ReferenceData!$AR$74),"")</f>
        <v>216.928</v>
      </c>
      <c r="AS74">
        <f ca="1">IFERROR(IF(0=LEN(ReferenceData!$AS$74),"",ReferenceData!$AS$74),"")</f>
        <v>213.399</v>
      </c>
      <c r="AT74">
        <f ca="1">IFERROR(IF(0=LEN(ReferenceData!$AT$74),"",ReferenceData!$AT$74),"")</f>
        <v>207.358</v>
      </c>
      <c r="AU74">
        <f ca="1">IFERROR(IF(0=LEN(ReferenceData!$AU$74),"",ReferenceData!$AU$74),"")</f>
        <v>210.69800000000001</v>
      </c>
      <c r="AV74">
        <f ca="1">IFERROR(IF(0=LEN(ReferenceData!$AV$74),"",ReferenceData!$AV$74),"")</f>
        <v>205.86600000000001</v>
      </c>
      <c r="AW74">
        <f ca="1">IFERROR(IF(0=LEN(ReferenceData!$AW$74),"",ReferenceData!$AW$74),"")</f>
        <v>207.77699999999999</v>
      </c>
      <c r="AX74">
        <f ca="1">IFERROR(IF(0=LEN(ReferenceData!$AX$74),"",ReferenceData!$AX$74),"")</f>
        <v>202.13650000000001</v>
      </c>
      <c r="AY74">
        <f ca="1">IFERROR(IF(0=LEN(ReferenceData!$AY$74),"",ReferenceData!$AY$74),"")</f>
        <v>202.58600000000001</v>
      </c>
      <c r="AZ74">
        <f ca="1">IFERROR(IF(0=LEN(ReferenceData!$AZ$74),"",ReferenceData!$AZ$74),"")</f>
        <v>204.70400000000001</v>
      </c>
      <c r="BA74">
        <f ca="1">IFERROR(IF(0=LEN(ReferenceData!$BA$74),"",ReferenceData!$BA$74),"")</f>
        <v>200.20400000000001</v>
      </c>
      <c r="BB74">
        <f ca="1">IFERROR(IF(0=LEN(ReferenceData!$BB$74),"",ReferenceData!$BB$74),"")</f>
        <v>198.97800000000001</v>
      </c>
      <c r="BC74">
        <f ca="1">IFERROR(IF(0=LEN(ReferenceData!$BC$74),"",ReferenceData!$BC$74),"")</f>
        <v>178.524</v>
      </c>
      <c r="BD74">
        <f ca="1">IFERROR(IF(0=LEN(ReferenceData!$BD$74),"",ReferenceData!$BD$74),"")</f>
        <v>174.31399999999999</v>
      </c>
      <c r="BE74">
        <f ca="1">IFERROR(IF(0=LEN(ReferenceData!$BE$74),"",ReferenceData!$BE$74),"")</f>
        <v>170.024</v>
      </c>
      <c r="BF74">
        <f ca="1">IFERROR(IF(0=LEN(ReferenceData!$BF$74),"",ReferenceData!$BF$74),"")</f>
        <v>164.57</v>
      </c>
      <c r="BG74">
        <f ca="1">IFERROR(IF(0=LEN(ReferenceData!$BG$74),"",ReferenceData!$BG$74),"")</f>
        <v>156.09299999999999</v>
      </c>
      <c r="BH74">
        <f ca="1">IFERROR(IF(0=LEN(ReferenceData!$BH$74),"",ReferenceData!$BH$74),"")</f>
        <v>153.88</v>
      </c>
      <c r="BI74">
        <f ca="1">IFERROR(IF(0=LEN(ReferenceData!$BI$74),"",ReferenceData!$BI$74),"")</f>
        <v>160.554</v>
      </c>
      <c r="BJ74">
        <f ca="1">IFERROR(IF(0=LEN(ReferenceData!$BJ$74),"",ReferenceData!$BJ$74),"")</f>
        <v>173.2175</v>
      </c>
      <c r="BK74">
        <f ca="1">IFERROR(IF(0=LEN(ReferenceData!$BK$74),"",ReferenceData!$BK$74),"")</f>
        <v>129.34899999999999</v>
      </c>
      <c r="BL74">
        <f ca="1">IFERROR(IF(0=LEN(ReferenceData!$BL$74),"",ReferenceData!$BL$74),"")</f>
        <v>143.29499999999999</v>
      </c>
      <c r="BM74">
        <f ca="1">IFERROR(IF(0=LEN(ReferenceData!$BM$74),"",ReferenceData!$BM$74),"")</f>
        <v>143.61799999999999</v>
      </c>
    </row>
    <row r="75" spans="1:65">
      <c r="A75" t="str">
        <f>IFERROR(IF(0=LEN(ReferenceData!$A$75),"",ReferenceData!$A$75),"")</f>
        <v xml:space="preserve">    Health Care REITs</v>
      </c>
      <c r="B75" t="str">
        <f>IFERROR(IF(0=LEN(ReferenceData!$B$75),"",ReferenceData!$B$75),"")</f>
        <v>RECFTDHC Index</v>
      </c>
      <c r="C75" t="str">
        <f>IFERROR(IF(0=LEN(ReferenceData!$C$75),"",ReferenceData!$C$75),"")</f>
        <v>PR005</v>
      </c>
      <c r="D75" t="str">
        <f>IFERROR(IF(0=LEN(ReferenceData!$D$75),"",ReferenceData!$D$75),"")</f>
        <v>PX_LAST</v>
      </c>
      <c r="E75" t="str">
        <f>IFERROR(IF(0=LEN(ReferenceData!$E$75),"",ReferenceData!$E$75),"")</f>
        <v>动态</v>
      </c>
      <c r="F75">
        <f ca="1">IFERROR(IF(0=LEN(ReferenceData!$F$75),"",ReferenceData!$F$75),"")</f>
        <v>1228.3517750000001</v>
      </c>
      <c r="G75">
        <f ca="1">IFERROR(IF(0=LEN(ReferenceData!$G$75),"",ReferenceData!$G$75),"")</f>
        <v>1422.9690000000001</v>
      </c>
      <c r="H75">
        <f ca="1">IFERROR(IF(0=LEN(ReferenceData!$H$75),"",ReferenceData!$H$75),"")</f>
        <v>1440.0360000000001</v>
      </c>
      <c r="I75">
        <f ca="1">IFERROR(IF(0=LEN(ReferenceData!$I$75),"",ReferenceData!$I$75),"")</f>
        <v>1464.155</v>
      </c>
      <c r="J75">
        <f ca="1">IFERROR(IF(0=LEN(ReferenceData!$J$75),"",ReferenceData!$J$75),"")</f>
        <v>1370.623</v>
      </c>
      <c r="K75">
        <f ca="1">IFERROR(IF(0=LEN(ReferenceData!$K$75),"",ReferenceData!$K$75),"")</f>
        <v>1581.662</v>
      </c>
      <c r="L75">
        <f ca="1">IFERROR(IF(0=LEN(ReferenceData!$L$75),"",ReferenceData!$L$75),"")</f>
        <v>1475.89</v>
      </c>
      <c r="M75">
        <f ca="1">IFERROR(IF(0=LEN(ReferenceData!$M$75),"",ReferenceData!$M$75),"")</f>
        <v>1459.078</v>
      </c>
      <c r="N75">
        <f ca="1">IFERROR(IF(0=LEN(ReferenceData!$N$75),"",ReferenceData!$N$75),"")</f>
        <v>1370.3889999999999</v>
      </c>
      <c r="O75">
        <f ca="1">IFERROR(IF(0=LEN(ReferenceData!$O$75),"",ReferenceData!$O$75),"")</f>
        <v>2604.002</v>
      </c>
      <c r="P75">
        <f ca="1">IFERROR(IF(0=LEN(ReferenceData!$P$75),"",ReferenceData!$P$75),"")</f>
        <v>1271.2</v>
      </c>
      <c r="Q75">
        <f ca="1">IFERROR(IF(0=LEN(ReferenceData!$Q$75),"",ReferenceData!$Q$75),"")</f>
        <v>1217.393</v>
      </c>
      <c r="R75">
        <f ca="1">IFERROR(IF(0=LEN(ReferenceData!$R$75),"",ReferenceData!$R$75),"")</f>
        <v>1315.288</v>
      </c>
      <c r="S75">
        <f ca="1">IFERROR(IF(0=LEN(ReferenceData!$S$75),"",ReferenceData!$S$75),"")</f>
        <v>1129.3430000000001</v>
      </c>
      <c r="T75">
        <f ca="1">IFERROR(IF(0=LEN(ReferenceData!$T$75),"",ReferenceData!$T$75),"")</f>
        <v>1095.135</v>
      </c>
      <c r="U75">
        <f ca="1">IFERROR(IF(0=LEN(ReferenceData!$U$75),"",ReferenceData!$U$75),"")</f>
        <v>1056.519</v>
      </c>
      <c r="V75">
        <f ca="1">IFERROR(IF(0=LEN(ReferenceData!$V$75),"",ReferenceData!$V$75),"")</f>
        <v>1014.44</v>
      </c>
      <c r="W75">
        <f ca="1">IFERROR(IF(0=LEN(ReferenceData!$W$75),"",ReferenceData!$W$75),"")</f>
        <v>964.14</v>
      </c>
      <c r="X75">
        <f ca="1">IFERROR(IF(0=LEN(ReferenceData!$X$75),"",ReferenceData!$X$75),"")</f>
        <v>933.06</v>
      </c>
      <c r="Y75">
        <f ca="1">IFERROR(IF(0=LEN(ReferenceData!$Y$75),"",ReferenceData!$Y$75),"")</f>
        <v>930.03200000000004</v>
      </c>
      <c r="Z75">
        <f ca="1">IFERROR(IF(0=LEN(ReferenceData!$Z$75),"",ReferenceData!$Z$75),"")</f>
        <v>870.87300000000005</v>
      </c>
      <c r="AA75">
        <f ca="1">IFERROR(IF(0=LEN(ReferenceData!$AA$75),"",ReferenceData!$AA$75),"")</f>
        <v>808.68200000000002</v>
      </c>
      <c r="AB75">
        <f ca="1">IFERROR(IF(0=LEN(ReferenceData!$AB$75),"",ReferenceData!$AB$75),"")</f>
        <v>794.529</v>
      </c>
      <c r="AC75">
        <f ca="1">IFERROR(IF(0=LEN(ReferenceData!$AC$75),"",ReferenceData!$AC$75),"")</f>
        <v>773.51499999999999</v>
      </c>
      <c r="AD75">
        <f ca="1">IFERROR(IF(0=LEN(ReferenceData!$AD$75),"",ReferenceData!$AD$75),"")</f>
        <v>735.16700000000003</v>
      </c>
      <c r="AE75">
        <f ca="1">IFERROR(IF(0=LEN(ReferenceData!$AE$75),"",ReferenceData!$AE$75),"")</f>
        <v>714.14800000000002</v>
      </c>
      <c r="AF75">
        <f ca="1">IFERROR(IF(0=LEN(ReferenceData!$AF$75),"",ReferenceData!$AF$75),"")</f>
        <v>659.54100000000005</v>
      </c>
      <c r="AG75">
        <f ca="1">IFERROR(IF(0=LEN(ReferenceData!$AG$75),"",ReferenceData!$AG$75),"")</f>
        <v>642.13900000000001</v>
      </c>
      <c r="AH75">
        <f ca="1">IFERROR(IF(0=LEN(ReferenceData!$AH$75),"",ReferenceData!$AH$75),"")</f>
        <v>577.82399999999996</v>
      </c>
      <c r="AI75">
        <f ca="1">IFERROR(IF(0=LEN(ReferenceData!$AI$75),"",ReferenceData!$AI$75),"")</f>
        <v>559.15800000000002</v>
      </c>
      <c r="AJ75">
        <f ca="1">IFERROR(IF(0=LEN(ReferenceData!$AJ$75),"",ReferenceData!$AJ$75),"")</f>
        <v>533.08900000000006</v>
      </c>
      <c r="AK75">
        <f ca="1">IFERROR(IF(0=LEN(ReferenceData!$AK$75),"",ReferenceData!$AK$75),"")</f>
        <v>532.63699999999994</v>
      </c>
      <c r="AL75">
        <f ca="1">IFERROR(IF(0=LEN(ReferenceData!$AL$75),"",ReferenceData!$AL$75),"")</f>
        <v>521.96900000000005</v>
      </c>
      <c r="AM75">
        <f ca="1">IFERROR(IF(0=LEN(ReferenceData!$AM$75),"",ReferenceData!$AM$75),"")</f>
        <v>500.52800000000002</v>
      </c>
      <c r="AN75">
        <f ca="1">IFERROR(IF(0=LEN(ReferenceData!$AN$75),"",ReferenceData!$AN$75),"")</f>
        <v>489.798</v>
      </c>
      <c r="AO75">
        <f ca="1">IFERROR(IF(0=LEN(ReferenceData!$AO$75),"",ReferenceData!$AO$75),"")</f>
        <v>480.29700000000003</v>
      </c>
      <c r="AP75">
        <f ca="1">IFERROR(IF(0=LEN(ReferenceData!$AP$75),"",ReferenceData!$AP$75),"")</f>
        <v>489.45100000000002</v>
      </c>
      <c r="AQ75">
        <f ca="1">IFERROR(IF(0=LEN(ReferenceData!$AQ$75),"",ReferenceData!$AQ$75),"")</f>
        <v>478.40499999999997</v>
      </c>
      <c r="AR75">
        <f ca="1">IFERROR(IF(0=LEN(ReferenceData!$AR$75),"",ReferenceData!$AR$75),"")</f>
        <v>440.286</v>
      </c>
      <c r="AS75">
        <f ca="1">IFERROR(IF(0=LEN(ReferenceData!$AS$75),"",ReferenceData!$AS$75),"")</f>
        <v>441.69499999999999</v>
      </c>
      <c r="AT75">
        <f ca="1">IFERROR(IF(0=LEN(ReferenceData!$AT$75),"",ReferenceData!$AT$75),"")</f>
        <v>402.07299999999998</v>
      </c>
      <c r="AU75">
        <f ca="1">IFERROR(IF(0=LEN(ReferenceData!$AU$75),"",ReferenceData!$AU$75),"")</f>
        <v>389.69400000000002</v>
      </c>
      <c r="AV75">
        <f ca="1">IFERROR(IF(0=LEN(ReferenceData!$AV$75),"",ReferenceData!$AV$75),"")</f>
        <v>637.95100000000002</v>
      </c>
      <c r="AW75">
        <f ca="1">IFERROR(IF(0=LEN(ReferenceData!$AW$75),"",ReferenceData!$AW$75),"")</f>
        <v>400.22899999999998</v>
      </c>
      <c r="AX75">
        <f ca="1">IFERROR(IF(0=LEN(ReferenceData!$AX$75),"",ReferenceData!$AX$75),"")</f>
        <v>321.91899999999998</v>
      </c>
      <c r="AY75">
        <f ca="1">IFERROR(IF(0=LEN(ReferenceData!$AY$75),"",ReferenceData!$AY$75),"")</f>
        <v>307.988</v>
      </c>
      <c r="AZ75">
        <f ca="1">IFERROR(IF(0=LEN(ReferenceData!$AZ$75),"",ReferenceData!$AZ$75),"")</f>
        <v>311.89499999999998</v>
      </c>
      <c r="BA75">
        <f ca="1">IFERROR(IF(0=LEN(ReferenceData!$BA$75),"",ReferenceData!$BA$75),"")</f>
        <v>335.94</v>
      </c>
      <c r="BB75">
        <f ca="1">IFERROR(IF(0=LEN(ReferenceData!$BB$75),"",ReferenceData!$BB$75),"")</f>
        <v>288.06650000000002</v>
      </c>
      <c r="BC75">
        <f ca="1">IFERROR(IF(0=LEN(ReferenceData!$BC$75),"",ReferenceData!$BC$75),"")</f>
        <v>252.70599999999999</v>
      </c>
      <c r="BD75">
        <f ca="1">IFERROR(IF(0=LEN(ReferenceData!$BD$75),"",ReferenceData!$BD$75),"")</f>
        <v>293.92700000000002</v>
      </c>
      <c r="BE75">
        <f ca="1">IFERROR(IF(0=LEN(ReferenceData!$BE$75),"",ReferenceData!$BE$75),"")</f>
        <v>269.51400000000001</v>
      </c>
      <c r="BF75">
        <f ca="1">IFERROR(IF(0=LEN(ReferenceData!$BF$75),"",ReferenceData!$BF$75),"")</f>
        <v>239.85</v>
      </c>
      <c r="BG75">
        <f ca="1">IFERROR(IF(0=LEN(ReferenceData!$BG$75),"",ReferenceData!$BG$75),"")</f>
        <v>249.416</v>
      </c>
      <c r="BH75">
        <f ca="1">IFERROR(IF(0=LEN(ReferenceData!$BH$75),"",ReferenceData!$BH$75),"")</f>
        <v>237.69</v>
      </c>
      <c r="BI75">
        <f ca="1">IFERROR(IF(0=LEN(ReferenceData!$BI$75),"",ReferenceData!$BI$75),"")</f>
        <v>265.26400000000001</v>
      </c>
      <c r="BJ75">
        <f ca="1">IFERROR(IF(0=LEN(ReferenceData!$BJ$75),"",ReferenceData!$BJ$75),"")</f>
        <v>205.72300000000001</v>
      </c>
      <c r="BK75">
        <f ca="1">IFERROR(IF(0=LEN(ReferenceData!$BK$75),"",ReferenceData!$BK$75),"")</f>
        <v>257.55799999999999</v>
      </c>
      <c r="BL75">
        <f ca="1">IFERROR(IF(0=LEN(ReferenceData!$BL$75),"",ReferenceData!$BL$75),"")</f>
        <v>199.935</v>
      </c>
      <c r="BM75">
        <f ca="1">IFERROR(IF(0=LEN(ReferenceData!$BM$75),"",ReferenceData!$BM$75),"")</f>
        <v>212.97800000000001</v>
      </c>
    </row>
    <row r="76" spans="1:65">
      <c r="A76" t="str">
        <f>IFERROR(IF(0=LEN(ReferenceData!$A$76),"",ReferenceData!$A$76),"")</f>
        <v xml:space="preserve">    Timber REITs</v>
      </c>
      <c r="B76" t="str">
        <f>IFERROR(IF(0=LEN(ReferenceData!$B$76),"",ReferenceData!$B$76),"")</f>
        <v>RECFTDTR Index</v>
      </c>
      <c r="C76" t="str">
        <f>IFERROR(IF(0=LEN(ReferenceData!$C$76),"",ReferenceData!$C$76),"")</f>
        <v>PR005</v>
      </c>
      <c r="D76" t="str">
        <f>IFERROR(IF(0=LEN(ReferenceData!$D$76),"",ReferenceData!$D$76),"")</f>
        <v>PX_LAST</v>
      </c>
      <c r="E76" t="str">
        <f>IFERROR(IF(0=LEN(ReferenceData!$E$76),"",ReferenceData!$E$76),"")</f>
        <v>动态</v>
      </c>
      <c r="F76">
        <f ca="1">IFERROR(IF(0=LEN(ReferenceData!$F$76),"",ReferenceData!$F$76),"")</f>
        <v>296.10899999999998</v>
      </c>
      <c r="G76">
        <f ca="1">IFERROR(IF(0=LEN(ReferenceData!$G$76),"",ReferenceData!$G$76),"")</f>
        <v>285.59399999999999</v>
      </c>
      <c r="H76">
        <f ca="1">IFERROR(IF(0=LEN(ReferenceData!$H$76),"",ReferenceData!$H$76),"")</f>
        <v>285.61700000000002</v>
      </c>
      <c r="I76">
        <f ca="1">IFERROR(IF(0=LEN(ReferenceData!$I$76),"",ReferenceData!$I$76),"")</f>
        <v>284.029</v>
      </c>
      <c r="J76">
        <f ca="1">IFERROR(IF(0=LEN(ReferenceData!$J$76),"",ReferenceData!$J$76),"")</f>
        <v>283.137</v>
      </c>
      <c r="K76">
        <f ca="1">IFERROR(IF(0=LEN(ReferenceData!$K$76),"",ReferenceData!$K$76),"")</f>
        <v>293.07100000000003</v>
      </c>
      <c r="L76">
        <f ca="1">IFERROR(IF(0=LEN(ReferenceData!$L$76),"",ReferenceData!$L$76),"")</f>
        <v>290.11700000000002</v>
      </c>
      <c r="M76">
        <f ca="1">IFERROR(IF(0=LEN(ReferenceData!$M$76),"",ReferenceData!$M$76),"")</f>
        <v>291.74400000000003</v>
      </c>
      <c r="N76">
        <f ca="1">IFERROR(IF(0=LEN(ReferenceData!$N$76),"",ReferenceData!$N$76),"")</f>
        <v>307.75900000000001</v>
      </c>
      <c r="O76">
        <f ca="1">IFERROR(IF(0=LEN(ReferenceData!$O$76),"",ReferenceData!$O$76),"")</f>
        <v>298.017</v>
      </c>
      <c r="P76">
        <f ca="1">IFERROR(IF(0=LEN(ReferenceData!$P$76),"",ReferenceData!$P$76),"")</f>
        <v>289.928</v>
      </c>
      <c r="Q76">
        <f ca="1">IFERROR(IF(0=LEN(ReferenceData!$Q$76),"",ReferenceData!$Q$76),"")</f>
        <v>280.839</v>
      </c>
      <c r="R76">
        <f ca="1">IFERROR(IF(0=LEN(ReferenceData!$R$76),"",ReferenceData!$R$76),"")</f>
        <v>303.78800000000001</v>
      </c>
      <c r="S76">
        <f ca="1">IFERROR(IF(0=LEN(ReferenceData!$S$76),"",ReferenceData!$S$76),"")</f>
        <v>363.37700000000001</v>
      </c>
      <c r="T76">
        <f ca="1">IFERROR(IF(0=LEN(ReferenceData!$T$76),"",ReferenceData!$T$76),"")</f>
        <v>296.03800000000001</v>
      </c>
      <c r="U76">
        <f ca="1">IFERROR(IF(0=LEN(ReferenceData!$U$76),"",ReferenceData!$U$76),"")</f>
        <v>286.49799999999999</v>
      </c>
      <c r="V76">
        <f ca="1">IFERROR(IF(0=LEN(ReferenceData!$V$76),"",ReferenceData!$V$76),"")</f>
        <v>316.69299999999998</v>
      </c>
      <c r="W76">
        <f ca="1">IFERROR(IF(0=LEN(ReferenceData!$W$76),"",ReferenceData!$W$76),"")</f>
        <v>274.42200000000003</v>
      </c>
      <c r="X76">
        <f ca="1">IFERROR(IF(0=LEN(ReferenceData!$X$76),"",ReferenceData!$X$76),"")</f>
        <v>249.041</v>
      </c>
      <c r="Y76">
        <f ca="1">IFERROR(IF(0=LEN(ReferenceData!$Y$76),"",ReferenceData!$Y$76),"")</f>
        <v>231.29599999999999</v>
      </c>
      <c r="Z76">
        <f ca="1">IFERROR(IF(0=LEN(ReferenceData!$Z$76),"",ReferenceData!$Z$76),"")</f>
        <v>226.74600000000001</v>
      </c>
      <c r="AA76">
        <f ca="1">IFERROR(IF(0=LEN(ReferenceData!$AA$76),"",ReferenceData!$AA$76),"")</f>
        <v>215.67099999999999</v>
      </c>
      <c r="AB76">
        <f ca="1">IFERROR(IF(0=LEN(ReferenceData!$AB$76),"",ReferenceData!$AB$76),"")</f>
        <v>209.45500000000001</v>
      </c>
      <c r="AC76">
        <f ca="1">IFERROR(IF(0=LEN(ReferenceData!$AC$76),"",ReferenceData!$AC$76),"")</f>
        <v>210.75200000000001</v>
      </c>
      <c r="AD76">
        <f ca="1">IFERROR(IF(0=LEN(ReferenceData!$AD$76),"",ReferenceData!$AD$76),"")</f>
        <v>210.172</v>
      </c>
      <c r="AE76">
        <f ca="1">IFERROR(IF(0=LEN(ReferenceData!$AE$76),"",ReferenceData!$AE$76),"")</f>
        <v>218.18700000000001</v>
      </c>
      <c r="AF76">
        <f ca="1">IFERROR(IF(0=LEN(ReferenceData!$AF$76),"",ReferenceData!$AF$76),"")</f>
        <v>212.47200000000001</v>
      </c>
      <c r="AG76">
        <f ca="1">IFERROR(IF(0=LEN(ReferenceData!$AG$76),"",ReferenceData!$AG$76),"")</f>
        <v>213.36199999999999</v>
      </c>
      <c r="AH76">
        <f ca="1">IFERROR(IF(0=LEN(ReferenceData!$AH$76),"",ReferenceData!$AH$76),"")</f>
        <v>157.934</v>
      </c>
      <c r="AI76">
        <f ca="1">IFERROR(IF(0=LEN(ReferenceData!$AI$76),"",ReferenceData!$AI$76),"")</f>
        <v>129.56800000000001</v>
      </c>
      <c r="AJ76">
        <f ca="1">IFERROR(IF(0=LEN(ReferenceData!$AJ$76),"",ReferenceData!$AJ$76),"")</f>
        <v>128.47300000000001</v>
      </c>
      <c r="AK76">
        <f ca="1">IFERROR(IF(0=LEN(ReferenceData!$AK$76),"",ReferenceData!$AK$76),"")</f>
        <v>128.27600000000001</v>
      </c>
      <c r="AL76">
        <f ca="1">IFERROR(IF(0=LEN(ReferenceData!$AL$76),"",ReferenceData!$AL$76),"")</f>
        <v>127.989</v>
      </c>
      <c r="AM76">
        <f ca="1">IFERROR(IF(0=LEN(ReferenceData!$AM$76),"",ReferenceData!$AM$76),"")</f>
        <v>128.892</v>
      </c>
      <c r="AN76">
        <f ca="1">IFERROR(IF(0=LEN(ReferenceData!$AN$76),"",ReferenceData!$AN$76),"")</f>
        <v>128.78399999999999</v>
      </c>
      <c r="AO76">
        <f ca="1">IFERROR(IF(0=LEN(ReferenceData!$AO$76),"",ReferenceData!$AO$76),"")</f>
        <v>128.685</v>
      </c>
      <c r="AP76">
        <f ca="1">IFERROR(IF(0=LEN(ReferenceData!$AP$76),"",ReferenceData!$AP$76),"")</f>
        <v>129.608</v>
      </c>
      <c r="AQ76">
        <f ca="1">IFERROR(IF(0=LEN(ReferenceData!$AQ$76),"",ReferenceData!$AQ$76),"")</f>
        <v>131.44900000000001</v>
      </c>
      <c r="AR76">
        <f ca="1">IFERROR(IF(0=LEN(ReferenceData!$AR$76),"",ReferenceData!$AR$76),"")</f>
        <v>131.38</v>
      </c>
      <c r="AS76">
        <f ca="1">IFERROR(IF(0=LEN(ReferenceData!$AS$76),"",ReferenceData!$AS$76),"")</f>
        <v>131.215</v>
      </c>
      <c r="AT76">
        <f ca="1">IFERROR(IF(0=LEN(ReferenceData!$AT$76),"",ReferenceData!$AT$76),"")</f>
        <v>131.02449999999999</v>
      </c>
      <c r="AU76">
        <f ca="1">IFERROR(IF(0=LEN(ReferenceData!$AU$76),"",ReferenceData!$AU$76),"")</f>
        <v>131.07400000000001</v>
      </c>
      <c r="AV76">
        <f ca="1">IFERROR(IF(0=LEN(ReferenceData!$AV$76),"",ReferenceData!$AV$76),"")</f>
        <v>129.57300000000001</v>
      </c>
      <c r="AW76">
        <f ca="1">IFERROR(IF(0=LEN(ReferenceData!$AW$76),"",ReferenceData!$AW$76),"")</f>
        <v>130.41999999999999</v>
      </c>
      <c r="AX76">
        <f ca="1">IFERROR(IF(0=LEN(ReferenceData!$AX$76),"",ReferenceData!$AX$76),"")</f>
        <v>126.1435</v>
      </c>
      <c r="AY76">
        <f ca="1">IFERROR(IF(0=LEN(ReferenceData!$AY$76),"",ReferenceData!$AY$76),"")</f>
        <v>126.958</v>
      </c>
      <c r="AZ76">
        <f ca="1">IFERROR(IF(0=LEN(ReferenceData!$AZ$76),"",ReferenceData!$AZ$76),"")</f>
        <v>127.916</v>
      </c>
      <c r="BA76">
        <f ca="1">IFERROR(IF(0=LEN(ReferenceData!$BA$76),"",ReferenceData!$BA$76),"")</f>
        <v>218.05799999999999</v>
      </c>
      <c r="BB76">
        <f ca="1">IFERROR(IF(0=LEN(ReferenceData!$BB$76),"",ReferenceData!$BB$76),"")</f>
        <v>105.703</v>
      </c>
      <c r="BC76">
        <f ca="1">IFERROR(IF(0=LEN(ReferenceData!$BC$76),"",ReferenceData!$BC$76),"")</f>
        <v>100.301</v>
      </c>
      <c r="BD76">
        <f ca="1">IFERROR(IF(0=LEN(ReferenceData!$BD$76),"",ReferenceData!$BD$76),"")</f>
        <v>101.137</v>
      </c>
      <c r="BE76">
        <f ca="1">IFERROR(IF(0=LEN(ReferenceData!$BE$76),"",ReferenceData!$BE$76),"")</f>
        <v>101.108</v>
      </c>
      <c r="BF76">
        <f ca="1">IFERROR(IF(0=LEN(ReferenceData!$BF$76),"",ReferenceData!$BF$76),"")</f>
        <v>93.933999999999997</v>
      </c>
      <c r="BG76">
        <f ca="1">IFERROR(IF(0=LEN(ReferenceData!$BG$76),"",ReferenceData!$BG$76),"")</f>
        <v>93.873000000000005</v>
      </c>
      <c r="BH76">
        <f ca="1">IFERROR(IF(0=LEN(ReferenceData!$BH$76),"",ReferenceData!$BH$76),"")</f>
        <v>91.739000000000004</v>
      </c>
      <c r="BI76">
        <f ca="1">IFERROR(IF(0=LEN(ReferenceData!$BI$76),"",ReferenceData!$BI$76),"")</f>
        <v>91.650999999999996</v>
      </c>
      <c r="BJ76">
        <f ca="1">IFERROR(IF(0=LEN(ReferenceData!$BJ$76),"",ReferenceData!$BJ$76),"")</f>
        <v>64</v>
      </c>
      <c r="BK76">
        <f ca="1">IFERROR(IF(0=LEN(ReferenceData!$BK$76),"",ReferenceData!$BK$76),"")</f>
        <v>64</v>
      </c>
      <c r="BL76">
        <f ca="1">IFERROR(IF(0=LEN(ReferenceData!$BL$76),"",ReferenceData!$BL$76),"")</f>
        <v>64</v>
      </c>
      <c r="BM76">
        <f ca="1">IFERROR(IF(0=LEN(ReferenceData!$BM$76),"",ReferenceData!$BM$76),"")</f>
        <v>65</v>
      </c>
    </row>
    <row r="77" spans="1:65">
      <c r="A77" t="str">
        <f>IFERROR(IF(0=LEN(ReferenceData!$A$77),"",ReferenceData!$A$77),"")</f>
        <v xml:space="preserve">    Data Center REITs</v>
      </c>
      <c r="B77" t="str">
        <f>IFERROR(IF(0=LEN(ReferenceData!$B$77),"",ReferenceData!$B$77),"")</f>
        <v>RECFTDDC Index</v>
      </c>
      <c r="C77" t="str">
        <f>IFERROR(IF(0=LEN(ReferenceData!$C$77),"",ReferenceData!$C$77),"")</f>
        <v>PR005</v>
      </c>
      <c r="D77" t="str">
        <f>IFERROR(IF(0=LEN(ReferenceData!$D$77),"",ReferenceData!$D$77),"")</f>
        <v>PX_LAST</v>
      </c>
      <c r="E77" t="str">
        <f>IFERROR(IF(0=LEN(ReferenceData!$E$77),"",ReferenceData!$E$77),"")</f>
        <v>动态</v>
      </c>
      <c r="F77">
        <f ca="1">IFERROR(IF(0=LEN(ReferenceData!$F$77),"",ReferenceData!$F$77),"")</f>
        <v>482.53980530000001</v>
      </c>
      <c r="G77">
        <f ca="1">IFERROR(IF(0=LEN(ReferenceData!$G$77),"",ReferenceData!$G$77),"")</f>
        <v>477.81299999999999</v>
      </c>
      <c r="H77">
        <f ca="1">IFERROR(IF(0=LEN(ReferenceData!$H$77),"",ReferenceData!$H$77),"")</f>
        <v>470.27</v>
      </c>
      <c r="I77">
        <f ca="1">IFERROR(IF(0=LEN(ReferenceData!$I$77),"",ReferenceData!$I$77),"")</f>
        <v>601.63099999999997</v>
      </c>
      <c r="J77">
        <f ca="1">IFERROR(IF(0=LEN(ReferenceData!$J$77),"",ReferenceData!$J$77),"")</f>
        <v>266.31799999999998</v>
      </c>
      <c r="K77">
        <f ca="1">IFERROR(IF(0=LEN(ReferenceData!$K$77),"",ReferenceData!$K$77),"")</f>
        <v>404.536</v>
      </c>
      <c r="L77">
        <f ca="1">IFERROR(IF(0=LEN(ReferenceData!$L$77),"",ReferenceData!$L$77),"")</f>
        <v>402.05700000000002</v>
      </c>
      <c r="M77">
        <f ca="1">IFERROR(IF(0=LEN(ReferenceData!$M$77),"",ReferenceData!$M$77),"")</f>
        <v>516.21500000000003</v>
      </c>
      <c r="N77">
        <f ca="1">IFERROR(IF(0=LEN(ReferenceData!$N$77),"",ReferenceData!$N$77),"")</f>
        <v>354.952</v>
      </c>
      <c r="O77">
        <f ca="1">IFERROR(IF(0=LEN(ReferenceData!$O$77),"",ReferenceData!$O$77),"")</f>
        <v>336.87700000000001</v>
      </c>
      <c r="P77">
        <f ca="1">IFERROR(IF(0=LEN(ReferenceData!$P$77),"",ReferenceData!$P$77),"")</f>
        <v>328.98200000000003</v>
      </c>
      <c r="Q77">
        <f ca="1">IFERROR(IF(0=LEN(ReferenceData!$Q$77),"",ReferenceData!$Q$77),"")</f>
        <v>435.14600000000002</v>
      </c>
      <c r="R77">
        <f ca="1">IFERROR(IF(0=LEN(ReferenceData!$R$77),"",ReferenceData!$R$77),"")</f>
        <v>96.257999999999996</v>
      </c>
      <c r="S77">
        <f ca="1">IFERROR(IF(0=LEN(ReferenceData!$S$77),"",ReferenceData!$S$77),"")</f>
        <v>211.16</v>
      </c>
      <c r="T77">
        <f ca="1">IFERROR(IF(0=LEN(ReferenceData!$T$77),"",ReferenceData!$T$77),"")</f>
        <v>212.08600000000001</v>
      </c>
      <c r="U77">
        <f ca="1">IFERROR(IF(0=LEN(ReferenceData!$U$77),"",ReferenceData!$U$77),"")</f>
        <v>288.54700000000003</v>
      </c>
      <c r="V77">
        <f ca="1">IFERROR(IF(0=LEN(ReferenceData!$V$77),"",ReferenceData!$V$77),"")</f>
        <v>63.616999999999997</v>
      </c>
      <c r="W77">
        <f ca="1">IFERROR(IF(0=LEN(ReferenceData!$W$77),"",ReferenceData!$W$77),"")</f>
        <v>166.15199999999999</v>
      </c>
      <c r="X77">
        <f ca="1">IFERROR(IF(0=LEN(ReferenceData!$X$77),"",ReferenceData!$X$77),"")</f>
        <v>162.5</v>
      </c>
      <c r="Y77">
        <f ca="1">IFERROR(IF(0=LEN(ReferenceData!$Y$77),"",ReferenceData!$Y$77),"")</f>
        <v>239.74799999999999</v>
      </c>
      <c r="Z77">
        <f ca="1">IFERROR(IF(0=LEN(ReferenceData!$Z$77),"",ReferenceData!$Z$77),"")</f>
        <v>37.154000000000003</v>
      </c>
      <c r="AA77">
        <f ca="1">IFERROR(IF(0=LEN(ReferenceData!$AA$77),"",ReferenceData!$AA$77),"")</f>
        <v>130.28299999999999</v>
      </c>
      <c r="AB77">
        <f ca="1">IFERROR(IF(0=LEN(ReferenceData!$AB$77),"",ReferenceData!$AB$77),"")</f>
        <v>119.211</v>
      </c>
      <c r="AC77">
        <f ca="1">IFERROR(IF(0=LEN(ReferenceData!$AC$77),"",ReferenceData!$AC$77),"")</f>
        <v>189.88499999999999</v>
      </c>
      <c r="AD77">
        <f ca="1">IFERROR(IF(0=LEN(ReferenceData!$AD$77),"",ReferenceData!$AD$77),"")</f>
        <v>31.074000000000002</v>
      </c>
      <c r="AE77">
        <f ca="1">IFERROR(IF(0=LEN(ReferenceData!$AE$77),"",ReferenceData!$AE$77),"")</f>
        <v>99.052999999999997</v>
      </c>
      <c r="AF77">
        <f ca="1">IFERROR(IF(0=LEN(ReferenceData!$AF$77),"",ReferenceData!$AF$77),"")</f>
        <v>95.515000000000001</v>
      </c>
      <c r="AG77">
        <f ca="1">IFERROR(IF(0=LEN(ReferenceData!$AG$77),"",ReferenceData!$AG$77),"")</f>
        <v>143.46</v>
      </c>
      <c r="AH77">
        <f ca="1">IFERROR(IF(0=LEN(ReferenceData!$AH$77),"",ReferenceData!$AH$77),"")</f>
        <v>17.420000000000002</v>
      </c>
      <c r="AI77">
        <f ca="1">IFERROR(IF(0=LEN(ReferenceData!$AI$77),"",ReferenceData!$AI$77),"")</f>
        <v>68.956999999999994</v>
      </c>
      <c r="AJ77">
        <f ca="1">IFERROR(IF(0=LEN(ReferenceData!$AJ$77),"",ReferenceData!$AJ$77),"")</f>
        <v>59.970999999999997</v>
      </c>
      <c r="AK77">
        <f ca="1">IFERROR(IF(0=LEN(ReferenceData!$AK$77),"",ReferenceData!$AK$77),"")</f>
        <v>87.248000000000005</v>
      </c>
      <c r="AL77">
        <f ca="1">IFERROR(IF(0=LEN(ReferenceData!$AL$77),"",ReferenceData!$AL$77),"")</f>
        <v>15.513</v>
      </c>
      <c r="AM77">
        <f ca="1">IFERROR(IF(0=LEN(ReferenceData!$AM$77),"",ReferenceData!$AM$77),"")</f>
        <v>39.676000000000002</v>
      </c>
      <c r="AN77">
        <f ca="1">IFERROR(IF(0=LEN(ReferenceData!$AN$77),"",ReferenceData!$AN$77),"")</f>
        <v>37.164999999999999</v>
      </c>
      <c r="AO77">
        <f ca="1">IFERROR(IF(0=LEN(ReferenceData!$AO$77),"",ReferenceData!$AO$77),"")</f>
        <v>63.246000000000002</v>
      </c>
      <c r="AP77">
        <f ca="1">IFERROR(IF(0=LEN(ReferenceData!$AP$77),"",ReferenceData!$AP$77),"")</f>
        <v>34.031999999999996</v>
      </c>
      <c r="AQ77">
        <f ca="1">IFERROR(IF(0=LEN(ReferenceData!$AQ$77),"",ReferenceData!$AQ$77),"")</f>
        <v>46.918999999999997</v>
      </c>
      <c r="AR77">
        <f ca="1">IFERROR(IF(0=LEN(ReferenceData!$AR$77),"",ReferenceData!$AR$77),"")</f>
        <v>45.100999999999999</v>
      </c>
      <c r="AS77">
        <f ca="1">IFERROR(IF(0=LEN(ReferenceData!$AS$77),"",ReferenceData!$AS$77),"")</f>
        <v>63.064999999999998</v>
      </c>
      <c r="AT77">
        <f ca="1">IFERROR(IF(0=LEN(ReferenceData!$AT$77),"",ReferenceData!$AT$77),"")</f>
        <v>38.823500000000003</v>
      </c>
      <c r="AU77">
        <f ca="1">IFERROR(IF(0=LEN(ReferenceData!$AU$77),"",ReferenceData!$AU$77),"")</f>
        <v>24.626000000000001</v>
      </c>
      <c r="AV77">
        <f ca="1">IFERROR(IF(0=LEN(ReferenceData!$AV$77),"",ReferenceData!$AV$77),"")</f>
        <v>22.884</v>
      </c>
      <c r="AW77">
        <f ca="1">IFERROR(IF(0=LEN(ReferenceData!$AW$77),"",ReferenceData!$AW$77),"")</f>
        <v>19.388000000000002</v>
      </c>
      <c r="AX77">
        <f ca="1">IFERROR(IF(0=LEN(ReferenceData!$AX$77),"",ReferenceData!$AX$77),"")</f>
        <v>23.497</v>
      </c>
      <c r="AY77">
        <f ca="1">IFERROR(IF(0=LEN(ReferenceData!$AY$77),"",ReferenceData!$AY$77),"")</f>
        <v>0</v>
      </c>
      <c r="AZ77">
        <f ca="1">IFERROR(IF(0=LEN(ReferenceData!$AZ$77),"",ReferenceData!$AZ$77),"")</f>
        <v>20.154</v>
      </c>
      <c r="BA77">
        <f ca="1">IFERROR(IF(0=LEN(ReferenceData!$BA$77),"",ReferenceData!$BA$77),"")</f>
        <v>34.725999999999999</v>
      </c>
      <c r="BB77">
        <f ca="1">IFERROR(IF(0=LEN(ReferenceData!$BB$77),"",ReferenceData!$BB$77),"")</f>
        <v>3.4430000000000001</v>
      </c>
      <c r="BC77">
        <f ca="1">IFERROR(IF(0=LEN(ReferenceData!$BC$77),"",ReferenceData!$BC$77),"")</f>
        <v>17.439</v>
      </c>
      <c r="BD77">
        <f ca="1">IFERROR(IF(0=LEN(ReferenceData!$BD$77),"",ReferenceData!$BD$77),"")</f>
        <v>15.103999999999999</v>
      </c>
      <c r="BE77">
        <f ca="1">IFERROR(IF(0=LEN(ReferenceData!$BE$77),"",ReferenceData!$BE$77),"")</f>
        <v>22.452000000000002</v>
      </c>
      <c r="BF77">
        <f ca="1">IFERROR(IF(0=LEN(ReferenceData!$BF$77),"",ReferenceData!$BF$77),"")</f>
        <v>0</v>
      </c>
      <c r="BG77">
        <f ca="1">IFERROR(IF(0=LEN(ReferenceData!$BG$77),"",ReferenceData!$BG$77),"")</f>
        <v>0</v>
      </c>
      <c r="BH77">
        <f ca="1">IFERROR(IF(0=LEN(ReferenceData!$BH$77),"",ReferenceData!$BH$77),"")</f>
        <v>0</v>
      </c>
      <c r="BI77">
        <f ca="1">IFERROR(IF(0=LEN(ReferenceData!$BI$77),"",ReferenceData!$BI$77),"")</f>
        <v>0</v>
      </c>
      <c r="BJ77">
        <f ca="1">IFERROR(IF(0=LEN(ReferenceData!$BJ$77),"",ReferenceData!$BJ$77),"")</f>
        <v>0</v>
      </c>
      <c r="BK77">
        <f ca="1">IFERROR(IF(0=LEN(ReferenceData!$BK$77),"",ReferenceData!$BK$77),"")</f>
        <v>0</v>
      </c>
      <c r="BL77">
        <f ca="1">IFERROR(IF(0=LEN(ReferenceData!$BL$77),"",ReferenceData!$BL$77),"")</f>
        <v>0</v>
      </c>
      <c r="BM77">
        <f ca="1">IFERROR(IF(0=LEN(ReferenceData!$BM$77),"",ReferenceData!$BM$77),"")</f>
        <v>0</v>
      </c>
    </row>
    <row r="78" spans="1:65">
      <c r="A78" t="str">
        <f>IFERROR(IF(0=LEN(ReferenceData!$A$78),"",ReferenceData!$A$78),"")</f>
        <v xml:space="preserve">    Specialty REITs</v>
      </c>
      <c r="B78" t="str">
        <f>IFERROR(IF(0=LEN(ReferenceData!$B$78),"",ReferenceData!$B$78),"")</f>
        <v>RECFTDSP Index</v>
      </c>
      <c r="C78" t="str">
        <f>IFERROR(IF(0=LEN(ReferenceData!$C$78),"",ReferenceData!$C$78),"")</f>
        <v>PR005</v>
      </c>
      <c r="D78" t="str">
        <f>IFERROR(IF(0=LEN(ReferenceData!$D$78),"",ReferenceData!$D$78),"")</f>
        <v>PX_LAST</v>
      </c>
      <c r="E78" t="str">
        <f>IFERROR(IF(0=LEN(ReferenceData!$E$78),"",ReferenceData!$E$78),"")</f>
        <v>动态</v>
      </c>
      <c r="F78">
        <f ca="1">IFERROR(IF(0=LEN(ReferenceData!$F$78),"",ReferenceData!$F$78),"")</f>
        <v>618.76172759999997</v>
      </c>
      <c r="G78">
        <f ca="1">IFERROR(IF(0=LEN(ReferenceData!$G$78),"",ReferenceData!$G$78),"")</f>
        <v>609.303</v>
      </c>
      <c r="H78">
        <f ca="1">IFERROR(IF(0=LEN(ReferenceData!$H$78),"",ReferenceData!$H$78),"")</f>
        <v>601.50400000000002</v>
      </c>
      <c r="I78">
        <f ca="1">IFERROR(IF(0=LEN(ReferenceData!$I$78),"",ReferenceData!$I$78),"")</f>
        <v>444.279</v>
      </c>
      <c r="J78">
        <f ca="1">IFERROR(IF(0=LEN(ReferenceData!$J$78),"",ReferenceData!$J$78),"")</f>
        <v>573.93899999999996</v>
      </c>
      <c r="K78">
        <f ca="1">IFERROR(IF(0=LEN(ReferenceData!$K$78),"",ReferenceData!$K$78),"")</f>
        <v>557.60400000000004</v>
      </c>
      <c r="L78">
        <f ca="1">IFERROR(IF(0=LEN(ReferenceData!$L$78),"",ReferenceData!$L$78),"")</f>
        <v>545.87800000000004</v>
      </c>
      <c r="M78">
        <f ca="1">IFERROR(IF(0=LEN(ReferenceData!$M$78),"",ReferenceData!$M$78),"")</f>
        <v>473.70299999999997</v>
      </c>
      <c r="N78">
        <f ca="1">IFERROR(IF(0=LEN(ReferenceData!$N$78),"",ReferenceData!$N$78),"")</f>
        <v>457.68299999999999</v>
      </c>
      <c r="O78">
        <f ca="1">IFERROR(IF(0=LEN(ReferenceData!$O$78),"",ReferenceData!$O$78),"")</f>
        <v>0</v>
      </c>
      <c r="P78">
        <f ca="1">IFERROR(IF(0=LEN(ReferenceData!$P$78),"",ReferenceData!$P$78),"")</f>
        <v>0</v>
      </c>
      <c r="Q78">
        <f ca="1">IFERROR(IF(0=LEN(ReferenceData!$Q$78),"",ReferenceData!$Q$78),"")</f>
        <v>0</v>
      </c>
      <c r="R78">
        <f ca="1">IFERROR(IF(0=LEN(ReferenceData!$R$78),"",ReferenceData!$R$78),"")</f>
        <v>0</v>
      </c>
      <c r="S78">
        <f ca="1">IFERROR(IF(0=LEN(ReferenceData!$S$78),"",ReferenceData!$S$78),"")</f>
        <v>0</v>
      </c>
      <c r="T78">
        <f ca="1">IFERROR(IF(0=LEN(ReferenceData!$T$78),"",ReferenceData!$T$78),"")</f>
        <v>0</v>
      </c>
      <c r="U78">
        <f ca="1">IFERROR(IF(0=LEN(ReferenceData!$U$78),"",ReferenceData!$U$78),"")</f>
        <v>0</v>
      </c>
      <c r="V78">
        <f ca="1">IFERROR(IF(0=LEN(ReferenceData!$V$78),"",ReferenceData!$V$78),"")</f>
        <v>0</v>
      </c>
      <c r="W78">
        <f ca="1">IFERROR(IF(0=LEN(ReferenceData!$W$78),"",ReferenceData!$W$78),"")</f>
        <v>0</v>
      </c>
      <c r="X78">
        <f ca="1">IFERROR(IF(0=LEN(ReferenceData!$X$78),"",ReferenceData!$X$78),"")</f>
        <v>0</v>
      </c>
      <c r="Y78">
        <f ca="1">IFERROR(IF(0=LEN(ReferenceData!$Y$78),"",ReferenceData!$Y$78),"")</f>
        <v>0</v>
      </c>
      <c r="Z78">
        <f ca="1">IFERROR(IF(0=LEN(ReferenceData!$Z$78),"",ReferenceData!$Z$78),"")</f>
        <v>0</v>
      </c>
      <c r="AA78">
        <f ca="1">IFERROR(IF(0=LEN(ReferenceData!$AA$78),"",ReferenceData!$AA$78),"")</f>
        <v>0</v>
      </c>
      <c r="AB78">
        <f ca="1">IFERROR(IF(0=LEN(ReferenceData!$AB$78),"",ReferenceData!$AB$78),"")</f>
        <v>0</v>
      </c>
      <c r="AC78">
        <f ca="1">IFERROR(IF(0=LEN(ReferenceData!$AC$78),"",ReferenceData!$AC$78),"")</f>
        <v>0</v>
      </c>
      <c r="AD78">
        <f ca="1">IFERROR(IF(0=LEN(ReferenceData!$AD$78),"",ReferenceData!$AD$78),"")</f>
        <v>0</v>
      </c>
      <c r="AE78">
        <f ca="1">IFERROR(IF(0=LEN(ReferenceData!$AE$78),"",ReferenceData!$AE$78),"")</f>
        <v>0</v>
      </c>
      <c r="AF78">
        <f ca="1">IFERROR(IF(0=LEN(ReferenceData!$AF$78),"",ReferenceData!$AF$78),"")</f>
        <v>0</v>
      </c>
      <c r="AG78">
        <f ca="1">IFERROR(IF(0=LEN(ReferenceData!$AG$78),"",ReferenceData!$AG$78),"")</f>
        <v>0</v>
      </c>
      <c r="AH78">
        <f ca="1">IFERROR(IF(0=LEN(ReferenceData!$AH$78),"",ReferenceData!$AH$78),"")</f>
        <v>0</v>
      </c>
      <c r="AI78">
        <f ca="1">IFERROR(IF(0=LEN(ReferenceData!$AI$78),"",ReferenceData!$AI$78),"")</f>
        <v>37.746000000000002</v>
      </c>
      <c r="AJ78">
        <f ca="1">IFERROR(IF(0=LEN(ReferenceData!$AJ$78),"",ReferenceData!$AJ$78),"")</f>
        <v>35.399000000000001</v>
      </c>
      <c r="AK78">
        <f ca="1">IFERROR(IF(0=LEN(ReferenceData!$AK$78),"",ReferenceData!$AK$78),"")</f>
        <v>35.404000000000003</v>
      </c>
      <c r="AL78">
        <f ca="1">IFERROR(IF(0=LEN(ReferenceData!$AL$78),"",ReferenceData!$AL$78),"")</f>
        <v>31.286000000000001</v>
      </c>
      <c r="AM78">
        <f ca="1">IFERROR(IF(0=LEN(ReferenceData!$AM$78),"",ReferenceData!$AM$78),"")</f>
        <v>30.31</v>
      </c>
      <c r="AN78">
        <f ca="1">IFERROR(IF(0=LEN(ReferenceData!$AN$78),"",ReferenceData!$AN$78),"")</f>
        <v>30.280999999999999</v>
      </c>
      <c r="AO78">
        <f ca="1">IFERROR(IF(0=LEN(ReferenceData!$AO$78),"",ReferenceData!$AO$78),"")</f>
        <v>35.238999999999997</v>
      </c>
      <c r="AP78">
        <f ca="1">IFERROR(IF(0=LEN(ReferenceData!$AP$78),"",ReferenceData!$AP$78),"")</f>
        <v>35.646000000000001</v>
      </c>
      <c r="AQ78">
        <f ca="1">IFERROR(IF(0=LEN(ReferenceData!$AQ$78),"",ReferenceData!$AQ$78),"")</f>
        <v>33.606999999999999</v>
      </c>
      <c r="AR78">
        <f ca="1">IFERROR(IF(0=LEN(ReferenceData!$AR$78),"",ReferenceData!$AR$78),"")</f>
        <v>29.396999999999998</v>
      </c>
      <c r="AS78">
        <f ca="1">IFERROR(IF(0=LEN(ReferenceData!$AS$78),"",ReferenceData!$AS$78),"")</f>
        <v>26.954999999999998</v>
      </c>
      <c r="AT78">
        <f ca="1">IFERROR(IF(0=LEN(ReferenceData!$AT$78),"",ReferenceData!$AT$78),"")</f>
        <v>25.89</v>
      </c>
      <c r="AU78">
        <f ca="1">IFERROR(IF(0=LEN(ReferenceData!$AU$78),"",ReferenceData!$AU$78),"")</f>
        <v>24.617000000000001</v>
      </c>
      <c r="AV78">
        <f ca="1">IFERROR(IF(0=LEN(ReferenceData!$AV$78),"",ReferenceData!$AV$78),"")</f>
        <v>26.004000000000001</v>
      </c>
      <c r="AW78">
        <f ca="1">IFERROR(IF(0=LEN(ReferenceData!$AW$78),"",ReferenceData!$AW$78),"")</f>
        <v>21.446999999999999</v>
      </c>
      <c r="AX78">
        <f ca="1">IFERROR(IF(0=LEN(ReferenceData!$AX$78),"",ReferenceData!$AX$78),"")</f>
        <v>36.533999999999999</v>
      </c>
      <c r="AY78">
        <f ca="1">IFERROR(IF(0=LEN(ReferenceData!$AY$78),"",ReferenceData!$AY$78),"")</f>
        <v>155.631</v>
      </c>
      <c r="AZ78">
        <f ca="1">IFERROR(IF(0=LEN(ReferenceData!$AZ$78),"",ReferenceData!$AZ$78),"")</f>
        <v>75.653000000000006</v>
      </c>
      <c r="BA78">
        <f ca="1">IFERROR(IF(0=LEN(ReferenceData!$BA$78),"",ReferenceData!$BA$78),"")</f>
        <v>58.594999999999999</v>
      </c>
      <c r="BB78">
        <f ca="1">IFERROR(IF(0=LEN(ReferenceData!$BB$78),"",ReferenceData!$BB$78),"")</f>
        <v>58.21</v>
      </c>
      <c r="BC78">
        <f ca="1">IFERROR(IF(0=LEN(ReferenceData!$BC$78),"",ReferenceData!$BC$78),"")</f>
        <v>77.902000000000001</v>
      </c>
      <c r="BD78">
        <f ca="1">IFERROR(IF(0=LEN(ReferenceData!$BD$78),"",ReferenceData!$BD$78),"")</f>
        <v>65.748000000000005</v>
      </c>
      <c r="BE78">
        <f ca="1">IFERROR(IF(0=LEN(ReferenceData!$BE$78),"",ReferenceData!$BE$78),"")</f>
        <v>75.075999999999993</v>
      </c>
      <c r="BF78">
        <f ca="1">IFERROR(IF(0=LEN(ReferenceData!$BF$78),"",ReferenceData!$BF$78),"")</f>
        <v>215.72300000000001</v>
      </c>
      <c r="BG78">
        <f ca="1">IFERROR(IF(0=LEN(ReferenceData!$BG$78),"",ReferenceData!$BG$78),"")</f>
        <v>74.430999999999997</v>
      </c>
      <c r="BH78">
        <f ca="1">IFERROR(IF(0=LEN(ReferenceData!$BH$78),"",ReferenceData!$BH$78),"")</f>
        <v>64.808999999999997</v>
      </c>
      <c r="BI78">
        <f ca="1">IFERROR(IF(0=LEN(ReferenceData!$BI$78),"",ReferenceData!$BI$78),"")</f>
        <v>61.188000000000002</v>
      </c>
      <c r="BJ78">
        <f ca="1">IFERROR(IF(0=LEN(ReferenceData!$BJ$78),"",ReferenceData!$BJ$78),"")</f>
        <v>62.338000000000001</v>
      </c>
      <c r="BK78">
        <f ca="1">IFERROR(IF(0=LEN(ReferenceData!$BK$78),"",ReferenceData!$BK$78),"")</f>
        <v>42.646000000000001</v>
      </c>
      <c r="BL78">
        <f ca="1">IFERROR(IF(0=LEN(ReferenceData!$BL$78),"",ReferenceData!$BL$78),"")</f>
        <v>28.635999999999999</v>
      </c>
      <c r="BM78">
        <f ca="1">IFERROR(IF(0=LEN(ReferenceData!$BM$78),"",ReferenceData!$BM$78),"")</f>
        <v>26.731999999999999</v>
      </c>
    </row>
    <row r="79" spans="1:65">
      <c r="A79" t="str">
        <f>IFERROR(IF(0=LEN(ReferenceData!$A$79),"",ReferenceData!$A$79),"")</f>
        <v xml:space="preserve">    </v>
      </c>
      <c r="B79" t="str">
        <f>IFERROR(IF(0=LEN(ReferenceData!$B$79),"",ReferenceData!$B$79),"")</f>
        <v/>
      </c>
      <c r="C79" t="str">
        <f>IFERROR(IF(0=LEN(ReferenceData!$C$79),"",ReferenceData!$C$79),"")</f>
        <v/>
      </c>
      <c r="D79" t="str">
        <f>IFERROR(IF(0=LEN(ReferenceData!$D$79),"",ReferenceData!$D$79),"")</f>
        <v/>
      </c>
      <c r="E79" t="str">
        <f>IFERROR(IF(0=LEN(ReferenceData!$E$79),"",ReferenceData!$E$79),"")</f>
        <v>静态</v>
      </c>
      <c r="F79" t="str">
        <f ca="1">IFERROR(IF(0=LEN(ReferenceData!$F$79),"",ReferenceData!$F$79),"")</f>
        <v/>
      </c>
      <c r="G79" t="str">
        <f ca="1">IFERROR(IF(0=LEN(ReferenceData!$G$79),"",ReferenceData!$G$79),"")</f>
        <v/>
      </c>
      <c r="H79" t="str">
        <f ca="1">IFERROR(IF(0=LEN(ReferenceData!$H$79),"",ReferenceData!$H$79),"")</f>
        <v/>
      </c>
      <c r="I79" t="str">
        <f ca="1">IFERROR(IF(0=LEN(ReferenceData!$I$79),"",ReferenceData!$I$79),"")</f>
        <v/>
      </c>
      <c r="J79" t="str">
        <f ca="1">IFERROR(IF(0=LEN(ReferenceData!$J$79),"",ReferenceData!$J$79),"")</f>
        <v/>
      </c>
      <c r="K79" t="str">
        <f ca="1">IFERROR(IF(0=LEN(ReferenceData!$K$79),"",ReferenceData!$K$79),"")</f>
        <v/>
      </c>
      <c r="L79" t="str">
        <f ca="1">IFERROR(IF(0=LEN(ReferenceData!$L$79),"",ReferenceData!$L$79),"")</f>
        <v/>
      </c>
      <c r="M79" t="str">
        <f ca="1">IFERROR(IF(0=LEN(ReferenceData!$M$79),"",ReferenceData!$M$79),"")</f>
        <v/>
      </c>
      <c r="N79" t="str">
        <f ca="1">IFERROR(IF(0=LEN(ReferenceData!$N$79),"",ReferenceData!$N$79),"")</f>
        <v/>
      </c>
      <c r="O79" t="str">
        <f ca="1">IFERROR(IF(0=LEN(ReferenceData!$O$79),"",ReferenceData!$O$79),"")</f>
        <v/>
      </c>
      <c r="P79" t="str">
        <f ca="1">IFERROR(IF(0=LEN(ReferenceData!$P$79),"",ReferenceData!$P$79),"")</f>
        <v/>
      </c>
      <c r="Q79" t="str">
        <f ca="1">IFERROR(IF(0=LEN(ReferenceData!$Q$79),"",ReferenceData!$Q$79),"")</f>
        <v/>
      </c>
      <c r="R79" t="str">
        <f ca="1">IFERROR(IF(0=LEN(ReferenceData!$R$79),"",ReferenceData!$R$79),"")</f>
        <v/>
      </c>
      <c r="S79" t="str">
        <f ca="1">IFERROR(IF(0=LEN(ReferenceData!$S$79),"",ReferenceData!$S$79),"")</f>
        <v/>
      </c>
      <c r="T79" t="str">
        <f ca="1">IFERROR(IF(0=LEN(ReferenceData!$T$79),"",ReferenceData!$T$79),"")</f>
        <v/>
      </c>
      <c r="U79" t="str">
        <f ca="1">IFERROR(IF(0=LEN(ReferenceData!$U$79),"",ReferenceData!$U$79),"")</f>
        <v/>
      </c>
      <c r="V79" t="str">
        <f ca="1">IFERROR(IF(0=LEN(ReferenceData!$V$79),"",ReferenceData!$V$79),"")</f>
        <v/>
      </c>
      <c r="W79" t="str">
        <f ca="1">IFERROR(IF(0=LEN(ReferenceData!$W$79),"",ReferenceData!$W$79),"")</f>
        <v/>
      </c>
      <c r="X79" t="str">
        <f ca="1">IFERROR(IF(0=LEN(ReferenceData!$X$79),"",ReferenceData!$X$79),"")</f>
        <v/>
      </c>
      <c r="Y79" t="str">
        <f ca="1">IFERROR(IF(0=LEN(ReferenceData!$Y$79),"",ReferenceData!$Y$79),"")</f>
        <v/>
      </c>
      <c r="Z79" t="str">
        <f ca="1">IFERROR(IF(0=LEN(ReferenceData!$Z$79),"",ReferenceData!$Z$79),"")</f>
        <v/>
      </c>
      <c r="AA79" t="str">
        <f ca="1">IFERROR(IF(0=LEN(ReferenceData!$AA$79),"",ReferenceData!$AA$79),"")</f>
        <v/>
      </c>
      <c r="AB79" t="str">
        <f ca="1">IFERROR(IF(0=LEN(ReferenceData!$AB$79),"",ReferenceData!$AB$79),"")</f>
        <v/>
      </c>
      <c r="AC79" t="str">
        <f ca="1">IFERROR(IF(0=LEN(ReferenceData!$AC$79),"",ReferenceData!$AC$79),"")</f>
        <v/>
      </c>
      <c r="AD79" t="str">
        <f ca="1">IFERROR(IF(0=LEN(ReferenceData!$AD$79),"",ReferenceData!$AD$79),"")</f>
        <v/>
      </c>
      <c r="AE79" t="str">
        <f ca="1">IFERROR(IF(0=LEN(ReferenceData!$AE$79),"",ReferenceData!$AE$79),"")</f>
        <v/>
      </c>
      <c r="AF79" t="str">
        <f ca="1">IFERROR(IF(0=LEN(ReferenceData!$AF$79),"",ReferenceData!$AF$79),"")</f>
        <v/>
      </c>
      <c r="AG79" t="str">
        <f ca="1">IFERROR(IF(0=LEN(ReferenceData!$AG$79),"",ReferenceData!$AG$79),"")</f>
        <v/>
      </c>
      <c r="AH79" t="str">
        <f ca="1">IFERROR(IF(0=LEN(ReferenceData!$AH$79),"",ReferenceData!$AH$79),"")</f>
        <v/>
      </c>
      <c r="AI79" t="str">
        <f ca="1">IFERROR(IF(0=LEN(ReferenceData!$AI$79),"",ReferenceData!$AI$79),"")</f>
        <v/>
      </c>
      <c r="AJ79" t="str">
        <f ca="1">IFERROR(IF(0=LEN(ReferenceData!$AJ$79),"",ReferenceData!$AJ$79),"")</f>
        <v/>
      </c>
      <c r="AK79" t="str">
        <f ca="1">IFERROR(IF(0=LEN(ReferenceData!$AK$79),"",ReferenceData!$AK$79),"")</f>
        <v/>
      </c>
      <c r="AL79" t="str">
        <f ca="1">IFERROR(IF(0=LEN(ReferenceData!$AL$79),"",ReferenceData!$AL$79),"")</f>
        <v/>
      </c>
      <c r="AM79" t="str">
        <f ca="1">IFERROR(IF(0=LEN(ReferenceData!$AM$79),"",ReferenceData!$AM$79),"")</f>
        <v/>
      </c>
      <c r="AN79" t="str">
        <f ca="1">IFERROR(IF(0=LEN(ReferenceData!$AN$79),"",ReferenceData!$AN$79),"")</f>
        <v/>
      </c>
      <c r="AO79" t="str">
        <f ca="1">IFERROR(IF(0=LEN(ReferenceData!$AO$79),"",ReferenceData!$AO$79),"")</f>
        <v/>
      </c>
      <c r="AP79" t="str">
        <f ca="1">IFERROR(IF(0=LEN(ReferenceData!$AP$79),"",ReferenceData!$AP$79),"")</f>
        <v/>
      </c>
      <c r="AQ79" t="str">
        <f ca="1">IFERROR(IF(0=LEN(ReferenceData!$AQ$79),"",ReferenceData!$AQ$79),"")</f>
        <v/>
      </c>
      <c r="AR79" t="str">
        <f ca="1">IFERROR(IF(0=LEN(ReferenceData!$AR$79),"",ReferenceData!$AR$79),"")</f>
        <v/>
      </c>
      <c r="AS79" t="str">
        <f ca="1">IFERROR(IF(0=LEN(ReferenceData!$AS$79),"",ReferenceData!$AS$79),"")</f>
        <v/>
      </c>
      <c r="AT79" t="str">
        <f ca="1">IFERROR(IF(0=LEN(ReferenceData!$AT$79),"",ReferenceData!$AT$79),"")</f>
        <v/>
      </c>
      <c r="AU79" t="str">
        <f ca="1">IFERROR(IF(0=LEN(ReferenceData!$AU$79),"",ReferenceData!$AU$79),"")</f>
        <v/>
      </c>
      <c r="AV79" t="str">
        <f ca="1">IFERROR(IF(0=LEN(ReferenceData!$AV$79),"",ReferenceData!$AV$79),"")</f>
        <v/>
      </c>
      <c r="AW79" t="str">
        <f ca="1">IFERROR(IF(0=LEN(ReferenceData!$AW$79),"",ReferenceData!$AW$79),"")</f>
        <v/>
      </c>
      <c r="AX79" t="str">
        <f ca="1">IFERROR(IF(0=LEN(ReferenceData!$AX$79),"",ReferenceData!$AX$79),"")</f>
        <v/>
      </c>
      <c r="AY79" t="str">
        <f ca="1">IFERROR(IF(0=LEN(ReferenceData!$AY$79),"",ReferenceData!$AY$79),"")</f>
        <v/>
      </c>
      <c r="AZ79" t="str">
        <f ca="1">IFERROR(IF(0=LEN(ReferenceData!$AZ$79),"",ReferenceData!$AZ$79),"")</f>
        <v/>
      </c>
      <c r="BA79" t="str">
        <f ca="1">IFERROR(IF(0=LEN(ReferenceData!$BA$79),"",ReferenceData!$BA$79),"")</f>
        <v/>
      </c>
      <c r="BB79" t="str">
        <f ca="1">IFERROR(IF(0=LEN(ReferenceData!$BB$79),"",ReferenceData!$BB$79),"")</f>
        <v/>
      </c>
      <c r="BC79" t="str">
        <f ca="1">IFERROR(IF(0=LEN(ReferenceData!$BC$79),"",ReferenceData!$BC$79),"")</f>
        <v/>
      </c>
      <c r="BD79" t="str">
        <f ca="1">IFERROR(IF(0=LEN(ReferenceData!$BD$79),"",ReferenceData!$BD$79),"")</f>
        <v/>
      </c>
      <c r="BE79" t="str">
        <f ca="1">IFERROR(IF(0=LEN(ReferenceData!$BE$79),"",ReferenceData!$BE$79),"")</f>
        <v/>
      </c>
      <c r="BF79" t="str">
        <f ca="1">IFERROR(IF(0=LEN(ReferenceData!$BF$79),"",ReferenceData!$BF$79),"")</f>
        <v/>
      </c>
      <c r="BG79" t="str">
        <f ca="1">IFERROR(IF(0=LEN(ReferenceData!$BG$79),"",ReferenceData!$BG$79),"")</f>
        <v/>
      </c>
      <c r="BH79" t="str">
        <f ca="1">IFERROR(IF(0=LEN(ReferenceData!$BH$79),"",ReferenceData!$BH$79),"")</f>
        <v/>
      </c>
      <c r="BI79" t="str">
        <f ca="1">IFERROR(IF(0=LEN(ReferenceData!$BI$79),"",ReferenceData!$BI$79),"")</f>
        <v/>
      </c>
      <c r="BJ79" t="str">
        <f ca="1">IFERROR(IF(0=LEN(ReferenceData!$BJ$79),"",ReferenceData!$BJ$79),"")</f>
        <v/>
      </c>
      <c r="BK79" t="str">
        <f ca="1">IFERROR(IF(0=LEN(ReferenceData!$BK$79),"",ReferenceData!$BK$79),"")</f>
        <v/>
      </c>
      <c r="BL79" t="str">
        <f ca="1">IFERROR(IF(0=LEN(ReferenceData!$BL$79),"",ReferenceData!$BL$79),"")</f>
        <v/>
      </c>
      <c r="BM79" t="str">
        <f ca="1">IFERROR(IF(0=LEN(ReferenceData!$BM$79),"",ReferenceData!$BM$79),"")</f>
        <v/>
      </c>
    </row>
    <row r="80" spans="1:65">
      <c r="A80" t="str">
        <f>IFERROR(IF(0=LEN(ReferenceData!$A$80),"",ReferenceData!$A$80),"")</f>
        <v xml:space="preserve">    Mortgage REITs</v>
      </c>
      <c r="B80" t="str">
        <f>IFERROR(IF(0=LEN(ReferenceData!$B$80),"",ReferenceData!$B$80),"")</f>
        <v>RECFTDMG Index</v>
      </c>
      <c r="C80" t="str">
        <f>IFERROR(IF(0=LEN(ReferenceData!$C$80),"",ReferenceData!$C$80),"")</f>
        <v>PR005</v>
      </c>
      <c r="D80" t="str">
        <f>IFERROR(IF(0=LEN(ReferenceData!$D$80),"",ReferenceData!$D$80),"")</f>
        <v>PX_LAST</v>
      </c>
      <c r="E80" t="str">
        <f>IFERROR(IF(0=LEN(ReferenceData!$E$80),"",ReferenceData!$E$80),"")</f>
        <v>动态</v>
      </c>
      <c r="F80">
        <f ca="1">IFERROR(IF(0=LEN(ReferenceData!$F$80),"",ReferenceData!$F$80),"")</f>
        <v>1876.8886259999999</v>
      </c>
      <c r="G80">
        <f ca="1">IFERROR(IF(0=LEN(ReferenceData!$G$80),"",ReferenceData!$G$80),"")</f>
        <v>1704.365</v>
      </c>
      <c r="H80">
        <f ca="1">IFERROR(IF(0=LEN(ReferenceData!$H$80),"",ReferenceData!$H$80),"")</f>
        <v>1696.6210000000001</v>
      </c>
      <c r="I80">
        <f ca="1">IFERROR(IF(0=LEN(ReferenceData!$I$80),"",ReferenceData!$I$80),"")</f>
        <v>1574.0519999999999</v>
      </c>
      <c r="J80">
        <f ca="1">IFERROR(IF(0=LEN(ReferenceData!$J$80),"",ReferenceData!$J$80),"")</f>
        <v>1635.4245000000001</v>
      </c>
      <c r="K80">
        <f ca="1">IFERROR(IF(0=LEN(ReferenceData!$K$80),"",ReferenceData!$K$80),"")</f>
        <v>1636.21</v>
      </c>
      <c r="L80">
        <f ca="1">IFERROR(IF(0=LEN(ReferenceData!$L$80),"",ReferenceData!$L$80),"")</f>
        <v>1630.915</v>
      </c>
      <c r="M80">
        <f ca="1">IFERROR(IF(0=LEN(ReferenceData!$M$80),"",ReferenceData!$M$80),"")</f>
        <v>1805.222</v>
      </c>
      <c r="N80">
        <f ca="1">IFERROR(IF(0=LEN(ReferenceData!$N$80),"",ReferenceData!$N$80),"")</f>
        <v>1776.7339999999999</v>
      </c>
      <c r="O80">
        <f ca="1">IFERROR(IF(0=LEN(ReferenceData!$O$80),"",ReferenceData!$O$80),"")</f>
        <v>1760.2550000000001</v>
      </c>
      <c r="P80">
        <f ca="1">IFERROR(IF(0=LEN(ReferenceData!$P$80),"",ReferenceData!$P$80),"")</f>
        <v>1710.48</v>
      </c>
      <c r="Q80">
        <f ca="1">IFERROR(IF(0=LEN(ReferenceData!$Q$80),"",ReferenceData!$Q$80),"")</f>
        <v>1652.866</v>
      </c>
      <c r="R80">
        <f ca="1">IFERROR(IF(0=LEN(ReferenceData!$R$80),"",ReferenceData!$R$80),"")</f>
        <v>1961.8050000000001</v>
      </c>
      <c r="S80">
        <f ca="1">IFERROR(IF(0=LEN(ReferenceData!$S$80),"",ReferenceData!$S$80),"")</f>
        <v>1904.5150000000001</v>
      </c>
      <c r="T80">
        <f ca="1">IFERROR(IF(0=LEN(ReferenceData!$T$80),"",ReferenceData!$T$80),"")</f>
        <v>1736.9290000000001</v>
      </c>
      <c r="U80">
        <f ca="1">IFERROR(IF(0=LEN(ReferenceData!$U$80),"",ReferenceData!$U$80),"")</f>
        <v>1810.2935</v>
      </c>
      <c r="V80">
        <f ca="1">IFERROR(IF(0=LEN(ReferenceData!$V$80),"",ReferenceData!$V$80),"")</f>
        <v>1978.2850000000001</v>
      </c>
      <c r="W80">
        <f ca="1">IFERROR(IF(0=LEN(ReferenceData!$W$80),"",ReferenceData!$W$80),"")</f>
        <v>2148.2800000000002</v>
      </c>
      <c r="X80">
        <f ca="1">IFERROR(IF(0=LEN(ReferenceData!$X$80),"",ReferenceData!$X$80),"")</f>
        <v>2262.3719999999998</v>
      </c>
      <c r="Y80">
        <f ca="1">IFERROR(IF(0=LEN(ReferenceData!$Y$80),"",ReferenceData!$Y$80),"")</f>
        <v>1966.027</v>
      </c>
      <c r="Z80">
        <f ca="1">IFERROR(IF(0=LEN(ReferenceData!$Z$80),"",ReferenceData!$Z$80),"")</f>
        <v>2154.2919999999999</v>
      </c>
      <c r="AA80">
        <f ca="1">IFERROR(IF(0=LEN(ReferenceData!$AA$80),"",ReferenceData!$AA$80),"")</f>
        <v>1852.471</v>
      </c>
      <c r="AB80">
        <f ca="1">IFERROR(IF(0=LEN(ReferenceData!$AB$80),"",ReferenceData!$AB$80),"")</f>
        <v>1663.96</v>
      </c>
      <c r="AC80">
        <f ca="1">IFERROR(IF(0=LEN(ReferenceData!$AC$80),"",ReferenceData!$AC$80),"")</f>
        <v>1599.472</v>
      </c>
      <c r="AD80">
        <f ca="1">IFERROR(IF(0=LEN(ReferenceData!$AD$80),"",ReferenceData!$AD$80),"")</f>
        <v>1678.1210000000001</v>
      </c>
      <c r="AE80">
        <f ca="1">IFERROR(IF(0=LEN(ReferenceData!$AE$80),"",ReferenceData!$AE$80),"")</f>
        <v>1446.93</v>
      </c>
      <c r="AF80">
        <f ca="1">IFERROR(IF(0=LEN(ReferenceData!$AF$80),"",ReferenceData!$AF$80),"")</f>
        <v>1237.5730000000001</v>
      </c>
      <c r="AG80">
        <f ca="1">IFERROR(IF(0=LEN(ReferenceData!$AG$80),"",ReferenceData!$AG$80),"")</f>
        <v>1029.365</v>
      </c>
      <c r="AH80">
        <f ca="1">IFERROR(IF(0=LEN(ReferenceData!$AH$80),"",ReferenceData!$AH$80),"")</f>
        <v>983.90700000000004</v>
      </c>
      <c r="AI80">
        <f ca="1">IFERROR(IF(0=LEN(ReferenceData!$AI$80),"",ReferenceData!$AI$80),"")</f>
        <v>841.67100000000005</v>
      </c>
      <c r="AJ80">
        <f ca="1">IFERROR(IF(0=LEN(ReferenceData!$AJ$80),"",ReferenceData!$AJ$80),"")</f>
        <v>805.96299999999997</v>
      </c>
      <c r="AK80">
        <f ca="1">IFERROR(IF(0=LEN(ReferenceData!$AK$80),"",ReferenceData!$AK$80),"")</f>
        <v>861.31500000000005</v>
      </c>
      <c r="AL80">
        <f ca="1">IFERROR(IF(0=LEN(ReferenceData!$AL$80),"",ReferenceData!$AL$80),"")</f>
        <v>744.61500000000001</v>
      </c>
      <c r="AM80">
        <f ca="1">IFERROR(IF(0=LEN(ReferenceData!$AM$80),"",ReferenceData!$AM$80),"")</f>
        <v>615.30899999999997</v>
      </c>
      <c r="AN80">
        <f ca="1">IFERROR(IF(0=LEN(ReferenceData!$AN$80),"",ReferenceData!$AN$80),"")</f>
        <v>520.82500000000005</v>
      </c>
      <c r="AO80">
        <f ca="1">IFERROR(IF(0=LEN(ReferenceData!$AO$80),"",ReferenceData!$AO$80),"")</f>
        <v>480.04899999999998</v>
      </c>
      <c r="AP80">
        <f ca="1">IFERROR(IF(0=LEN(ReferenceData!$AP$80),"",ReferenceData!$AP$80),"")</f>
        <v>597.66800000000001</v>
      </c>
      <c r="AQ80">
        <f ca="1">IFERROR(IF(0=LEN(ReferenceData!$AQ$80),"",ReferenceData!$AQ$80),"")</f>
        <v>626.25300000000004</v>
      </c>
      <c r="AR80">
        <f ca="1">IFERROR(IF(0=LEN(ReferenceData!$AR$80),"",ReferenceData!$AR$80),"")</f>
        <v>506.82600000000002</v>
      </c>
      <c r="AS80">
        <f ca="1">IFERROR(IF(0=LEN(ReferenceData!$AS$80),"",ReferenceData!$AS$80),"")</f>
        <v>536.19600000000003</v>
      </c>
      <c r="AT80">
        <f ca="1">IFERROR(IF(0=LEN(ReferenceData!$AT$80),"",ReferenceData!$AT$80),"")</f>
        <v>431.2405</v>
      </c>
      <c r="AU80">
        <f ca="1">IFERROR(IF(0=LEN(ReferenceData!$AU$80),"",ReferenceData!$AU$80),"")</f>
        <v>415.56799999999998</v>
      </c>
      <c r="AV80">
        <f ca="1">IFERROR(IF(0=LEN(ReferenceData!$AV$80),"",ReferenceData!$AV$80),"")</f>
        <v>436.49149999999997</v>
      </c>
      <c r="AW80">
        <f ca="1">IFERROR(IF(0=LEN(ReferenceData!$AW$80),"",ReferenceData!$AW$80),"")</f>
        <v>455.339</v>
      </c>
      <c r="AX80">
        <f ca="1">IFERROR(IF(0=LEN(ReferenceData!$AX$80),"",ReferenceData!$AX$80),"")</f>
        <v>538.36099999999999</v>
      </c>
      <c r="AY80">
        <f ca="1">IFERROR(IF(0=LEN(ReferenceData!$AY$80),"",ReferenceData!$AY$80),"")</f>
        <v>529.65300000000002</v>
      </c>
      <c r="AZ80">
        <f ca="1">IFERROR(IF(0=LEN(ReferenceData!$AZ$80),"",ReferenceData!$AZ$80),"")</f>
        <v>525.29899999999998</v>
      </c>
      <c r="BA80">
        <f ca="1">IFERROR(IF(0=LEN(ReferenceData!$BA$80),"",ReferenceData!$BA$80),"")</f>
        <v>421.27800000000002</v>
      </c>
      <c r="BB80">
        <f ca="1">IFERROR(IF(0=LEN(ReferenceData!$BB$80),"",ReferenceData!$BB$80),"")</f>
        <v>0.316</v>
      </c>
      <c r="BC80">
        <f ca="1">IFERROR(IF(0=LEN(ReferenceData!$BC$80),"",ReferenceData!$BC$80),"")</f>
        <v>0.315</v>
      </c>
      <c r="BD80">
        <f ca="1">IFERROR(IF(0=LEN(ReferenceData!$BD$80),"",ReferenceData!$BD$80),"")</f>
        <v>7.1654999999999998</v>
      </c>
      <c r="BE80">
        <f ca="1">IFERROR(IF(0=LEN(ReferenceData!$BE$80),"",ReferenceData!$BE$80),"")</f>
        <v>8.1059999999999999</v>
      </c>
      <c r="BF80">
        <f ca="1">IFERROR(IF(0=LEN(ReferenceData!$BF$80),"",ReferenceData!$BF$80),"")</f>
        <v>3.2719999999999998</v>
      </c>
      <c r="BG80">
        <f ca="1">IFERROR(IF(0=LEN(ReferenceData!$BG$80),"",ReferenceData!$BG$80),"")</f>
        <v>0.157</v>
      </c>
      <c r="BH80">
        <f ca="1">IFERROR(IF(0=LEN(ReferenceData!$BH$80),"",ReferenceData!$BH$80),"")</f>
        <v>0</v>
      </c>
      <c r="BI80">
        <f ca="1">IFERROR(IF(0=LEN(ReferenceData!$BI$80),"",ReferenceData!$BI$80),"")</f>
        <v>0</v>
      </c>
      <c r="BJ80">
        <f ca="1">IFERROR(IF(0=LEN(ReferenceData!$BJ$80),"",ReferenceData!$BJ$80),"")</f>
        <v>0</v>
      </c>
      <c r="BK80">
        <f ca="1">IFERROR(IF(0=LEN(ReferenceData!$BK$80),"",ReferenceData!$BK$80),"")</f>
        <v>0</v>
      </c>
      <c r="BL80">
        <f ca="1">IFERROR(IF(0=LEN(ReferenceData!$BL$80),"",ReferenceData!$BL$80),"")</f>
        <v>0</v>
      </c>
      <c r="BM80">
        <f ca="1">IFERROR(IF(0=LEN(ReferenceData!$BM$80),"",ReferenceData!$BM$80),"")</f>
        <v>0</v>
      </c>
    </row>
    <row r="81" spans="1:65">
      <c r="A81" t="str">
        <f>IFERROR(IF(0=LEN(ReferenceData!$A$81),"",ReferenceData!$A$81),"")</f>
        <v xml:space="preserve">    所有房地产投资信托总计-已付股利(含抵押贷款房地产投资信托)</v>
      </c>
      <c r="B81" t="str">
        <f>IFERROR(IF(0=LEN(ReferenceData!$B$81),"",ReferenceData!$B$81),"")</f>
        <v>RECFTDRE Index</v>
      </c>
      <c r="C81" t="str">
        <f>IFERROR(IF(0=LEN(ReferenceData!$C$81),"",ReferenceData!$C$81),"")</f>
        <v>PR005</v>
      </c>
      <c r="D81" t="str">
        <f>IFERROR(IF(0=LEN(ReferenceData!$D$81),"",ReferenceData!$D$81),"")</f>
        <v>PX_LAST</v>
      </c>
      <c r="E81" t="str">
        <f>IFERROR(IF(0=LEN(ReferenceData!$E$81),"",ReferenceData!$E$81),"")</f>
        <v>动态</v>
      </c>
      <c r="F81">
        <f ca="1">IFERROR(IF(0=LEN(ReferenceData!$F$81),"",ReferenceData!$F$81),"")</f>
        <v>13691.412770000001</v>
      </c>
      <c r="G81">
        <f ca="1">IFERROR(IF(0=LEN(ReferenceData!$G$81),"",ReferenceData!$G$81),"")</f>
        <v>13096.261</v>
      </c>
      <c r="H81">
        <f ca="1">IFERROR(IF(0=LEN(ReferenceData!$H$81),"",ReferenceData!$H$81),"")</f>
        <v>12815.992</v>
      </c>
      <c r="I81">
        <f ca="1">IFERROR(IF(0=LEN(ReferenceData!$I$81),"",ReferenceData!$I$81),"")</f>
        <v>13345.62</v>
      </c>
      <c r="J81">
        <f ca="1">IFERROR(IF(0=LEN(ReferenceData!$J$81),"",ReferenceData!$J$81),"")</f>
        <v>13265.5625</v>
      </c>
      <c r="K81">
        <f ca="1">IFERROR(IF(0=LEN(ReferenceData!$K$81),"",ReferenceData!$K$81),"")</f>
        <v>12322.884</v>
      </c>
      <c r="L81">
        <f ca="1">IFERROR(IF(0=LEN(ReferenceData!$L$81),"",ReferenceData!$L$81),"")</f>
        <v>12024.669</v>
      </c>
      <c r="M81">
        <f ca="1">IFERROR(IF(0=LEN(ReferenceData!$M$81),"",ReferenceData!$M$81),"")</f>
        <v>15633.339</v>
      </c>
      <c r="N81">
        <f ca="1">IFERROR(IF(0=LEN(ReferenceData!$N$81),"",ReferenceData!$N$81),"")</f>
        <v>11751.285</v>
      </c>
      <c r="O81">
        <f ca="1">IFERROR(IF(0=LEN(ReferenceData!$O$81),"",ReferenceData!$O$81),"")</f>
        <v>12508.636</v>
      </c>
      <c r="P81">
        <f ca="1">IFERROR(IF(0=LEN(ReferenceData!$P$81),"",ReferenceData!$P$81),"")</f>
        <v>10829.216</v>
      </c>
      <c r="Q81">
        <f ca="1">IFERROR(IF(0=LEN(ReferenceData!$Q$81),"",ReferenceData!$Q$81),"")</f>
        <v>11535.915999999999</v>
      </c>
      <c r="R81">
        <f ca="1">IFERROR(IF(0=LEN(ReferenceData!$R$81),"",ReferenceData!$R$81),"")</f>
        <v>11370.736999999999</v>
      </c>
      <c r="S81">
        <f ca="1">IFERROR(IF(0=LEN(ReferenceData!$S$81),"",ReferenceData!$S$81),"")</f>
        <v>9785.73</v>
      </c>
      <c r="T81">
        <f ca="1">IFERROR(IF(0=LEN(ReferenceData!$T$81),"",ReferenceData!$T$81),"")</f>
        <v>10531.458000000001</v>
      </c>
      <c r="U81">
        <f ca="1">IFERROR(IF(0=LEN(ReferenceData!$U$81),"",ReferenceData!$U$81),"")</f>
        <v>9680.5035000000007</v>
      </c>
      <c r="V81">
        <f ca="1">IFERROR(IF(0=LEN(ReferenceData!$V$81),"",ReferenceData!$V$81),"")</f>
        <v>8980.1720000000005</v>
      </c>
      <c r="W81">
        <f ca="1">IFERROR(IF(0=LEN(ReferenceData!$W$81),"",ReferenceData!$W$81),"")</f>
        <v>8510.2009999999991</v>
      </c>
      <c r="X81">
        <f ca="1">IFERROR(IF(0=LEN(ReferenceData!$X$81),"",ReferenceData!$X$81),"")</f>
        <v>8563.6820000000007</v>
      </c>
      <c r="Y81">
        <f ca="1">IFERROR(IF(0=LEN(ReferenceData!$Y$81),"",ReferenceData!$Y$81),"")</f>
        <v>7942.4040000000005</v>
      </c>
      <c r="Z81">
        <f ca="1">IFERROR(IF(0=LEN(ReferenceData!$Z$81),"",ReferenceData!$Z$81),"")</f>
        <v>8732.7189999999991</v>
      </c>
      <c r="AA81">
        <f ca="1">IFERROR(IF(0=LEN(ReferenceData!$AA$81),"",ReferenceData!$AA$81),"")</f>
        <v>6919.3270000000002</v>
      </c>
      <c r="AB81">
        <f ca="1">IFERROR(IF(0=LEN(ReferenceData!$AB$81),"",ReferenceData!$AB$81),"")</f>
        <v>6811.13</v>
      </c>
      <c r="AC81">
        <f ca="1">IFERROR(IF(0=LEN(ReferenceData!$AC$81),"",ReferenceData!$AC$81),"")</f>
        <v>6538.5730000000003</v>
      </c>
      <c r="AD81">
        <f ca="1">IFERROR(IF(0=LEN(ReferenceData!$AD$81),"",ReferenceData!$AD$81),"")</f>
        <v>6281.0990000000002</v>
      </c>
      <c r="AE81">
        <f ca="1">IFERROR(IF(0=LEN(ReferenceData!$AE$81),"",ReferenceData!$AE$81),"")</f>
        <v>5827.1109999999999</v>
      </c>
      <c r="AF81">
        <f ca="1">IFERROR(IF(0=LEN(ReferenceData!$AF$81),"",ReferenceData!$AF$81),"")</f>
        <v>5558.2960000000003</v>
      </c>
      <c r="AG81">
        <f ca="1">IFERROR(IF(0=LEN(ReferenceData!$AG$81),"",ReferenceData!$AG$81),"")</f>
        <v>5232.25</v>
      </c>
      <c r="AH81">
        <f ca="1">IFERROR(IF(0=LEN(ReferenceData!$AH$81),"",ReferenceData!$AH$81),"")</f>
        <v>4649.0445</v>
      </c>
      <c r="AI81">
        <f ca="1">IFERROR(IF(0=LEN(ReferenceData!$AI$81),"",ReferenceData!$AI$81),"")</f>
        <v>4344.5190000000002</v>
      </c>
      <c r="AJ81">
        <f ca="1">IFERROR(IF(0=LEN(ReferenceData!$AJ$81),"",ReferenceData!$AJ$81),"")</f>
        <v>4240.4650000000001</v>
      </c>
      <c r="AK81">
        <f ca="1">IFERROR(IF(0=LEN(ReferenceData!$AK$81),"",ReferenceData!$AK$81),"")</f>
        <v>4160.6840000000002</v>
      </c>
      <c r="AL81">
        <f ca="1">IFERROR(IF(0=LEN(ReferenceData!$AL$81),"",ReferenceData!$AL$81),"")</f>
        <v>3580.6990000000001</v>
      </c>
      <c r="AM81">
        <f ca="1">IFERROR(IF(0=LEN(ReferenceData!$AM$81),"",ReferenceData!$AM$81),"")</f>
        <v>3402.5639999999999</v>
      </c>
      <c r="AN81">
        <f ca="1">IFERROR(IF(0=LEN(ReferenceData!$AN$81),"",ReferenceData!$AN$81),"")</f>
        <v>3508.0120000000002</v>
      </c>
      <c r="AO81">
        <f ca="1">IFERROR(IF(0=LEN(ReferenceData!$AO$81),"",ReferenceData!$AO$81),"")</f>
        <v>3894.2840000000001</v>
      </c>
      <c r="AP81">
        <f ca="1">IFERROR(IF(0=LEN(ReferenceData!$AP$81),"",ReferenceData!$AP$81),"")</f>
        <v>5169.7749999999996</v>
      </c>
      <c r="AQ81">
        <f ca="1">IFERROR(IF(0=LEN(ReferenceData!$AQ$81),"",ReferenceData!$AQ$81),"")</f>
        <v>5223.7030000000004</v>
      </c>
      <c r="AR81">
        <f ca="1">IFERROR(IF(0=LEN(ReferenceData!$AR$81),"",ReferenceData!$AR$81),"")</f>
        <v>5034.18</v>
      </c>
      <c r="AS81">
        <f ca="1">IFERROR(IF(0=LEN(ReferenceData!$AS$81),"",ReferenceData!$AS$81),"")</f>
        <v>6265.4719999999998</v>
      </c>
      <c r="AT81">
        <f ca="1">IFERROR(IF(0=LEN(ReferenceData!$AT$81),"",ReferenceData!$AT$81),"")</f>
        <v>4983.8145000000004</v>
      </c>
      <c r="AU81">
        <f ca="1">IFERROR(IF(0=LEN(ReferenceData!$AU$81),"",ReferenceData!$AU$81),"")</f>
        <v>4770.3549999999996</v>
      </c>
      <c r="AV81">
        <f ca="1">IFERROR(IF(0=LEN(ReferenceData!$AV$81),"",ReferenceData!$AV$81),"")</f>
        <v>5747.6165000000001</v>
      </c>
      <c r="AW81">
        <f ca="1">IFERROR(IF(0=LEN(ReferenceData!$AW$81),"",ReferenceData!$AW$81),"")</f>
        <v>5967.6180000000004</v>
      </c>
      <c r="AX81">
        <f ca="1">IFERROR(IF(0=LEN(ReferenceData!$AX$81),"",ReferenceData!$AX$81),"")</f>
        <v>5545.0020000000004</v>
      </c>
      <c r="AY81">
        <f ca="1">IFERROR(IF(0=LEN(ReferenceData!$AY$81),"",ReferenceData!$AY$81),"")</f>
        <v>5087.6310000000003</v>
      </c>
      <c r="AZ81">
        <f ca="1">IFERROR(IF(0=LEN(ReferenceData!$AZ$81),"",ReferenceData!$AZ$81),"")</f>
        <v>5140.2969999999996</v>
      </c>
      <c r="BA81">
        <f ca="1">IFERROR(IF(0=LEN(ReferenceData!$BA$81),"",ReferenceData!$BA$81),"")</f>
        <v>4865.6660000000002</v>
      </c>
      <c r="BB81">
        <f ca="1">IFERROR(IF(0=LEN(ReferenceData!$BB$81),"",ReferenceData!$BB$81),"")</f>
        <v>5537.4459999999999</v>
      </c>
      <c r="BC81">
        <f ca="1">IFERROR(IF(0=LEN(ReferenceData!$BC$81),"",ReferenceData!$BC$81),"")</f>
        <v>4643.049</v>
      </c>
      <c r="BD81">
        <f ca="1">IFERROR(IF(0=LEN(ReferenceData!$BD$81),"",ReferenceData!$BD$81),"")</f>
        <v>4341.3424999999997</v>
      </c>
      <c r="BE81">
        <f ca="1">IFERROR(IF(0=LEN(ReferenceData!$BE$81),"",ReferenceData!$BE$81),"")</f>
        <v>4133.4719999999998</v>
      </c>
      <c r="BF81">
        <f ca="1">IFERROR(IF(0=LEN(ReferenceData!$BF$81),"",ReferenceData!$BF$81),"")</f>
        <v>5131.1909999999998</v>
      </c>
      <c r="BG81">
        <f ca="1">IFERROR(IF(0=LEN(ReferenceData!$BG$81),"",ReferenceData!$BG$81),"")</f>
        <v>4012.1709999999998</v>
      </c>
      <c r="BH81">
        <f ca="1">IFERROR(IF(0=LEN(ReferenceData!$BH$81),"",ReferenceData!$BH$81),"")</f>
        <v>3956.2689999999998</v>
      </c>
      <c r="BI81">
        <f ca="1">IFERROR(IF(0=LEN(ReferenceData!$BI$81),"",ReferenceData!$BI$81),"")</f>
        <v>3835.6579999999999</v>
      </c>
      <c r="BJ81">
        <f ca="1">IFERROR(IF(0=LEN(ReferenceData!$BJ$81),"",ReferenceData!$BJ$81),"")</f>
        <v>4160.6440000000002</v>
      </c>
      <c r="BK81">
        <f ca="1">IFERROR(IF(0=LEN(ReferenceData!$BK$81),"",ReferenceData!$BK$81),"")</f>
        <v>3745.3879999999999</v>
      </c>
      <c r="BL81">
        <f ca="1">IFERROR(IF(0=LEN(ReferenceData!$BL$81),"",ReferenceData!$BL$81),"")</f>
        <v>3606.8049999999998</v>
      </c>
      <c r="BM81">
        <f ca="1">IFERROR(IF(0=LEN(ReferenceData!$BM$81),"",ReferenceData!$BM$81),"")</f>
        <v>3441.6889999999999</v>
      </c>
    </row>
    <row r="82" spans="1:65">
      <c r="A82" t="str">
        <f>IFERROR(IF(0=LEN(ReferenceData!$A$82),"",ReferenceData!$A$82),"")</f>
        <v xml:space="preserve">    </v>
      </c>
      <c r="B82" t="str">
        <f>IFERROR(IF(0=LEN(ReferenceData!$B$82),"",ReferenceData!$B$82),"")</f>
        <v/>
      </c>
      <c r="C82" t="str">
        <f>IFERROR(IF(0=LEN(ReferenceData!$C$82),"",ReferenceData!$C$82),"")</f>
        <v/>
      </c>
      <c r="D82" t="str">
        <f>IFERROR(IF(0=LEN(ReferenceData!$D$82),"",ReferenceData!$D$82),"")</f>
        <v/>
      </c>
      <c r="E82" t="str">
        <f>IFERROR(IF(0=LEN(ReferenceData!$E$82),"",ReferenceData!$E$82),"")</f>
        <v>静态</v>
      </c>
      <c r="F82" t="str">
        <f ca="1">IFERROR(IF(0=LEN(ReferenceData!$F$82),"",ReferenceData!$F$82),"")</f>
        <v/>
      </c>
      <c r="G82" t="str">
        <f ca="1">IFERROR(IF(0=LEN(ReferenceData!$G$82),"",ReferenceData!$G$82),"")</f>
        <v/>
      </c>
      <c r="H82" t="str">
        <f ca="1">IFERROR(IF(0=LEN(ReferenceData!$H$82),"",ReferenceData!$H$82),"")</f>
        <v/>
      </c>
      <c r="I82" t="str">
        <f ca="1">IFERROR(IF(0=LEN(ReferenceData!$I$82),"",ReferenceData!$I$82),"")</f>
        <v/>
      </c>
      <c r="J82" t="str">
        <f ca="1">IFERROR(IF(0=LEN(ReferenceData!$J$82),"",ReferenceData!$J$82),"")</f>
        <v/>
      </c>
      <c r="K82" t="str">
        <f ca="1">IFERROR(IF(0=LEN(ReferenceData!$K$82),"",ReferenceData!$K$82),"")</f>
        <v/>
      </c>
      <c r="L82" t="str">
        <f ca="1">IFERROR(IF(0=LEN(ReferenceData!$L$82),"",ReferenceData!$L$82),"")</f>
        <v/>
      </c>
      <c r="M82" t="str">
        <f ca="1">IFERROR(IF(0=LEN(ReferenceData!$M$82),"",ReferenceData!$M$82),"")</f>
        <v/>
      </c>
      <c r="N82" t="str">
        <f ca="1">IFERROR(IF(0=LEN(ReferenceData!$N$82),"",ReferenceData!$N$82),"")</f>
        <v/>
      </c>
      <c r="O82" t="str">
        <f ca="1">IFERROR(IF(0=LEN(ReferenceData!$O$82),"",ReferenceData!$O$82),"")</f>
        <v/>
      </c>
      <c r="P82" t="str">
        <f ca="1">IFERROR(IF(0=LEN(ReferenceData!$P$82),"",ReferenceData!$P$82),"")</f>
        <v/>
      </c>
      <c r="Q82" t="str">
        <f ca="1">IFERROR(IF(0=LEN(ReferenceData!$Q$82),"",ReferenceData!$Q$82),"")</f>
        <v/>
      </c>
      <c r="R82" t="str">
        <f ca="1">IFERROR(IF(0=LEN(ReferenceData!$R$82),"",ReferenceData!$R$82),"")</f>
        <v/>
      </c>
      <c r="S82" t="str">
        <f ca="1">IFERROR(IF(0=LEN(ReferenceData!$S$82),"",ReferenceData!$S$82),"")</f>
        <v/>
      </c>
      <c r="T82" t="str">
        <f ca="1">IFERROR(IF(0=LEN(ReferenceData!$T$82),"",ReferenceData!$T$82),"")</f>
        <v/>
      </c>
      <c r="U82" t="str">
        <f ca="1">IFERROR(IF(0=LEN(ReferenceData!$U$82),"",ReferenceData!$U$82),"")</f>
        <v/>
      </c>
      <c r="V82" t="str">
        <f ca="1">IFERROR(IF(0=LEN(ReferenceData!$V$82),"",ReferenceData!$V$82),"")</f>
        <v/>
      </c>
      <c r="W82" t="str">
        <f ca="1">IFERROR(IF(0=LEN(ReferenceData!$W$82),"",ReferenceData!$W$82),"")</f>
        <v/>
      </c>
      <c r="X82" t="str">
        <f ca="1">IFERROR(IF(0=LEN(ReferenceData!$X$82),"",ReferenceData!$X$82),"")</f>
        <v/>
      </c>
      <c r="Y82" t="str">
        <f ca="1">IFERROR(IF(0=LEN(ReferenceData!$Y$82),"",ReferenceData!$Y$82),"")</f>
        <v/>
      </c>
      <c r="Z82" t="str">
        <f ca="1">IFERROR(IF(0=LEN(ReferenceData!$Z$82),"",ReferenceData!$Z$82),"")</f>
        <v/>
      </c>
      <c r="AA82" t="str">
        <f ca="1">IFERROR(IF(0=LEN(ReferenceData!$AA$82),"",ReferenceData!$AA$82),"")</f>
        <v/>
      </c>
      <c r="AB82" t="str">
        <f ca="1">IFERROR(IF(0=LEN(ReferenceData!$AB$82),"",ReferenceData!$AB$82),"")</f>
        <v/>
      </c>
      <c r="AC82" t="str">
        <f ca="1">IFERROR(IF(0=LEN(ReferenceData!$AC$82),"",ReferenceData!$AC$82),"")</f>
        <v/>
      </c>
      <c r="AD82" t="str">
        <f ca="1">IFERROR(IF(0=LEN(ReferenceData!$AD$82),"",ReferenceData!$AD$82),"")</f>
        <v/>
      </c>
      <c r="AE82" t="str">
        <f ca="1">IFERROR(IF(0=LEN(ReferenceData!$AE$82),"",ReferenceData!$AE$82),"")</f>
        <v/>
      </c>
      <c r="AF82" t="str">
        <f ca="1">IFERROR(IF(0=LEN(ReferenceData!$AF$82),"",ReferenceData!$AF$82),"")</f>
        <v/>
      </c>
      <c r="AG82" t="str">
        <f ca="1">IFERROR(IF(0=LEN(ReferenceData!$AG$82),"",ReferenceData!$AG$82),"")</f>
        <v/>
      </c>
      <c r="AH82" t="str">
        <f ca="1">IFERROR(IF(0=LEN(ReferenceData!$AH$82),"",ReferenceData!$AH$82),"")</f>
        <v/>
      </c>
      <c r="AI82" t="str">
        <f ca="1">IFERROR(IF(0=LEN(ReferenceData!$AI$82),"",ReferenceData!$AI$82),"")</f>
        <v/>
      </c>
      <c r="AJ82" t="str">
        <f ca="1">IFERROR(IF(0=LEN(ReferenceData!$AJ$82),"",ReferenceData!$AJ$82),"")</f>
        <v/>
      </c>
      <c r="AK82" t="str">
        <f ca="1">IFERROR(IF(0=LEN(ReferenceData!$AK$82),"",ReferenceData!$AK$82),"")</f>
        <v/>
      </c>
      <c r="AL82" t="str">
        <f ca="1">IFERROR(IF(0=LEN(ReferenceData!$AL$82),"",ReferenceData!$AL$82),"")</f>
        <v/>
      </c>
      <c r="AM82" t="str">
        <f ca="1">IFERROR(IF(0=LEN(ReferenceData!$AM$82),"",ReferenceData!$AM$82),"")</f>
        <v/>
      </c>
      <c r="AN82" t="str">
        <f ca="1">IFERROR(IF(0=LEN(ReferenceData!$AN$82),"",ReferenceData!$AN$82),"")</f>
        <v/>
      </c>
      <c r="AO82" t="str">
        <f ca="1">IFERROR(IF(0=LEN(ReferenceData!$AO$82),"",ReferenceData!$AO$82),"")</f>
        <v/>
      </c>
      <c r="AP82" t="str">
        <f ca="1">IFERROR(IF(0=LEN(ReferenceData!$AP$82),"",ReferenceData!$AP$82),"")</f>
        <v/>
      </c>
      <c r="AQ82" t="str">
        <f ca="1">IFERROR(IF(0=LEN(ReferenceData!$AQ$82),"",ReferenceData!$AQ$82),"")</f>
        <v/>
      </c>
      <c r="AR82" t="str">
        <f ca="1">IFERROR(IF(0=LEN(ReferenceData!$AR$82),"",ReferenceData!$AR$82),"")</f>
        <v/>
      </c>
      <c r="AS82" t="str">
        <f ca="1">IFERROR(IF(0=LEN(ReferenceData!$AS$82),"",ReferenceData!$AS$82),"")</f>
        <v/>
      </c>
      <c r="AT82" t="str">
        <f ca="1">IFERROR(IF(0=LEN(ReferenceData!$AT$82),"",ReferenceData!$AT$82),"")</f>
        <v/>
      </c>
      <c r="AU82" t="str">
        <f ca="1">IFERROR(IF(0=LEN(ReferenceData!$AU$82),"",ReferenceData!$AU$82),"")</f>
        <v/>
      </c>
      <c r="AV82" t="str">
        <f ca="1">IFERROR(IF(0=LEN(ReferenceData!$AV$82),"",ReferenceData!$AV$82),"")</f>
        <v/>
      </c>
      <c r="AW82" t="str">
        <f ca="1">IFERROR(IF(0=LEN(ReferenceData!$AW$82),"",ReferenceData!$AW$82),"")</f>
        <v/>
      </c>
      <c r="AX82" t="str">
        <f ca="1">IFERROR(IF(0=LEN(ReferenceData!$AX$82),"",ReferenceData!$AX$82),"")</f>
        <v/>
      </c>
      <c r="AY82" t="str">
        <f ca="1">IFERROR(IF(0=LEN(ReferenceData!$AY$82),"",ReferenceData!$AY$82),"")</f>
        <v/>
      </c>
      <c r="AZ82" t="str">
        <f ca="1">IFERROR(IF(0=LEN(ReferenceData!$AZ$82),"",ReferenceData!$AZ$82),"")</f>
        <v/>
      </c>
      <c r="BA82" t="str">
        <f ca="1">IFERROR(IF(0=LEN(ReferenceData!$BA$82),"",ReferenceData!$BA$82),"")</f>
        <v/>
      </c>
      <c r="BB82" t="str">
        <f ca="1">IFERROR(IF(0=LEN(ReferenceData!$BB$82),"",ReferenceData!$BB$82),"")</f>
        <v/>
      </c>
      <c r="BC82" t="str">
        <f ca="1">IFERROR(IF(0=LEN(ReferenceData!$BC$82),"",ReferenceData!$BC$82),"")</f>
        <v/>
      </c>
      <c r="BD82" t="str">
        <f ca="1">IFERROR(IF(0=LEN(ReferenceData!$BD$82),"",ReferenceData!$BD$82),"")</f>
        <v/>
      </c>
      <c r="BE82" t="str">
        <f ca="1">IFERROR(IF(0=LEN(ReferenceData!$BE$82),"",ReferenceData!$BE$82),"")</f>
        <v/>
      </c>
      <c r="BF82" t="str">
        <f ca="1">IFERROR(IF(0=LEN(ReferenceData!$BF$82),"",ReferenceData!$BF$82),"")</f>
        <v/>
      </c>
      <c r="BG82" t="str">
        <f ca="1">IFERROR(IF(0=LEN(ReferenceData!$BG$82),"",ReferenceData!$BG$82),"")</f>
        <v/>
      </c>
      <c r="BH82" t="str">
        <f ca="1">IFERROR(IF(0=LEN(ReferenceData!$BH$82),"",ReferenceData!$BH$82),"")</f>
        <v/>
      </c>
      <c r="BI82" t="str">
        <f ca="1">IFERROR(IF(0=LEN(ReferenceData!$BI$82),"",ReferenceData!$BI$82),"")</f>
        <v/>
      </c>
      <c r="BJ82" t="str">
        <f ca="1">IFERROR(IF(0=LEN(ReferenceData!$BJ$82),"",ReferenceData!$BJ$82),"")</f>
        <v/>
      </c>
      <c r="BK82" t="str">
        <f ca="1">IFERROR(IF(0=LEN(ReferenceData!$BK$82),"",ReferenceData!$BK$82),"")</f>
        <v/>
      </c>
      <c r="BL82" t="str">
        <f ca="1">IFERROR(IF(0=LEN(ReferenceData!$BL$82),"",ReferenceData!$BL$82),"")</f>
        <v/>
      </c>
      <c r="BM82" t="str">
        <f ca="1">IFERROR(IF(0=LEN(ReferenceData!$BM$82),"",ReferenceData!$BM$82),"")</f>
        <v/>
      </c>
    </row>
    <row r="83" spans="1:65">
      <c r="A83" t="str">
        <f>IFERROR(IF(0=LEN(ReferenceData!$A$83),"",ReferenceData!$A$83),"")</f>
        <v>总收购-所有房地产投资信托</v>
      </c>
      <c r="B83" t="str">
        <f>IFERROR(IF(0=LEN(ReferenceData!$B$83),"",ReferenceData!$B$83),"")</f>
        <v>RECFTAEQ Index</v>
      </c>
      <c r="C83" t="str">
        <f>IFERROR(IF(0=LEN(ReferenceData!$C$83),"",ReferenceData!$C$83),"")</f>
        <v/>
      </c>
      <c r="D83" t="str">
        <f>IFERROR(IF(0=LEN(ReferenceData!$D$83),"",ReferenceData!$D$83),"")</f>
        <v/>
      </c>
      <c r="E83" t="str">
        <f>IFERROR(IF(0=LEN(ReferenceData!$E$83),"",ReferenceData!$E$83),"")</f>
        <v>Expression</v>
      </c>
      <c r="F83">
        <f ca="1">IFERROR(IF(0=LEN(ReferenceData!$F$83),"",ReferenceData!$F$83),"")</f>
        <v>11170.272000000001</v>
      </c>
      <c r="G83">
        <f ca="1">IFERROR(IF(0=LEN(ReferenceData!$G$83),"",ReferenceData!$G$83),"")</f>
        <v>12353.967000000001</v>
      </c>
      <c r="H83">
        <f ca="1">IFERROR(IF(0=LEN(ReferenceData!$H$83),"",ReferenceData!$H$83),"")</f>
        <v>20178.47</v>
      </c>
      <c r="I83">
        <f ca="1">IFERROR(IF(0=LEN(ReferenceData!$I$83),"",ReferenceData!$I$83),"")</f>
        <v>9786.2950000000001</v>
      </c>
      <c r="J83">
        <f ca="1">IFERROR(IF(0=LEN(ReferenceData!$J$83),"",ReferenceData!$J$83),"")</f>
        <v>17934.924999999999</v>
      </c>
      <c r="K83">
        <f ca="1">IFERROR(IF(0=LEN(ReferenceData!$K$83),"",ReferenceData!$K$83),"")</f>
        <v>16110.17</v>
      </c>
      <c r="L83">
        <f ca="1">IFERROR(IF(0=LEN(ReferenceData!$L$83),"",ReferenceData!$L$83),"")</f>
        <v>19380.153999999999</v>
      </c>
      <c r="M83">
        <f ca="1">IFERROR(IF(0=LEN(ReferenceData!$M$83),"",ReferenceData!$M$83),"")</f>
        <v>19647.813999999998</v>
      </c>
      <c r="N83">
        <f ca="1">IFERROR(IF(0=LEN(ReferenceData!$N$83),"",ReferenceData!$N$83),"")</f>
        <v>16287.177</v>
      </c>
      <c r="O83">
        <f ca="1">IFERROR(IF(0=LEN(ReferenceData!$O$83),"",ReferenceData!$O$83),"")</f>
        <v>20708.252</v>
      </c>
      <c r="P83">
        <f ca="1">IFERROR(IF(0=LEN(ReferenceData!$P$83),"",ReferenceData!$P$83),"")</f>
        <v>33386.444000000003</v>
      </c>
      <c r="Q83">
        <f ca="1">IFERROR(IF(0=LEN(ReferenceData!$Q$83),"",ReferenceData!$Q$83),"")</f>
        <v>26506.894</v>
      </c>
      <c r="R83">
        <f ca="1">IFERROR(IF(0=LEN(ReferenceData!$R$83),"",ReferenceData!$R$83),"")</f>
        <v>27784.914000000001</v>
      </c>
      <c r="S83">
        <f ca="1">IFERROR(IF(0=LEN(ReferenceData!$S$83),"",ReferenceData!$S$83),"")</f>
        <v>19673.705000000002</v>
      </c>
      <c r="T83">
        <f ca="1">IFERROR(IF(0=LEN(ReferenceData!$T$83),"",ReferenceData!$T$83),"")</f>
        <v>20483.649000000001</v>
      </c>
      <c r="U83">
        <f ca="1">IFERROR(IF(0=LEN(ReferenceData!$U$83),"",ReferenceData!$U$83),"")</f>
        <v>22886.835999999999</v>
      </c>
      <c r="V83">
        <f ca="1">IFERROR(IF(0=LEN(ReferenceData!$V$83),"",ReferenceData!$V$83),"")</f>
        <v>21096.57</v>
      </c>
      <c r="W83">
        <f ca="1">IFERROR(IF(0=LEN(ReferenceData!$W$83),"",ReferenceData!$W$83),"")</f>
        <v>21375.949000000001</v>
      </c>
      <c r="X83">
        <f ca="1">IFERROR(IF(0=LEN(ReferenceData!$X$83),"",ReferenceData!$X$83),"")</f>
        <v>11227.119000000001</v>
      </c>
      <c r="Y83">
        <f ca="1">IFERROR(IF(0=LEN(ReferenceData!$Y$83),"",ReferenceData!$Y$83),"")</f>
        <v>28832.038</v>
      </c>
      <c r="Z83">
        <f ca="1">IFERROR(IF(0=LEN(ReferenceData!$Z$83),"",ReferenceData!$Z$83),"")</f>
        <v>19435.814999999999</v>
      </c>
      <c r="AA83">
        <f ca="1">IFERROR(IF(0=LEN(ReferenceData!$AA$83),"",ReferenceData!$AA$83),"")</f>
        <v>13934.698</v>
      </c>
      <c r="AB83">
        <f ca="1">IFERROR(IF(0=LEN(ReferenceData!$AB$83),"",ReferenceData!$AB$83),"")</f>
        <v>10207.397000000001</v>
      </c>
      <c r="AC83">
        <f ca="1">IFERROR(IF(0=LEN(ReferenceData!$AC$83),"",ReferenceData!$AC$83),"")</f>
        <v>11781.742</v>
      </c>
      <c r="AD83">
        <f ca="1">IFERROR(IF(0=LEN(ReferenceData!$AD$83),"",ReferenceData!$AD$83),"")</f>
        <v>19241.847000000002</v>
      </c>
      <c r="AE83">
        <f ca="1">IFERROR(IF(0=LEN(ReferenceData!$AE$83),"",ReferenceData!$AE$83),"")</f>
        <v>18534.689999999999</v>
      </c>
      <c r="AF83">
        <f ca="1">IFERROR(IF(0=LEN(ReferenceData!$AF$83),"",ReferenceData!$AF$83),"")</f>
        <v>35550.381999999998</v>
      </c>
      <c r="AG83">
        <f ca="1">IFERROR(IF(0=LEN(ReferenceData!$AG$83),"",ReferenceData!$AG$83),"")</f>
        <v>10220.182000000001</v>
      </c>
      <c r="AH83">
        <f ca="1">IFERROR(IF(0=LEN(ReferenceData!$AH$83),"",ReferenceData!$AH$83),"")</f>
        <v>12031.567999999999</v>
      </c>
      <c r="AI83">
        <f ca="1">IFERROR(IF(0=LEN(ReferenceData!$AI$83),"",ReferenceData!$AI$83),"")</f>
        <v>11473.981</v>
      </c>
      <c r="AJ83">
        <f ca="1">IFERROR(IF(0=LEN(ReferenceData!$AJ$83),"",ReferenceData!$AJ$83),"")</f>
        <v>4894.4520000000002</v>
      </c>
      <c r="AK83">
        <f ca="1">IFERROR(IF(0=LEN(ReferenceData!$AK$83),"",ReferenceData!$AK$83),"")</f>
        <v>3674.6419999999998</v>
      </c>
      <c r="AL83">
        <f ca="1">IFERROR(IF(0=LEN(ReferenceData!$AL$83),"",ReferenceData!$AL$83),"")</f>
        <v>2231.3470000000002</v>
      </c>
      <c r="AM83">
        <f ca="1">IFERROR(IF(0=LEN(ReferenceData!$AM$83),"",ReferenceData!$AM$83),"")</f>
        <v>876.23500000000001</v>
      </c>
      <c r="AN83">
        <f ca="1">IFERROR(IF(0=LEN(ReferenceData!$AN$83),"",ReferenceData!$AN$83),"")</f>
        <v>480.91</v>
      </c>
      <c r="AO83">
        <f ca="1">IFERROR(IF(0=LEN(ReferenceData!$AO$83),"",ReferenceData!$AO$83),"")</f>
        <v>268.97800000000001</v>
      </c>
      <c r="AP83">
        <f ca="1">IFERROR(IF(0=LEN(ReferenceData!$AP$83),"",ReferenceData!$AP$83),"")</f>
        <v>1237.1659999999999</v>
      </c>
      <c r="AQ83">
        <f ca="1">IFERROR(IF(0=LEN(ReferenceData!$AQ$83),"",ReferenceData!$AQ$83),"")</f>
        <v>3775.4749999999999</v>
      </c>
      <c r="AR83">
        <f ca="1">IFERROR(IF(0=LEN(ReferenceData!$AR$83),"",ReferenceData!$AR$83),"")</f>
        <v>5886.7529999999997</v>
      </c>
      <c r="AS83">
        <f ca="1">IFERROR(IF(0=LEN(ReferenceData!$AS$83),"",ReferenceData!$AS$83),"")</f>
        <v>4346.99</v>
      </c>
      <c r="AT83">
        <f ca="1">IFERROR(IF(0=LEN(ReferenceData!$AT$83),"",ReferenceData!$AT$83),"")</f>
        <v>6359.232</v>
      </c>
      <c r="AU83">
        <f ca="1">IFERROR(IF(0=LEN(ReferenceData!$AU$83),"",ReferenceData!$AU$83),"")</f>
        <v>8828.4920000000002</v>
      </c>
      <c r="AV83">
        <f ca="1">IFERROR(IF(0=LEN(ReferenceData!$AV$83),"",ReferenceData!$AV$83),"")</f>
        <v>17720.069</v>
      </c>
      <c r="AW83">
        <f ca="1">IFERROR(IF(0=LEN(ReferenceData!$AW$83),"",ReferenceData!$AW$83),"")</f>
        <v>23318.384999999998</v>
      </c>
      <c r="AX83">
        <f ca="1">IFERROR(IF(0=LEN(ReferenceData!$AX$83),"",ReferenceData!$AX$83),"")</f>
        <v>20400.796999999999</v>
      </c>
      <c r="AY83">
        <f ca="1">IFERROR(IF(0=LEN(ReferenceData!$AY$83),"",ReferenceData!$AY$83),"")</f>
        <v>10113.853999999999</v>
      </c>
      <c r="AZ83">
        <f ca="1">IFERROR(IF(0=LEN(ReferenceData!$AZ$83),"",ReferenceData!$AZ$83),"")</f>
        <v>13677.34</v>
      </c>
      <c r="BA83">
        <f ca="1">IFERROR(IF(0=LEN(ReferenceData!$BA$83),"",ReferenceData!$BA$83),"")</f>
        <v>12799.601000000001</v>
      </c>
      <c r="BB83">
        <f ca="1">IFERROR(IF(0=LEN(ReferenceData!$BB$83),"",ReferenceData!$BB$83),"")</f>
        <v>11464.396000000001</v>
      </c>
      <c r="BC83">
        <f ca="1">IFERROR(IF(0=LEN(ReferenceData!$BC$83),"",ReferenceData!$BC$83),"")</f>
        <v>15142.471</v>
      </c>
      <c r="BD83">
        <f ca="1">IFERROR(IF(0=LEN(ReferenceData!$BD$83),"",ReferenceData!$BD$83),"")</f>
        <v>17777.991000000002</v>
      </c>
      <c r="BE83">
        <f ca="1">IFERROR(IF(0=LEN(ReferenceData!$BE$83),"",ReferenceData!$BE$83),"")</f>
        <v>11727.174999999999</v>
      </c>
      <c r="BF83">
        <f ca="1">IFERROR(IF(0=LEN(ReferenceData!$BF$83),"",ReferenceData!$BF$83),"")</f>
        <v>24310.256000000001</v>
      </c>
      <c r="BG83">
        <f ca="1">IFERROR(IF(0=LEN(ReferenceData!$BG$83),"",ReferenceData!$BG$83),"")</f>
        <v>12493.241</v>
      </c>
      <c r="BH83">
        <f ca="1">IFERROR(IF(0=LEN(ReferenceData!$BH$83),"",ReferenceData!$BH$83),"")</f>
        <v>10007.315000000001</v>
      </c>
      <c r="BI83">
        <f ca="1">IFERROR(IF(0=LEN(ReferenceData!$BI$83),"",ReferenceData!$BI$83),"")</f>
        <v>7521.7529999999997</v>
      </c>
      <c r="BJ83">
        <f ca="1">IFERROR(IF(0=LEN(ReferenceData!$BJ$83),"",ReferenceData!$BJ$83),"")</f>
        <v>3607.3939999999998</v>
      </c>
      <c r="BK83">
        <f ca="1">IFERROR(IF(0=LEN(ReferenceData!$BK$83),"",ReferenceData!$BK$83),"")</f>
        <v>311.30099999999999</v>
      </c>
      <c r="BL83">
        <f ca="1">IFERROR(IF(0=LEN(ReferenceData!$BL$83),"",ReferenceData!$BL$83),"")</f>
        <v>518.47299999999996</v>
      </c>
      <c r="BM83">
        <f ca="1">IFERROR(IF(0=LEN(ReferenceData!$BM$83),"",ReferenceData!$BM$83),"")</f>
        <v>1771.4</v>
      </c>
    </row>
    <row r="84" spans="1:65">
      <c r="A84" t="str">
        <f>IFERROR(IF(0=LEN(ReferenceData!$A$84),"",ReferenceData!$A$84),"")</f>
        <v xml:space="preserve">    Office REITs</v>
      </c>
      <c r="B84" t="str">
        <f>IFERROR(IF(0=LEN(ReferenceData!$B$84),"",ReferenceData!$B$84),"")</f>
        <v>RECFTAOF Index</v>
      </c>
      <c r="C84" t="str">
        <f>IFERROR(IF(0=LEN(ReferenceData!$C$84),"",ReferenceData!$C$84),"")</f>
        <v/>
      </c>
      <c r="D84" t="str">
        <f>IFERROR(IF(0=LEN(ReferenceData!$D$84),"",ReferenceData!$D$84),"")</f>
        <v/>
      </c>
      <c r="E84" t="str">
        <f>IFERROR(IF(0=LEN(ReferenceData!$E$84),"",ReferenceData!$E$84),"")</f>
        <v>Expression</v>
      </c>
      <c r="F84">
        <f ca="1">IFERROR(IF(0=LEN(ReferenceData!$F$84),"",ReferenceData!$F$84),"")</f>
        <v>2918.5450000000001</v>
      </c>
      <c r="G84">
        <f ca="1">IFERROR(IF(0=LEN(ReferenceData!$G$84),"",ReferenceData!$G$84),"")</f>
        <v>842.91200000000003</v>
      </c>
      <c r="H84">
        <f ca="1">IFERROR(IF(0=LEN(ReferenceData!$H$84),"",ReferenceData!$H$84),"")</f>
        <v>1459.193</v>
      </c>
      <c r="I84">
        <f ca="1">IFERROR(IF(0=LEN(ReferenceData!$I$84),"",ReferenceData!$I$84),"")</f>
        <v>1211.7809999999999</v>
      </c>
      <c r="J84">
        <f ca="1">IFERROR(IF(0=LEN(ReferenceData!$J$84),"",ReferenceData!$J$84),"")</f>
        <v>5052.027</v>
      </c>
      <c r="K84">
        <f ca="1">IFERROR(IF(0=LEN(ReferenceData!$K$84),"",ReferenceData!$K$84),"")</f>
        <v>2289.7739999999999</v>
      </c>
      <c r="L84">
        <f ca="1">IFERROR(IF(0=LEN(ReferenceData!$L$84),"",ReferenceData!$L$84),"")</f>
        <v>1889.355</v>
      </c>
      <c r="M84">
        <f ca="1">IFERROR(IF(0=LEN(ReferenceData!$M$84),"",ReferenceData!$M$84),"")</f>
        <v>1644.2449999999999</v>
      </c>
      <c r="N84">
        <f ca="1">IFERROR(IF(0=LEN(ReferenceData!$N$84),"",ReferenceData!$N$84),"")</f>
        <v>4085.1080000000002</v>
      </c>
      <c r="O84">
        <f ca="1">IFERROR(IF(0=LEN(ReferenceData!$O$84),"",ReferenceData!$O$84),"")</f>
        <v>4647.0990000000002</v>
      </c>
      <c r="P84">
        <f ca="1">IFERROR(IF(0=LEN(ReferenceData!$P$84),"",ReferenceData!$P$84),"")</f>
        <v>4819.5460000000003</v>
      </c>
      <c r="Q84">
        <f ca="1">IFERROR(IF(0=LEN(ReferenceData!$Q$84),"",ReferenceData!$Q$84),"")</f>
        <v>2023.002</v>
      </c>
      <c r="R84">
        <f ca="1">IFERROR(IF(0=LEN(ReferenceData!$R$84),"",ReferenceData!$R$84),"")</f>
        <v>2880.2020000000002</v>
      </c>
      <c r="S84">
        <f ca="1">IFERROR(IF(0=LEN(ReferenceData!$S$84),"",ReferenceData!$S$84),"")</f>
        <v>2523.4279999999999</v>
      </c>
      <c r="T84">
        <f ca="1">IFERROR(IF(0=LEN(ReferenceData!$T$84),"",ReferenceData!$T$84),"")</f>
        <v>2725.13</v>
      </c>
      <c r="U84">
        <f ca="1">IFERROR(IF(0=LEN(ReferenceData!$U$84),"",ReferenceData!$U$84),"")</f>
        <v>359.589</v>
      </c>
      <c r="V84">
        <f ca="1">IFERROR(IF(0=LEN(ReferenceData!$V$84),"",ReferenceData!$V$84),"")</f>
        <v>2900.5320000000002</v>
      </c>
      <c r="W84">
        <f ca="1">IFERROR(IF(0=LEN(ReferenceData!$W$84),"",ReferenceData!$W$84),"")</f>
        <v>1878.2170000000001</v>
      </c>
      <c r="X84">
        <f ca="1">IFERROR(IF(0=LEN(ReferenceData!$X$84),"",ReferenceData!$X$84),"")</f>
        <v>1112.4549999999999</v>
      </c>
      <c r="Y84">
        <f ca="1">IFERROR(IF(0=LEN(ReferenceData!$Y$84),"",ReferenceData!$Y$84),"")</f>
        <v>1409.2380000000001</v>
      </c>
      <c r="Z84">
        <f ca="1">IFERROR(IF(0=LEN(ReferenceData!$Z$84),"",ReferenceData!$Z$84),"")</f>
        <v>2150.0100000000002</v>
      </c>
      <c r="AA84">
        <f ca="1">IFERROR(IF(0=LEN(ReferenceData!$AA$84),"",ReferenceData!$AA$84),"")</f>
        <v>2281.6460000000002</v>
      </c>
      <c r="AB84">
        <f ca="1">IFERROR(IF(0=LEN(ReferenceData!$AB$84),"",ReferenceData!$AB$84),"")</f>
        <v>1089.17</v>
      </c>
      <c r="AC84">
        <f ca="1">IFERROR(IF(0=LEN(ReferenceData!$AC$84),"",ReferenceData!$AC$84),"")</f>
        <v>2029.66</v>
      </c>
      <c r="AD84">
        <f ca="1">IFERROR(IF(0=LEN(ReferenceData!$AD$84),"",ReferenceData!$AD$84),"")</f>
        <v>1303.1559999999999</v>
      </c>
      <c r="AE84">
        <f ca="1">IFERROR(IF(0=LEN(ReferenceData!$AE$84),"",ReferenceData!$AE$84),"")</f>
        <v>1575.3119999999999</v>
      </c>
      <c r="AF84">
        <f ca="1">IFERROR(IF(0=LEN(ReferenceData!$AF$84),"",ReferenceData!$AF$84),"")</f>
        <v>4069.3710000000001</v>
      </c>
      <c r="AG84">
        <f ca="1">IFERROR(IF(0=LEN(ReferenceData!$AG$84),"",ReferenceData!$AG$84),"")</f>
        <v>1966.163</v>
      </c>
      <c r="AH84">
        <f ca="1">IFERROR(IF(0=LEN(ReferenceData!$AH$84),"",ReferenceData!$AH$84),"")</f>
        <v>3916.9070000000002</v>
      </c>
      <c r="AI84">
        <f ca="1">IFERROR(IF(0=LEN(ReferenceData!$AI$84),"",ReferenceData!$AI$84),"")</f>
        <v>1623.4929999999999</v>
      </c>
      <c r="AJ84">
        <f ca="1">IFERROR(IF(0=LEN(ReferenceData!$AJ$84),"",ReferenceData!$AJ$84),"")</f>
        <v>1361.095</v>
      </c>
      <c r="AK84">
        <f ca="1">IFERROR(IF(0=LEN(ReferenceData!$AK$84),"",ReferenceData!$AK$84),"")</f>
        <v>290.19799999999998</v>
      </c>
      <c r="AL84">
        <f ca="1">IFERROR(IF(0=LEN(ReferenceData!$AL$84),"",ReferenceData!$AL$84),"")</f>
        <v>474.51900000000001</v>
      </c>
      <c r="AM84">
        <f ca="1">IFERROR(IF(0=LEN(ReferenceData!$AM$84),"",ReferenceData!$AM$84),"")</f>
        <v>298.8</v>
      </c>
      <c r="AN84">
        <f ca="1">IFERROR(IF(0=LEN(ReferenceData!$AN$84),"",ReferenceData!$AN$84),"")</f>
        <v>232.53399999999999</v>
      </c>
      <c r="AO84">
        <f ca="1">IFERROR(IF(0=LEN(ReferenceData!$AO$84),"",ReferenceData!$AO$84),"")</f>
        <v>57.5</v>
      </c>
      <c r="AP84">
        <f ca="1">IFERROR(IF(0=LEN(ReferenceData!$AP$84),"",ReferenceData!$AP$84),"")</f>
        <v>195.709</v>
      </c>
      <c r="AQ84">
        <f ca="1">IFERROR(IF(0=LEN(ReferenceData!$AQ$84),"",ReferenceData!$AQ$84),"")</f>
        <v>1169.9369999999999</v>
      </c>
      <c r="AR84">
        <f ca="1">IFERROR(IF(0=LEN(ReferenceData!$AR$84),"",ReferenceData!$AR$84),"")</f>
        <v>1838.43</v>
      </c>
      <c r="AS84">
        <f ca="1">IFERROR(IF(0=LEN(ReferenceData!$AS$84),"",ReferenceData!$AS$84),"")</f>
        <v>1061.577</v>
      </c>
      <c r="AT84">
        <f ca="1">IFERROR(IF(0=LEN(ReferenceData!$AT$84),"",ReferenceData!$AT$84),"")</f>
        <v>2330.6889999999999</v>
      </c>
      <c r="AU84">
        <f ca="1">IFERROR(IF(0=LEN(ReferenceData!$AU$84),"",ReferenceData!$AU$84),"")</f>
        <v>1868.7249999999999</v>
      </c>
      <c r="AV84">
        <f ca="1">IFERROR(IF(0=LEN(ReferenceData!$AV$84),"",ReferenceData!$AV$84),"")</f>
        <v>2322.9659999999999</v>
      </c>
      <c r="AW84">
        <f ca="1">IFERROR(IF(0=LEN(ReferenceData!$AW$84),"",ReferenceData!$AW$84),"")</f>
        <v>5955.0950000000003</v>
      </c>
      <c r="AX84">
        <f ca="1">IFERROR(IF(0=LEN(ReferenceData!$AX$84),"",ReferenceData!$AX$84),"")</f>
        <v>2811.4290000000001</v>
      </c>
      <c r="AY84">
        <f ca="1">IFERROR(IF(0=LEN(ReferenceData!$AY$84),"",ReferenceData!$AY$84),"")</f>
        <v>2565.348</v>
      </c>
      <c r="AZ84">
        <f ca="1">IFERROR(IF(0=LEN(ReferenceData!$AZ$84),"",ReferenceData!$AZ$84),"")</f>
        <v>3066.607</v>
      </c>
      <c r="BA84">
        <f ca="1">IFERROR(IF(0=LEN(ReferenceData!$BA$84),"",ReferenceData!$BA$84),"")</f>
        <v>3693.2629999999999</v>
      </c>
      <c r="BB84">
        <f ca="1">IFERROR(IF(0=LEN(ReferenceData!$BB$84),"",ReferenceData!$BB$84),"")</f>
        <v>2030.799</v>
      </c>
      <c r="BC84">
        <f ca="1">IFERROR(IF(0=LEN(ReferenceData!$BC$84),"",ReferenceData!$BC$84),"")</f>
        <v>2273.8200000000002</v>
      </c>
      <c r="BD84">
        <f ca="1">IFERROR(IF(0=LEN(ReferenceData!$BD$84),"",ReferenceData!$BD$84),"")</f>
        <v>3399.627</v>
      </c>
      <c r="BE84">
        <f ca="1">IFERROR(IF(0=LEN(ReferenceData!$BE$84),"",ReferenceData!$BE$84),"")</f>
        <v>1417.1510000000001</v>
      </c>
      <c r="BF84">
        <f ca="1">IFERROR(IF(0=LEN(ReferenceData!$BF$84),"",ReferenceData!$BF$84),"")</f>
        <v>2003.7280000000001</v>
      </c>
      <c r="BG84">
        <f ca="1">IFERROR(IF(0=LEN(ReferenceData!$BG$84),"",ReferenceData!$BG$84),"")</f>
        <v>3671.43</v>
      </c>
      <c r="BH84">
        <f ca="1">IFERROR(IF(0=LEN(ReferenceData!$BH$84),"",ReferenceData!$BH$84),"")</f>
        <v>1186.768</v>
      </c>
      <c r="BI84">
        <f ca="1">IFERROR(IF(0=LEN(ReferenceData!$BI$84),"",ReferenceData!$BI$84),"")</f>
        <v>715.27099999999996</v>
      </c>
      <c r="BJ84">
        <f ca="1">IFERROR(IF(0=LEN(ReferenceData!$BJ$84),"",ReferenceData!$BJ$84),"")</f>
        <v>1847.087</v>
      </c>
      <c r="BK84">
        <f ca="1">IFERROR(IF(0=LEN(ReferenceData!$BK$84),"",ReferenceData!$BK$84),"")</f>
        <v>189.02099999999999</v>
      </c>
      <c r="BL84">
        <f ca="1">IFERROR(IF(0=LEN(ReferenceData!$BL$84),"",ReferenceData!$BL$84),"")</f>
        <v>18.273</v>
      </c>
      <c r="BM84">
        <f ca="1">IFERROR(IF(0=LEN(ReferenceData!$BM$84),"",ReferenceData!$BM$84),"")</f>
        <v>370.9</v>
      </c>
    </row>
    <row r="85" spans="1:65">
      <c r="A85" t="str">
        <f>IFERROR(IF(0=LEN(ReferenceData!$A$85),"",ReferenceData!$A$85),"")</f>
        <v xml:space="preserve">    Industrial REITs</v>
      </c>
      <c r="B85" t="str">
        <f>IFERROR(IF(0=LEN(ReferenceData!$B$85),"",ReferenceData!$B$85),"")</f>
        <v>RECFTAIN Index</v>
      </c>
      <c r="C85" t="str">
        <f>IFERROR(IF(0=LEN(ReferenceData!$C$85),"",ReferenceData!$C$85),"")</f>
        <v/>
      </c>
      <c r="D85" t="str">
        <f>IFERROR(IF(0=LEN(ReferenceData!$D$85),"",ReferenceData!$D$85),"")</f>
        <v/>
      </c>
      <c r="E85" t="str">
        <f>IFERROR(IF(0=LEN(ReferenceData!$E$85),"",ReferenceData!$E$85),"")</f>
        <v>Expression</v>
      </c>
      <c r="F85">
        <f ca="1">IFERROR(IF(0=LEN(ReferenceData!$F$85),"",ReferenceData!$F$85),"")</f>
        <v>1248.002</v>
      </c>
      <c r="G85">
        <f ca="1">IFERROR(IF(0=LEN(ReferenceData!$G$85),"",ReferenceData!$G$85),"")</f>
        <v>1230.4259999999999</v>
      </c>
      <c r="H85">
        <f ca="1">IFERROR(IF(0=LEN(ReferenceData!$H$85),"",ReferenceData!$H$85),"")</f>
        <v>1104.2829999999999</v>
      </c>
      <c r="I85">
        <f ca="1">IFERROR(IF(0=LEN(ReferenceData!$I$85),"",ReferenceData!$I$85),"")</f>
        <v>456.57100000000003</v>
      </c>
      <c r="J85">
        <f ca="1">IFERROR(IF(0=LEN(ReferenceData!$J$85),"",ReferenceData!$J$85),"")</f>
        <v>843.21799999999996</v>
      </c>
      <c r="K85">
        <f ca="1">IFERROR(IF(0=LEN(ReferenceData!$K$85),"",ReferenceData!$K$85),"")</f>
        <v>494.06400000000002</v>
      </c>
      <c r="L85">
        <f ca="1">IFERROR(IF(0=LEN(ReferenceData!$L$85),"",ReferenceData!$L$85),"")</f>
        <v>535.07399999999996</v>
      </c>
      <c r="M85">
        <f ca="1">IFERROR(IF(0=LEN(ReferenceData!$M$85),"",ReferenceData!$M$85),"")</f>
        <v>185.18100000000001</v>
      </c>
      <c r="N85">
        <f ca="1">IFERROR(IF(0=LEN(ReferenceData!$N$85),"",ReferenceData!$N$85),"")</f>
        <v>1103.277</v>
      </c>
      <c r="O85">
        <f ca="1">IFERROR(IF(0=LEN(ReferenceData!$O$85),"",ReferenceData!$O$85),"")</f>
        <v>721.71900000000005</v>
      </c>
      <c r="P85">
        <f ca="1">IFERROR(IF(0=LEN(ReferenceData!$P$85),"",ReferenceData!$P$85),"")</f>
        <v>6296.9939999999997</v>
      </c>
      <c r="Q85">
        <f ca="1">IFERROR(IF(0=LEN(ReferenceData!$Q$85),"",ReferenceData!$Q$85),"")</f>
        <v>612.98500000000001</v>
      </c>
      <c r="R85">
        <f ca="1">IFERROR(IF(0=LEN(ReferenceData!$R$85),"",ReferenceData!$R$85),"")</f>
        <v>917.46400000000006</v>
      </c>
      <c r="S85">
        <f ca="1">IFERROR(IF(0=LEN(ReferenceData!$S$85),"",ReferenceData!$S$85),"")</f>
        <v>1456.0509999999999</v>
      </c>
      <c r="T85">
        <f ca="1">IFERROR(IF(0=LEN(ReferenceData!$T$85),"",ReferenceData!$T$85),"")</f>
        <v>838.41200000000003</v>
      </c>
      <c r="U85">
        <f ca="1">IFERROR(IF(0=LEN(ReferenceData!$U$85),"",ReferenceData!$U$85),"")</f>
        <v>594.15499999999997</v>
      </c>
      <c r="V85">
        <f ca="1">IFERROR(IF(0=LEN(ReferenceData!$V$85),"",ReferenceData!$V$85),"")</f>
        <v>2615.4090000000001</v>
      </c>
      <c r="W85">
        <f ca="1">IFERROR(IF(0=LEN(ReferenceData!$W$85),"",ReferenceData!$W$85),"")</f>
        <v>894.61300000000006</v>
      </c>
      <c r="X85">
        <f ca="1">IFERROR(IF(0=LEN(ReferenceData!$X$85),"",ReferenceData!$X$85),"")</f>
        <v>1104.9639999999999</v>
      </c>
      <c r="Y85">
        <f ca="1">IFERROR(IF(0=LEN(ReferenceData!$Y$85),"",ReferenceData!$Y$85),"")</f>
        <v>159.01900000000001</v>
      </c>
      <c r="Z85">
        <f ca="1">IFERROR(IF(0=LEN(ReferenceData!$Z$85),"",ReferenceData!$Z$85),"")</f>
        <v>1534.7159999999999</v>
      </c>
      <c r="AA85">
        <f ca="1">IFERROR(IF(0=LEN(ReferenceData!$AA$85),"",ReferenceData!$AA$85),"")</f>
        <v>486.68700000000001</v>
      </c>
      <c r="AB85">
        <f ca="1">IFERROR(IF(0=LEN(ReferenceData!$AB$85),"",ReferenceData!$AB$85),"")</f>
        <v>476.416</v>
      </c>
      <c r="AC85">
        <f ca="1">IFERROR(IF(0=LEN(ReferenceData!$AC$85),"",ReferenceData!$AC$85),"")</f>
        <v>326.97199999999998</v>
      </c>
      <c r="AD85">
        <f ca="1">IFERROR(IF(0=LEN(ReferenceData!$AD$85),"",ReferenceData!$AD$85),"")</f>
        <v>1563.617</v>
      </c>
      <c r="AE85">
        <f ca="1">IFERROR(IF(0=LEN(ReferenceData!$AE$85),"",ReferenceData!$AE$85),"")</f>
        <v>562.05999999999995</v>
      </c>
      <c r="AF85">
        <f ca="1">IFERROR(IF(0=LEN(ReferenceData!$AF$85),"",ReferenceData!$AF$85),"")</f>
        <v>13002.709000000001</v>
      </c>
      <c r="AG85">
        <f ca="1">IFERROR(IF(0=LEN(ReferenceData!$AG$85),"",ReferenceData!$AG$85),"")</f>
        <v>348.26299999999998</v>
      </c>
      <c r="AH85">
        <f ca="1">IFERROR(IF(0=LEN(ReferenceData!$AH$85),"",ReferenceData!$AH$85),"")</f>
        <v>1161.8710000000001</v>
      </c>
      <c r="AI85">
        <f ca="1">IFERROR(IF(0=LEN(ReferenceData!$AI$85),"",ReferenceData!$AI$85),"")</f>
        <v>802.15899999999999</v>
      </c>
      <c r="AJ85">
        <f ca="1">IFERROR(IF(0=LEN(ReferenceData!$AJ$85),"",ReferenceData!$AJ$85),"")</f>
        <v>319.274</v>
      </c>
      <c r="AK85">
        <f ca="1">IFERROR(IF(0=LEN(ReferenceData!$AK$85),"",ReferenceData!$AK$85),"")</f>
        <v>155.33600000000001</v>
      </c>
      <c r="AL85">
        <f ca="1">IFERROR(IF(0=LEN(ReferenceData!$AL$85),"",ReferenceData!$AL$85),"")</f>
        <v>77.44</v>
      </c>
      <c r="AM85">
        <f ca="1">IFERROR(IF(0=LEN(ReferenceData!$AM$85),"",ReferenceData!$AM$85),"")</f>
        <v>25.663</v>
      </c>
      <c r="AN85">
        <f ca="1">IFERROR(IF(0=LEN(ReferenceData!$AN$85),"",ReferenceData!$AN$85),"")</f>
        <v>28.12</v>
      </c>
      <c r="AO85">
        <f ca="1">IFERROR(IF(0=LEN(ReferenceData!$AO$85),"",ReferenceData!$AO$85),"")</f>
        <v>0</v>
      </c>
      <c r="AP85">
        <f ca="1">IFERROR(IF(0=LEN(ReferenceData!$AP$85),"",ReferenceData!$AP$85),"")</f>
        <v>182.096</v>
      </c>
      <c r="AQ85">
        <f ca="1">IFERROR(IF(0=LEN(ReferenceData!$AQ$85),"",ReferenceData!$AQ$85),"")</f>
        <v>605.11099999999999</v>
      </c>
      <c r="AR85">
        <f ca="1">IFERROR(IF(0=LEN(ReferenceData!$AR$85),"",ReferenceData!$AR$85),"")</f>
        <v>596.31100000000004</v>
      </c>
      <c r="AS85">
        <f ca="1">IFERROR(IF(0=LEN(ReferenceData!$AS$85),"",ReferenceData!$AS$85),"")</f>
        <v>699.73800000000006</v>
      </c>
      <c r="AT85">
        <f ca="1">IFERROR(IF(0=LEN(ReferenceData!$AT$85),"",ReferenceData!$AT$85),"")</f>
        <v>1644.308</v>
      </c>
      <c r="AU85">
        <f ca="1">IFERROR(IF(0=LEN(ReferenceData!$AU$85),"",ReferenceData!$AU$85),"")</f>
        <v>3333.1419999999998</v>
      </c>
      <c r="AV85">
        <f ca="1">IFERROR(IF(0=LEN(ReferenceData!$AV$85),"",ReferenceData!$AV$85),"")</f>
        <v>1183.076</v>
      </c>
      <c r="AW85">
        <f ca="1">IFERROR(IF(0=LEN(ReferenceData!$AW$85),"",ReferenceData!$AW$85),"")</f>
        <v>1369.6179999999999</v>
      </c>
      <c r="AX85">
        <f ca="1">IFERROR(IF(0=LEN(ReferenceData!$AX$85),"",ReferenceData!$AX$85),"")</f>
        <v>979.31100000000004</v>
      </c>
      <c r="AY85">
        <f ca="1">IFERROR(IF(0=LEN(ReferenceData!$AY$85),"",ReferenceData!$AY$85),"")</f>
        <v>830.88400000000001</v>
      </c>
      <c r="AZ85">
        <f ca="1">IFERROR(IF(0=LEN(ReferenceData!$AZ$85),"",ReferenceData!$AZ$85),"")</f>
        <v>883.61699999999996</v>
      </c>
      <c r="BA85">
        <f ca="1">IFERROR(IF(0=LEN(ReferenceData!$BA$85),"",ReferenceData!$BA$85),"")</f>
        <v>1084.8789999999999</v>
      </c>
      <c r="BB85">
        <f ca="1">IFERROR(IF(0=LEN(ReferenceData!$BB$85),"",ReferenceData!$BB$85),"")</f>
        <v>1018.784</v>
      </c>
      <c r="BC85">
        <f ca="1">IFERROR(IF(0=LEN(ReferenceData!$BC$85),"",ReferenceData!$BC$85),"")</f>
        <v>4531.0510000000004</v>
      </c>
      <c r="BD85">
        <f ca="1">IFERROR(IF(0=LEN(ReferenceData!$BD$85),"",ReferenceData!$BD$85),"")</f>
        <v>760.39400000000001</v>
      </c>
      <c r="BE85">
        <f ca="1">IFERROR(IF(0=LEN(ReferenceData!$BE$85),"",ReferenceData!$BE$85),"")</f>
        <v>378.64299999999997</v>
      </c>
      <c r="BF85">
        <f ca="1">IFERROR(IF(0=LEN(ReferenceData!$BF$85),"",ReferenceData!$BF$85),"")</f>
        <v>606.60599999999999</v>
      </c>
      <c r="BG85">
        <f ca="1">IFERROR(IF(0=LEN(ReferenceData!$BG$85),"",ReferenceData!$BG$85),"")</f>
        <v>2757.7469999999998</v>
      </c>
      <c r="BH85">
        <f ca="1">IFERROR(IF(0=LEN(ReferenceData!$BH$85),"",ReferenceData!$BH$85),"")</f>
        <v>583.91499999999996</v>
      </c>
      <c r="BI85">
        <f ca="1">IFERROR(IF(0=LEN(ReferenceData!$BI$85),"",ReferenceData!$BI$85),"")</f>
        <v>497.69099999999997</v>
      </c>
      <c r="BJ85">
        <f ca="1">IFERROR(IF(0=LEN(ReferenceData!$BJ$85),"",ReferenceData!$BJ$85),"")</f>
        <v>141.202</v>
      </c>
      <c r="BK85">
        <f ca="1">IFERROR(IF(0=LEN(ReferenceData!$BK$85),"",ReferenceData!$BK$85),"")</f>
        <v>30.1</v>
      </c>
      <c r="BL85">
        <f ca="1">IFERROR(IF(0=LEN(ReferenceData!$BL$85),"",ReferenceData!$BL$85),"")</f>
        <v>110.6</v>
      </c>
      <c r="BM85">
        <f ca="1">IFERROR(IF(0=LEN(ReferenceData!$BM$85),"",ReferenceData!$BM$85),"")</f>
        <v>20.399999999999999</v>
      </c>
    </row>
    <row r="86" spans="1:65">
      <c r="A86" t="str">
        <f>IFERROR(IF(0=LEN(ReferenceData!$A$86),"",ReferenceData!$A$86),"")</f>
        <v xml:space="preserve">    Retail REITs</v>
      </c>
      <c r="B86" t="str">
        <f>IFERROR(IF(0=LEN(ReferenceData!$B$86),"",ReferenceData!$B$86),"")</f>
        <v>RECFTART Index</v>
      </c>
      <c r="C86" t="str">
        <f>IFERROR(IF(0=LEN(ReferenceData!$C$86),"",ReferenceData!$C$86),"")</f>
        <v/>
      </c>
      <c r="D86" t="str">
        <f>IFERROR(IF(0=LEN(ReferenceData!$D$86),"",ReferenceData!$D$86),"")</f>
        <v/>
      </c>
      <c r="E86" t="str">
        <f>IFERROR(IF(0=LEN(ReferenceData!$E$86),"",ReferenceData!$E$86),"")</f>
        <v>Expression</v>
      </c>
      <c r="F86">
        <f ca="1">IFERROR(IF(0=LEN(ReferenceData!$F$86),"",ReferenceData!$F$86),"")</f>
        <v>2012.8409999999999</v>
      </c>
      <c r="G86">
        <f ca="1">IFERROR(IF(0=LEN(ReferenceData!$G$86),"",ReferenceData!$G$86),"")</f>
        <v>2199.203</v>
      </c>
      <c r="H86">
        <f ca="1">IFERROR(IF(0=LEN(ReferenceData!$H$86),"",ReferenceData!$H$86),"")</f>
        <v>1903.471</v>
      </c>
      <c r="I86">
        <f ca="1">IFERROR(IF(0=LEN(ReferenceData!$I$86),"",ReferenceData!$I$86),"")</f>
        <v>2280.4479999999999</v>
      </c>
      <c r="J86">
        <f ca="1">IFERROR(IF(0=LEN(ReferenceData!$J$86),"",ReferenceData!$J$86),"")</f>
        <v>3097.7359999999999</v>
      </c>
      <c r="K86">
        <f ca="1">IFERROR(IF(0=LEN(ReferenceData!$K$86),"",ReferenceData!$K$86),"")</f>
        <v>2404.2869999999998</v>
      </c>
      <c r="L86">
        <f ca="1">IFERROR(IF(0=LEN(ReferenceData!$L$86),"",ReferenceData!$L$86),"")</f>
        <v>3834.4490000000001</v>
      </c>
      <c r="M86">
        <f ca="1">IFERROR(IF(0=LEN(ReferenceData!$M$86),"",ReferenceData!$M$86),"")</f>
        <v>2964.4380000000001</v>
      </c>
      <c r="N86">
        <f ca="1">IFERROR(IF(0=LEN(ReferenceData!$N$86),"",ReferenceData!$N$86),"")</f>
        <v>2334.3249999999998</v>
      </c>
      <c r="O86">
        <f ca="1">IFERROR(IF(0=LEN(ReferenceData!$O$86),"",ReferenceData!$O$86),"")</f>
        <v>4343.5789999999997</v>
      </c>
      <c r="P86">
        <f ca="1">IFERROR(IF(0=LEN(ReferenceData!$P$86),"",ReferenceData!$P$86),"")</f>
        <v>4497.3950000000004</v>
      </c>
      <c r="Q86">
        <f ca="1">IFERROR(IF(0=LEN(ReferenceData!$Q$86),"",ReferenceData!$Q$86),"")</f>
        <v>8202.9709999999995</v>
      </c>
      <c r="R86">
        <f ca="1">IFERROR(IF(0=LEN(ReferenceData!$R$86),"",ReferenceData!$R$86),"")</f>
        <v>6428.8670000000002</v>
      </c>
      <c r="S86">
        <f ca="1">IFERROR(IF(0=LEN(ReferenceData!$S$86),"",ReferenceData!$S$86),"")</f>
        <v>8739.5290000000005</v>
      </c>
      <c r="T86">
        <f ca="1">IFERROR(IF(0=LEN(ReferenceData!$T$86),"",ReferenceData!$T$86),"")</f>
        <v>4015.9279999999999</v>
      </c>
      <c r="U86">
        <f ca="1">IFERROR(IF(0=LEN(ReferenceData!$U$86),"",ReferenceData!$U$86),"")</f>
        <v>15203.627</v>
      </c>
      <c r="V86">
        <f ca="1">IFERROR(IF(0=LEN(ReferenceData!$V$86),"",ReferenceData!$V$86),"")</f>
        <v>6474.8190000000004</v>
      </c>
      <c r="W86">
        <f ca="1">IFERROR(IF(0=LEN(ReferenceData!$W$86),"",ReferenceData!$W$86),"")</f>
        <v>9653.9050000000007</v>
      </c>
      <c r="X86">
        <f ca="1">IFERROR(IF(0=LEN(ReferenceData!$X$86),"",ReferenceData!$X$86),"")</f>
        <v>3891.52</v>
      </c>
      <c r="Y86">
        <f ca="1">IFERROR(IF(0=LEN(ReferenceData!$Y$86),"",ReferenceData!$Y$86),"")</f>
        <v>6992.991</v>
      </c>
      <c r="Z86">
        <f ca="1">IFERROR(IF(0=LEN(ReferenceData!$Z$86),"",ReferenceData!$Z$86),"")</f>
        <v>4318.1220000000003</v>
      </c>
      <c r="AA86">
        <f ca="1">IFERROR(IF(0=LEN(ReferenceData!$AA$86),"",ReferenceData!$AA$86),"")</f>
        <v>1511.192</v>
      </c>
      <c r="AB86">
        <f ca="1">IFERROR(IF(0=LEN(ReferenceData!$AB$86),"",ReferenceData!$AB$86),"")</f>
        <v>3663.373</v>
      </c>
      <c r="AC86">
        <f ca="1">IFERROR(IF(0=LEN(ReferenceData!$AC$86),"",ReferenceData!$AC$86),"")</f>
        <v>4841.5950000000003</v>
      </c>
      <c r="AD86">
        <f ca="1">IFERROR(IF(0=LEN(ReferenceData!$AD$86),"",ReferenceData!$AD$86),"")</f>
        <v>4814.9949999999999</v>
      </c>
      <c r="AE86">
        <f ca="1">IFERROR(IF(0=LEN(ReferenceData!$AE$86),"",ReferenceData!$AE$86),"")</f>
        <v>2391.768</v>
      </c>
      <c r="AF86">
        <f ca="1">IFERROR(IF(0=LEN(ReferenceData!$AF$86),"",ReferenceData!$AF$86),"")</f>
        <v>1198.662</v>
      </c>
      <c r="AG86">
        <f ca="1">IFERROR(IF(0=LEN(ReferenceData!$AG$86),"",ReferenceData!$AG$86),"")</f>
        <v>1676.9269999999999</v>
      </c>
      <c r="AH86">
        <f ca="1">IFERROR(IF(0=LEN(ReferenceData!$AH$86),"",ReferenceData!$AH$86),"")</f>
        <v>1876.068</v>
      </c>
      <c r="AI86">
        <f ca="1">IFERROR(IF(0=LEN(ReferenceData!$AI$86),"",ReferenceData!$AI$86),"")</f>
        <v>2975.2860000000001</v>
      </c>
      <c r="AJ86">
        <f ca="1">IFERROR(IF(0=LEN(ReferenceData!$AJ$86),"",ReferenceData!$AJ$86),"")</f>
        <v>675.38800000000003</v>
      </c>
      <c r="AK86">
        <f ca="1">IFERROR(IF(0=LEN(ReferenceData!$AK$86),"",ReferenceData!$AK$86),"")</f>
        <v>418.38</v>
      </c>
      <c r="AL86">
        <f ca="1">IFERROR(IF(0=LEN(ReferenceData!$AL$86),"",ReferenceData!$AL$86),"")</f>
        <v>187.571</v>
      </c>
      <c r="AM86">
        <f ca="1">IFERROR(IF(0=LEN(ReferenceData!$AM$86),"",ReferenceData!$AM$86),"")</f>
        <v>87.268000000000001</v>
      </c>
      <c r="AN86">
        <f ca="1">IFERROR(IF(0=LEN(ReferenceData!$AN$86),"",ReferenceData!$AN$86),"")</f>
        <v>0</v>
      </c>
      <c r="AO86">
        <f ca="1">IFERROR(IF(0=LEN(ReferenceData!$AO$86),"",ReferenceData!$AO$86),"")</f>
        <v>152.6</v>
      </c>
      <c r="AP86">
        <f ca="1">IFERROR(IF(0=LEN(ReferenceData!$AP$86),"",ReferenceData!$AP$86),"")</f>
        <v>93.994</v>
      </c>
      <c r="AQ86">
        <f ca="1">IFERROR(IF(0=LEN(ReferenceData!$AQ$86),"",ReferenceData!$AQ$86),"")</f>
        <v>592.952</v>
      </c>
      <c r="AR86">
        <f ca="1">IFERROR(IF(0=LEN(ReferenceData!$AR$86),"",ReferenceData!$AR$86),"")</f>
        <v>496.92</v>
      </c>
      <c r="AS86">
        <f ca="1">IFERROR(IF(0=LEN(ReferenceData!$AS$86),"",ReferenceData!$AS$86),"")</f>
        <v>1312.02</v>
      </c>
      <c r="AT86">
        <f ca="1">IFERROR(IF(0=LEN(ReferenceData!$AT$86),"",ReferenceData!$AT$86),"")</f>
        <v>1072.1690000000001</v>
      </c>
      <c r="AU86">
        <f ca="1">IFERROR(IF(0=LEN(ReferenceData!$AU$86),"",ReferenceData!$AU$86),"")</f>
        <v>1641.549</v>
      </c>
      <c r="AV86">
        <f ca="1">IFERROR(IF(0=LEN(ReferenceData!$AV$86),"",ReferenceData!$AV$86),"")</f>
        <v>3516.232</v>
      </c>
      <c r="AW86">
        <f ca="1">IFERROR(IF(0=LEN(ReferenceData!$AW$86),"",ReferenceData!$AW$86),"")</f>
        <v>8399.9809999999998</v>
      </c>
      <c r="AX86">
        <f ca="1">IFERROR(IF(0=LEN(ReferenceData!$AX$86),"",ReferenceData!$AX$86),"")</f>
        <v>6146.5079999999998</v>
      </c>
      <c r="AY86">
        <f ca="1">IFERROR(IF(0=LEN(ReferenceData!$AY$86),"",ReferenceData!$AY$86),"")</f>
        <v>1902.64</v>
      </c>
      <c r="AZ86">
        <f ca="1">IFERROR(IF(0=LEN(ReferenceData!$AZ$86),"",ReferenceData!$AZ$86),"")</f>
        <v>1403.7660000000001</v>
      </c>
      <c r="BA86">
        <f ca="1">IFERROR(IF(0=LEN(ReferenceData!$BA$86),"",ReferenceData!$BA$86),"")</f>
        <v>2274.3649999999998</v>
      </c>
      <c r="BB86">
        <f ca="1">IFERROR(IF(0=LEN(ReferenceData!$BB$86),"",ReferenceData!$BB$86),"")</f>
        <v>2632.1680000000001</v>
      </c>
      <c r="BC86">
        <f ca="1">IFERROR(IF(0=LEN(ReferenceData!$BC$86),"",ReferenceData!$BC$86),"")</f>
        <v>1676.9069999999999</v>
      </c>
      <c r="BD86">
        <f ca="1">IFERROR(IF(0=LEN(ReferenceData!$BD$86),"",ReferenceData!$BD$86),"")</f>
        <v>6323.3180000000002</v>
      </c>
      <c r="BE86">
        <f ca="1">IFERROR(IF(0=LEN(ReferenceData!$BE$86),"",ReferenceData!$BE$86),"")</f>
        <v>4542.1270000000004</v>
      </c>
      <c r="BF86">
        <f ca="1">IFERROR(IF(0=LEN(ReferenceData!$BF$86),"",ReferenceData!$BF$86),"")</f>
        <v>16917.915000000001</v>
      </c>
      <c r="BG86">
        <f ca="1">IFERROR(IF(0=LEN(ReferenceData!$BG$86),"",ReferenceData!$BG$86),"")</f>
        <v>1624.646</v>
      </c>
      <c r="BH86">
        <f ca="1">IFERROR(IF(0=LEN(ReferenceData!$BH$86),"",ReferenceData!$BH$86),"")</f>
        <v>5481.723</v>
      </c>
      <c r="BI86">
        <f ca="1">IFERROR(IF(0=LEN(ReferenceData!$BI$86),"",ReferenceData!$BI$86),"")</f>
        <v>2037.856</v>
      </c>
      <c r="BJ86">
        <f ca="1">IFERROR(IF(0=LEN(ReferenceData!$BJ$86),"",ReferenceData!$BJ$86),"")</f>
        <v>957.85199999999998</v>
      </c>
      <c r="BK86">
        <f ca="1">IFERROR(IF(0=LEN(ReferenceData!$BK$86),"",ReferenceData!$BK$86),"")</f>
        <v>4.8</v>
      </c>
      <c r="BL86">
        <f ca="1">IFERROR(IF(0=LEN(ReferenceData!$BL$86),"",ReferenceData!$BL$86),"")</f>
        <v>298.60000000000002</v>
      </c>
      <c r="BM86">
        <f ca="1">IFERROR(IF(0=LEN(ReferenceData!$BM$86),"",ReferenceData!$BM$86),"")</f>
        <v>1297.0999999999999</v>
      </c>
    </row>
    <row r="87" spans="1:65">
      <c r="A87" t="str">
        <f>IFERROR(IF(0=LEN(ReferenceData!$A$87),"",ReferenceData!$A$87),"")</f>
        <v xml:space="preserve">    Shopping Center REITs</v>
      </c>
      <c r="B87" t="str">
        <f>IFERROR(IF(0=LEN(ReferenceData!$B$87),"",ReferenceData!$B$87),"")</f>
        <v>RECFTASC Index</v>
      </c>
      <c r="C87" t="str">
        <f>IFERROR(IF(0=LEN(ReferenceData!$C$87),"",ReferenceData!$C$87),"")</f>
        <v/>
      </c>
      <c r="D87" t="str">
        <f>IFERROR(IF(0=LEN(ReferenceData!$D$87),"",ReferenceData!$D$87),"")</f>
        <v/>
      </c>
      <c r="E87" t="str">
        <f>IFERROR(IF(0=LEN(ReferenceData!$E$87),"",ReferenceData!$E$87),"")</f>
        <v>Expression</v>
      </c>
      <c r="F87">
        <f ca="1">IFERROR(IF(0=LEN(ReferenceData!$F$87),"",ReferenceData!$F$87),"")</f>
        <v>645.40300000000002</v>
      </c>
      <c r="G87">
        <f ca="1">IFERROR(IF(0=LEN(ReferenceData!$G$87),"",ReferenceData!$G$87),"")</f>
        <v>757.23500000000001</v>
      </c>
      <c r="H87">
        <f ca="1">IFERROR(IF(0=LEN(ReferenceData!$H$87),"",ReferenceData!$H$87),"")</f>
        <v>579.70100000000002</v>
      </c>
      <c r="I87">
        <f ca="1">IFERROR(IF(0=LEN(ReferenceData!$I$87),"",ReferenceData!$I$87),"")</f>
        <v>1011.46</v>
      </c>
      <c r="J87">
        <f ca="1">IFERROR(IF(0=LEN(ReferenceData!$J$87),"",ReferenceData!$J$87),"")</f>
        <v>1074.057</v>
      </c>
      <c r="K87">
        <f ca="1">IFERROR(IF(0=LEN(ReferenceData!$K$87),"",ReferenceData!$K$87),"")</f>
        <v>1264.896</v>
      </c>
      <c r="L87">
        <f ca="1">IFERROR(IF(0=LEN(ReferenceData!$L$87),"",ReferenceData!$L$87),"")</f>
        <v>1336.038</v>
      </c>
      <c r="M87">
        <f ca="1">IFERROR(IF(0=LEN(ReferenceData!$M$87),"",ReferenceData!$M$87),"")</f>
        <v>693.81600000000003</v>
      </c>
      <c r="N87">
        <f ca="1">IFERROR(IF(0=LEN(ReferenceData!$N$87),"",ReferenceData!$N$87),"")</f>
        <v>1260.5419999999999</v>
      </c>
      <c r="O87">
        <f ca="1">IFERROR(IF(0=LEN(ReferenceData!$O$87),"",ReferenceData!$O$87),"")</f>
        <v>801.18299999999999</v>
      </c>
      <c r="P87">
        <f ca="1">IFERROR(IF(0=LEN(ReferenceData!$P$87),"",ReferenceData!$P$87),"")</f>
        <v>961.01900000000001</v>
      </c>
      <c r="Q87">
        <f ca="1">IFERROR(IF(0=LEN(ReferenceData!$Q$87),"",ReferenceData!$Q$87),"")</f>
        <v>2103.5100000000002</v>
      </c>
      <c r="R87">
        <f ca="1">IFERROR(IF(0=LEN(ReferenceData!$R$87),"",ReferenceData!$R$87),"")</f>
        <v>3160.8330000000001</v>
      </c>
      <c r="S87">
        <f ca="1">IFERROR(IF(0=LEN(ReferenceData!$S$87),"",ReferenceData!$S$87),"")</f>
        <v>3581.8429999999998</v>
      </c>
      <c r="T87">
        <f ca="1">IFERROR(IF(0=LEN(ReferenceData!$T$87),"",ReferenceData!$T$87),"")</f>
        <v>1598.598</v>
      </c>
      <c r="U87">
        <f ca="1">IFERROR(IF(0=LEN(ReferenceData!$U$87),"",ReferenceData!$U$87),"")</f>
        <v>1106.7370000000001</v>
      </c>
      <c r="V87">
        <f ca="1">IFERROR(IF(0=LEN(ReferenceData!$V$87),"",ReferenceData!$V$87),"")</f>
        <v>3240.6190000000001</v>
      </c>
      <c r="W87">
        <f ca="1">IFERROR(IF(0=LEN(ReferenceData!$W$87),"",ReferenceData!$W$87),"")</f>
        <v>1205.6780000000001</v>
      </c>
      <c r="X87">
        <f ca="1">IFERROR(IF(0=LEN(ReferenceData!$X$87),"",ReferenceData!$X$87),"")</f>
        <v>947.50099999999998</v>
      </c>
      <c r="Y87">
        <f ca="1">IFERROR(IF(0=LEN(ReferenceData!$Y$87),"",ReferenceData!$Y$87),"")</f>
        <v>1075.222</v>
      </c>
      <c r="Z87">
        <f ca="1">IFERROR(IF(0=LEN(ReferenceData!$Z$87),"",ReferenceData!$Z$87),"")</f>
        <v>1843.694</v>
      </c>
      <c r="AA87">
        <f ca="1">IFERROR(IF(0=LEN(ReferenceData!$AA$87),"",ReferenceData!$AA$87),"")</f>
        <v>780.97799999999995</v>
      </c>
      <c r="AB87">
        <f ca="1">IFERROR(IF(0=LEN(ReferenceData!$AB$87),"",ReferenceData!$AB$87),"")</f>
        <v>2259.942</v>
      </c>
      <c r="AC87">
        <f ca="1">IFERROR(IF(0=LEN(ReferenceData!$AC$87),"",ReferenceData!$AC$87),"")</f>
        <v>883.25199999999995</v>
      </c>
      <c r="AD87">
        <f ca="1">IFERROR(IF(0=LEN(ReferenceData!$AD$87),"",ReferenceData!$AD$87),"")</f>
        <v>1590.999</v>
      </c>
      <c r="AE87">
        <f ca="1">IFERROR(IF(0=LEN(ReferenceData!$AE$87),"",ReferenceData!$AE$87),"")</f>
        <v>1102.79</v>
      </c>
      <c r="AF87">
        <f ca="1">IFERROR(IF(0=LEN(ReferenceData!$AF$87),"",ReferenceData!$AF$87),"")</f>
        <v>674.79100000000005</v>
      </c>
      <c r="AG87">
        <f ca="1">IFERROR(IF(0=LEN(ReferenceData!$AG$87),"",ReferenceData!$AG$87),"")</f>
        <v>1083.1410000000001</v>
      </c>
      <c r="AH87">
        <f ca="1">IFERROR(IF(0=LEN(ReferenceData!$AH$87),"",ReferenceData!$AH$87),"")</f>
        <v>969.5</v>
      </c>
      <c r="AI87">
        <f ca="1">IFERROR(IF(0=LEN(ReferenceData!$AI$87),"",ReferenceData!$AI$87),"")</f>
        <v>566.81600000000003</v>
      </c>
      <c r="AJ87">
        <f ca="1">IFERROR(IF(0=LEN(ReferenceData!$AJ$87),"",ReferenceData!$AJ$87),"")</f>
        <v>235.63</v>
      </c>
      <c r="AK87">
        <f ca="1">IFERROR(IF(0=LEN(ReferenceData!$AK$87),"",ReferenceData!$AK$87),"")</f>
        <v>378.30399999999997</v>
      </c>
      <c r="AL87">
        <f ca="1">IFERROR(IF(0=LEN(ReferenceData!$AL$87),"",ReferenceData!$AL$87),"")</f>
        <v>134.565</v>
      </c>
      <c r="AM87">
        <f ca="1">IFERROR(IF(0=LEN(ReferenceData!$AM$87),"",ReferenceData!$AM$87),"")</f>
        <v>17.884</v>
      </c>
      <c r="AN87">
        <f ca="1">IFERROR(IF(0=LEN(ReferenceData!$AN$87),"",ReferenceData!$AN$87),"")</f>
        <v>0</v>
      </c>
      <c r="AO87">
        <f ca="1">IFERROR(IF(0=LEN(ReferenceData!$AO$87),"",ReferenceData!$AO$87),"")</f>
        <v>151.30000000000001</v>
      </c>
      <c r="AP87">
        <f ca="1">IFERROR(IF(0=LEN(ReferenceData!$AP$87),"",ReferenceData!$AP$87),"")</f>
        <v>55.692</v>
      </c>
      <c r="AQ87">
        <f ca="1">IFERROR(IF(0=LEN(ReferenceData!$AQ$87),"",ReferenceData!$AQ$87),"")</f>
        <v>524.44200000000001</v>
      </c>
      <c r="AR87">
        <f ca="1">IFERROR(IF(0=LEN(ReferenceData!$AR$87),"",ReferenceData!$AR$87),"")</f>
        <v>390.97300000000001</v>
      </c>
      <c r="AS87">
        <f ca="1">IFERROR(IF(0=LEN(ReferenceData!$AS$87),"",ReferenceData!$AS$87),"")</f>
        <v>291.07100000000003</v>
      </c>
      <c r="AT87">
        <f ca="1">IFERROR(IF(0=LEN(ReferenceData!$AT$87),"",ReferenceData!$AT$87),"")</f>
        <v>695.26300000000003</v>
      </c>
      <c r="AU87">
        <f ca="1">IFERROR(IF(0=LEN(ReferenceData!$AU$87),"",ReferenceData!$AU$87),"")</f>
        <v>1181.941</v>
      </c>
      <c r="AV87">
        <f ca="1">IFERROR(IF(0=LEN(ReferenceData!$AV$87),"",ReferenceData!$AV$87),"")</f>
        <v>3140.1689999999999</v>
      </c>
      <c r="AW87">
        <f ca="1">IFERROR(IF(0=LEN(ReferenceData!$AW$87),"",ReferenceData!$AW$87),"")</f>
        <v>8178.5379999999996</v>
      </c>
      <c r="AX87">
        <f ca="1">IFERROR(IF(0=LEN(ReferenceData!$AX$87),"",ReferenceData!$AX$87),"")</f>
        <v>4983.3230000000003</v>
      </c>
      <c r="AY87">
        <f ca="1">IFERROR(IF(0=LEN(ReferenceData!$AY$87),"",ReferenceData!$AY$87),"")</f>
        <v>1664.797</v>
      </c>
      <c r="AZ87">
        <f ca="1">IFERROR(IF(0=LEN(ReferenceData!$AZ$87),"",ReferenceData!$AZ$87),"")</f>
        <v>1244.2249999999999</v>
      </c>
      <c r="BA87">
        <f ca="1">IFERROR(IF(0=LEN(ReferenceData!$BA$87),"",ReferenceData!$BA$87),"")</f>
        <v>1825.5840000000001</v>
      </c>
      <c r="BB87">
        <f ca="1">IFERROR(IF(0=LEN(ReferenceData!$BB$87),"",ReferenceData!$BB$87),"")</f>
        <v>1227.6600000000001</v>
      </c>
      <c r="BC87">
        <f ca="1">IFERROR(IF(0=LEN(ReferenceData!$BC$87),"",ReferenceData!$BC$87),"")</f>
        <v>1206.846</v>
      </c>
      <c r="BD87">
        <f ca="1">IFERROR(IF(0=LEN(ReferenceData!$BD$87),"",ReferenceData!$BD$87),"")</f>
        <v>3746.96</v>
      </c>
      <c r="BE87">
        <f ca="1">IFERROR(IF(0=LEN(ReferenceData!$BE$87),"",ReferenceData!$BE$87),"")</f>
        <v>2321.5070000000001</v>
      </c>
      <c r="BF87">
        <f ca="1">IFERROR(IF(0=LEN(ReferenceData!$BF$87),"",ReferenceData!$BF$87),"")</f>
        <v>1937.644</v>
      </c>
      <c r="BG87">
        <f ca="1">IFERROR(IF(0=LEN(ReferenceData!$BG$87),"",ReferenceData!$BG$87),"")</f>
        <v>863.95799999999997</v>
      </c>
      <c r="BH87">
        <f ca="1">IFERROR(IF(0=LEN(ReferenceData!$BH$87),"",ReferenceData!$BH$87),"")</f>
        <v>3688.6689999999999</v>
      </c>
      <c r="BI87">
        <f ca="1">IFERROR(IF(0=LEN(ReferenceData!$BI$87),"",ReferenceData!$BI$87),"")</f>
        <v>1169.2460000000001</v>
      </c>
      <c r="BJ87">
        <f ca="1">IFERROR(IF(0=LEN(ReferenceData!$BJ$87),"",ReferenceData!$BJ$87),"")</f>
        <v>954.15200000000004</v>
      </c>
      <c r="BK87">
        <f ca="1">IFERROR(IF(0=LEN(ReferenceData!$BK$87),"",ReferenceData!$BK$87),"")</f>
        <v>0</v>
      </c>
      <c r="BL87">
        <f ca="1">IFERROR(IF(0=LEN(ReferenceData!$BL$87),"",ReferenceData!$BL$87),"")</f>
        <v>298.60000000000002</v>
      </c>
      <c r="BM87">
        <f ca="1">IFERROR(IF(0=LEN(ReferenceData!$BM$87),"",ReferenceData!$BM$87),"")</f>
        <v>1297.0999999999999</v>
      </c>
    </row>
    <row r="88" spans="1:65">
      <c r="A88" t="str">
        <f>IFERROR(IF(0=LEN(ReferenceData!$A$88),"",ReferenceData!$A$88),"")</f>
        <v xml:space="preserve">    Regional Mall REITs</v>
      </c>
      <c r="B88" t="str">
        <f>IFERROR(IF(0=LEN(ReferenceData!$B$88),"",ReferenceData!$B$88),"")</f>
        <v>RECFTARM Index</v>
      </c>
      <c r="C88" t="str">
        <f>IFERROR(IF(0=LEN(ReferenceData!$C$88),"",ReferenceData!$C$88),"")</f>
        <v/>
      </c>
      <c r="D88" t="str">
        <f>IFERROR(IF(0=LEN(ReferenceData!$D$88),"",ReferenceData!$D$88),"")</f>
        <v/>
      </c>
      <c r="E88" t="str">
        <f>IFERROR(IF(0=LEN(ReferenceData!$E$88),"",ReferenceData!$E$88),"")</f>
        <v>Expression</v>
      </c>
      <c r="F88">
        <f ca="1">IFERROR(IF(0=LEN(ReferenceData!$F$88),"",ReferenceData!$F$88),"")</f>
        <v>55</v>
      </c>
      <c r="G88">
        <f ca="1">IFERROR(IF(0=LEN(ReferenceData!$G$88),"",ReferenceData!$G$88),"")</f>
        <v>430.2</v>
      </c>
      <c r="H88">
        <f ca="1">IFERROR(IF(0=LEN(ReferenceData!$H$88),"",ReferenceData!$H$88),"")</f>
        <v>237.5</v>
      </c>
      <c r="I88">
        <f ca="1">IFERROR(IF(0=LEN(ReferenceData!$I$88),"",ReferenceData!$I$88),"")</f>
        <v>149.79900000000001</v>
      </c>
      <c r="J88">
        <f ca="1">IFERROR(IF(0=LEN(ReferenceData!$J$88),"",ReferenceData!$J$88),"")</f>
        <v>291.89999999999998</v>
      </c>
      <c r="K88">
        <f ca="1">IFERROR(IF(0=LEN(ReferenceData!$K$88),"",ReferenceData!$K$88),"")</f>
        <v>80</v>
      </c>
      <c r="L88">
        <f ca="1">IFERROR(IF(0=LEN(ReferenceData!$L$88),"",ReferenceData!$L$88),"")</f>
        <v>1181.5</v>
      </c>
      <c r="M88">
        <f ca="1">IFERROR(IF(0=LEN(ReferenceData!$M$88),"",ReferenceData!$M$88),"")</f>
        <v>1451.567</v>
      </c>
      <c r="N88">
        <f ca="1">IFERROR(IF(0=LEN(ReferenceData!$N$88),"",ReferenceData!$N$88),"")</f>
        <v>210</v>
      </c>
      <c r="O88">
        <f ca="1">IFERROR(IF(0=LEN(ReferenceData!$O$88),"",ReferenceData!$O$88),"")</f>
        <v>0</v>
      </c>
      <c r="P88">
        <f ca="1">IFERROR(IF(0=LEN(ReferenceData!$P$88),"",ReferenceData!$P$88),"")</f>
        <v>1718.518</v>
      </c>
      <c r="Q88">
        <f ca="1">IFERROR(IF(0=LEN(ReferenceData!$Q$88),"",ReferenceData!$Q$88),"")</f>
        <v>5126.8540000000003</v>
      </c>
      <c r="R88">
        <f ca="1">IFERROR(IF(0=LEN(ReferenceData!$R$88),"",ReferenceData!$R$88),"")</f>
        <v>2238.6729999999998</v>
      </c>
      <c r="S88">
        <f ca="1">IFERROR(IF(0=LEN(ReferenceData!$S$88),"",ReferenceData!$S$88),"")</f>
        <v>2097.4499999999998</v>
      </c>
      <c r="T88">
        <f ca="1">IFERROR(IF(0=LEN(ReferenceData!$T$88),"",ReferenceData!$T$88),"")</f>
        <v>876.35</v>
      </c>
      <c r="U88">
        <f ca="1">IFERROR(IF(0=LEN(ReferenceData!$U$88),"",ReferenceData!$U$88),"")</f>
        <v>81.709999999999994</v>
      </c>
      <c r="V88">
        <f ca="1">IFERROR(IF(0=LEN(ReferenceData!$V$88),"",ReferenceData!$V$88),"")</f>
        <v>659.8</v>
      </c>
      <c r="W88">
        <f ca="1">IFERROR(IF(0=LEN(ReferenceData!$W$88),"",ReferenceData!$W$88),"")</f>
        <v>130.43899999999999</v>
      </c>
      <c r="X88">
        <f ca="1">IFERROR(IF(0=LEN(ReferenceData!$X$88),"",ReferenceData!$X$88),"")</f>
        <v>470.56299999999999</v>
      </c>
      <c r="Y88">
        <f ca="1">IFERROR(IF(0=LEN(ReferenceData!$Y$88),"",ReferenceData!$Y$88),"")</f>
        <v>665.45</v>
      </c>
      <c r="Z88">
        <f ca="1">IFERROR(IF(0=LEN(ReferenceData!$Z$88),"",ReferenceData!$Z$88),"")</f>
        <v>1657.8530000000001</v>
      </c>
      <c r="AA88">
        <f ca="1">IFERROR(IF(0=LEN(ReferenceData!$AA$88),"",ReferenceData!$AA$88),"")</f>
        <v>10</v>
      </c>
      <c r="AB88">
        <f ca="1">IFERROR(IF(0=LEN(ReferenceData!$AB$88),"",ReferenceData!$AB$88),"")</f>
        <v>1055.097</v>
      </c>
      <c r="AC88">
        <f ca="1">IFERROR(IF(0=LEN(ReferenceData!$AC$88),"",ReferenceData!$AC$88),"")</f>
        <v>3733.1309999999999</v>
      </c>
      <c r="AD88">
        <f ca="1">IFERROR(IF(0=LEN(ReferenceData!$AD$88),"",ReferenceData!$AD$88),"")</f>
        <v>2687.962</v>
      </c>
      <c r="AE88">
        <f ca="1">IFERROR(IF(0=LEN(ReferenceData!$AE$88),"",ReferenceData!$AE$88),"")</f>
        <v>475.27199999999999</v>
      </c>
      <c r="AF88">
        <f ca="1">IFERROR(IF(0=LEN(ReferenceData!$AF$88),"",ReferenceData!$AF$88),"")</f>
        <v>254.82900000000001</v>
      </c>
      <c r="AG88">
        <f ca="1">IFERROR(IF(0=LEN(ReferenceData!$AG$88),"",ReferenceData!$AG$88),"")</f>
        <v>186.92500000000001</v>
      </c>
      <c r="AH88">
        <f ca="1">IFERROR(IF(0=LEN(ReferenceData!$AH$88),"",ReferenceData!$AH$88),"")</f>
        <v>245</v>
      </c>
      <c r="AI88">
        <f ca="1">IFERROR(IF(0=LEN(ReferenceData!$AI$88),"",ReferenceData!$AI$88),"")</f>
        <v>2300</v>
      </c>
      <c r="AJ88">
        <f ca="1">IFERROR(IF(0=LEN(ReferenceData!$AJ$88),"",ReferenceData!$AJ$88),"")</f>
        <v>385</v>
      </c>
      <c r="AK88">
        <f ca="1">IFERROR(IF(0=LEN(ReferenceData!$AK$88),"",ReferenceData!$AK$88),"")</f>
        <v>0</v>
      </c>
      <c r="AL88">
        <f ca="1">IFERROR(IF(0=LEN(ReferenceData!$AL$88),"",ReferenceData!$AL$88),"")</f>
        <v>0</v>
      </c>
      <c r="AM88">
        <f ca="1">IFERROR(IF(0=LEN(ReferenceData!$AM$88),"",ReferenceData!$AM$88),"")</f>
        <v>0</v>
      </c>
      <c r="AN88">
        <f ca="1">IFERROR(IF(0=LEN(ReferenceData!$AN$88),"",ReferenceData!$AN$88),"")</f>
        <v>0</v>
      </c>
      <c r="AO88">
        <f ca="1">IFERROR(IF(0=LEN(ReferenceData!$AO$88),"",ReferenceData!$AO$88),"")</f>
        <v>0</v>
      </c>
      <c r="AP88">
        <f ca="1">IFERROR(IF(0=LEN(ReferenceData!$AP$88),"",ReferenceData!$AP$88),"")</f>
        <v>0</v>
      </c>
      <c r="AQ88">
        <f ca="1">IFERROR(IF(0=LEN(ReferenceData!$AQ$88),"",ReferenceData!$AQ$88),"")</f>
        <v>0</v>
      </c>
      <c r="AR88">
        <f ca="1">IFERROR(IF(0=LEN(ReferenceData!$AR$88),"",ReferenceData!$AR$88),"")</f>
        <v>0</v>
      </c>
      <c r="AS88">
        <f ca="1">IFERROR(IF(0=LEN(ReferenceData!$AS$88),"",ReferenceData!$AS$88),"")</f>
        <v>609.63900000000001</v>
      </c>
      <c r="AT88">
        <f ca="1">IFERROR(IF(0=LEN(ReferenceData!$AT$88),"",ReferenceData!$AT$88),"")</f>
        <v>62.018999999999998</v>
      </c>
      <c r="AU88">
        <f ca="1">IFERROR(IF(0=LEN(ReferenceData!$AU$88),"",ReferenceData!$AU$88),"")</f>
        <v>0</v>
      </c>
      <c r="AV88">
        <f ca="1">IFERROR(IF(0=LEN(ReferenceData!$AV$88),"",ReferenceData!$AV$88),"")</f>
        <v>0</v>
      </c>
      <c r="AW88">
        <f ca="1">IFERROR(IF(0=LEN(ReferenceData!$AW$88),"",ReferenceData!$AW$88),"")</f>
        <v>10.125</v>
      </c>
      <c r="AX88">
        <f ca="1">IFERROR(IF(0=LEN(ReferenceData!$AX$88),"",ReferenceData!$AX$88),"")</f>
        <v>498.66300000000001</v>
      </c>
      <c r="AY88">
        <f ca="1">IFERROR(IF(0=LEN(ReferenceData!$AY$88),"",ReferenceData!$AY$88),"")</f>
        <v>0</v>
      </c>
      <c r="AZ88">
        <f ca="1">IFERROR(IF(0=LEN(ReferenceData!$AZ$88),"",ReferenceData!$AZ$88),"")</f>
        <v>0</v>
      </c>
      <c r="BA88">
        <f ca="1">IFERROR(IF(0=LEN(ReferenceData!$BA$88),"",ReferenceData!$BA$88),"")</f>
        <v>311.3</v>
      </c>
      <c r="BB88">
        <f ca="1">IFERROR(IF(0=LEN(ReferenceData!$BB$88),"",ReferenceData!$BB$88),"")</f>
        <v>986.40599999999995</v>
      </c>
      <c r="BC88">
        <f ca="1">IFERROR(IF(0=LEN(ReferenceData!$BC$88),"",ReferenceData!$BC$88),"")</f>
        <v>175.20400000000001</v>
      </c>
      <c r="BD88">
        <f ca="1">IFERROR(IF(0=LEN(ReferenceData!$BD$88),"",ReferenceData!$BD$88),"")</f>
        <v>2413.6959999999999</v>
      </c>
      <c r="BE88">
        <f ca="1">IFERROR(IF(0=LEN(ReferenceData!$BE$88),"",ReferenceData!$BE$88),"")</f>
        <v>2061.3670000000002</v>
      </c>
      <c r="BF88">
        <f ca="1">IFERROR(IF(0=LEN(ReferenceData!$BF$88),"",ReferenceData!$BF$88),"")</f>
        <v>14835.782999999999</v>
      </c>
      <c r="BG88">
        <f ca="1">IFERROR(IF(0=LEN(ReferenceData!$BG$88),"",ReferenceData!$BG$88),"")</f>
        <v>694.92100000000005</v>
      </c>
      <c r="BH88">
        <f ca="1">IFERROR(IF(0=LEN(ReferenceData!$BH$88),"",ReferenceData!$BH$88),"")</f>
        <v>1746.0940000000001</v>
      </c>
      <c r="BI88">
        <f ca="1">IFERROR(IF(0=LEN(ReferenceData!$BI$88),"",ReferenceData!$BI$88),"")</f>
        <v>735.40700000000004</v>
      </c>
      <c r="BJ88">
        <f ca="1">IFERROR(IF(0=LEN(ReferenceData!$BJ$88),"",ReferenceData!$BJ$88),"")</f>
        <v>0</v>
      </c>
      <c r="BK88">
        <f ca="1">IFERROR(IF(0=LEN(ReferenceData!$BK$88),"",ReferenceData!$BK$88),"")</f>
        <v>0</v>
      </c>
      <c r="BL88">
        <f ca="1">IFERROR(IF(0=LEN(ReferenceData!$BL$88),"",ReferenceData!$BL$88),"")</f>
        <v>0</v>
      </c>
      <c r="BM88">
        <f ca="1">IFERROR(IF(0=LEN(ReferenceData!$BM$88),"",ReferenceData!$BM$88),"")</f>
        <v>0</v>
      </c>
    </row>
    <row r="89" spans="1:65">
      <c r="A89" t="str">
        <f>IFERROR(IF(0=LEN(ReferenceData!$A$89),"",ReferenceData!$A$89),"")</f>
        <v xml:space="preserve">    Free Standing Retail REITs</v>
      </c>
      <c r="B89" t="str">
        <f>IFERROR(IF(0=LEN(ReferenceData!$B$89),"",ReferenceData!$B$89),"")</f>
        <v>RECFTAFS Index</v>
      </c>
      <c r="C89" t="str">
        <f>IFERROR(IF(0=LEN(ReferenceData!$C$89),"",ReferenceData!$C$89),"")</f>
        <v/>
      </c>
      <c r="D89" t="str">
        <f>IFERROR(IF(0=LEN(ReferenceData!$D$89),"",ReferenceData!$D$89),"")</f>
        <v/>
      </c>
      <c r="E89" t="str">
        <f>IFERROR(IF(0=LEN(ReferenceData!$E$89),"",ReferenceData!$E$89),"")</f>
        <v>Expression</v>
      </c>
      <c r="F89">
        <f ca="1">IFERROR(IF(0=LEN(ReferenceData!$F$89),"",ReferenceData!$F$89),"")</f>
        <v>1312.4380000000001</v>
      </c>
      <c r="G89">
        <f ca="1">IFERROR(IF(0=LEN(ReferenceData!$G$89),"",ReferenceData!$G$89),"")</f>
        <v>1011.768</v>
      </c>
      <c r="H89">
        <f ca="1">IFERROR(IF(0=LEN(ReferenceData!$H$89),"",ReferenceData!$H$89),"")</f>
        <v>1086.27</v>
      </c>
      <c r="I89">
        <f ca="1">IFERROR(IF(0=LEN(ReferenceData!$I$89),"",ReferenceData!$I$89),"")</f>
        <v>1119.1890000000001</v>
      </c>
      <c r="J89">
        <f ca="1">IFERROR(IF(0=LEN(ReferenceData!$J$89),"",ReferenceData!$J$89),"")</f>
        <v>1731.779</v>
      </c>
      <c r="K89">
        <f ca="1">IFERROR(IF(0=LEN(ReferenceData!$K$89),"",ReferenceData!$K$89),"")</f>
        <v>1059.3910000000001</v>
      </c>
      <c r="L89">
        <f ca="1">IFERROR(IF(0=LEN(ReferenceData!$L$89),"",ReferenceData!$L$89),"")</f>
        <v>1316.9110000000001</v>
      </c>
      <c r="M89">
        <f ca="1">IFERROR(IF(0=LEN(ReferenceData!$M$89),"",ReferenceData!$M$89),"")</f>
        <v>819.05499999999995</v>
      </c>
      <c r="N89">
        <f ca="1">IFERROR(IF(0=LEN(ReferenceData!$N$89),"",ReferenceData!$N$89),"")</f>
        <v>863.78300000000002</v>
      </c>
      <c r="O89">
        <f ca="1">IFERROR(IF(0=LEN(ReferenceData!$O$89),"",ReferenceData!$O$89),"")</f>
        <v>3542.3960000000002</v>
      </c>
      <c r="P89">
        <f ca="1">IFERROR(IF(0=LEN(ReferenceData!$P$89),"",ReferenceData!$P$89),"")</f>
        <v>1817.8579999999999</v>
      </c>
      <c r="Q89">
        <f ca="1">IFERROR(IF(0=LEN(ReferenceData!$Q$89),"",ReferenceData!$Q$89),"")</f>
        <v>972.60699999999997</v>
      </c>
      <c r="R89">
        <f ca="1">IFERROR(IF(0=LEN(ReferenceData!$R$89),"",ReferenceData!$R$89),"")</f>
        <v>1029.3610000000001</v>
      </c>
      <c r="S89">
        <f ca="1">IFERROR(IF(0=LEN(ReferenceData!$S$89),"",ReferenceData!$S$89),"")</f>
        <v>3060.2359999999999</v>
      </c>
      <c r="T89">
        <f ca="1">IFERROR(IF(0=LEN(ReferenceData!$T$89),"",ReferenceData!$T$89),"")</f>
        <v>1540.98</v>
      </c>
      <c r="U89">
        <f ca="1">IFERROR(IF(0=LEN(ReferenceData!$U$89),"",ReferenceData!$U$89),"")</f>
        <v>14015.18</v>
      </c>
      <c r="V89">
        <f ca="1">IFERROR(IF(0=LEN(ReferenceData!$V$89),"",ReferenceData!$V$89),"")</f>
        <v>2574.4</v>
      </c>
      <c r="W89">
        <f ca="1">IFERROR(IF(0=LEN(ReferenceData!$W$89),"",ReferenceData!$W$89),"")</f>
        <v>8317.7880000000005</v>
      </c>
      <c r="X89">
        <f ca="1">IFERROR(IF(0=LEN(ReferenceData!$X$89),"",ReferenceData!$X$89),"")</f>
        <v>2473.4560000000001</v>
      </c>
      <c r="Y89">
        <f ca="1">IFERROR(IF(0=LEN(ReferenceData!$Y$89),"",ReferenceData!$Y$89),"")</f>
        <v>5252.3190000000004</v>
      </c>
      <c r="Z89">
        <f ca="1">IFERROR(IF(0=LEN(ReferenceData!$Z$89),"",ReferenceData!$Z$89),"")</f>
        <v>816.57500000000005</v>
      </c>
      <c r="AA89">
        <f ca="1">IFERROR(IF(0=LEN(ReferenceData!$AA$89),"",ReferenceData!$AA$89),"")</f>
        <v>720.21400000000006</v>
      </c>
      <c r="AB89">
        <f ca="1">IFERROR(IF(0=LEN(ReferenceData!$AB$89),"",ReferenceData!$AB$89),"")</f>
        <v>348.334</v>
      </c>
      <c r="AC89">
        <f ca="1">IFERROR(IF(0=LEN(ReferenceData!$AC$89),"",ReferenceData!$AC$89),"")</f>
        <v>225.21199999999999</v>
      </c>
      <c r="AD89">
        <f ca="1">IFERROR(IF(0=LEN(ReferenceData!$AD$89),"",ReferenceData!$AD$89),"")</f>
        <v>536.03300000000002</v>
      </c>
      <c r="AE89">
        <f ca="1">IFERROR(IF(0=LEN(ReferenceData!$AE$89),"",ReferenceData!$AE$89),"")</f>
        <v>813.70600000000002</v>
      </c>
      <c r="AF89">
        <f ca="1">IFERROR(IF(0=LEN(ReferenceData!$AF$89),"",ReferenceData!$AF$89),"")</f>
        <v>269.04300000000001</v>
      </c>
      <c r="AG89">
        <f ca="1">IFERROR(IF(0=LEN(ReferenceData!$AG$89),"",ReferenceData!$AG$89),"")</f>
        <v>406.86099999999999</v>
      </c>
      <c r="AH89">
        <f ca="1">IFERROR(IF(0=LEN(ReferenceData!$AH$89),"",ReferenceData!$AH$89),"")</f>
        <v>661.56799999999998</v>
      </c>
      <c r="AI89">
        <f ca="1">IFERROR(IF(0=LEN(ReferenceData!$AI$89),"",ReferenceData!$AI$89),"")</f>
        <v>108.47</v>
      </c>
      <c r="AJ89">
        <f ca="1">IFERROR(IF(0=LEN(ReferenceData!$AJ$89),"",ReferenceData!$AJ$89),"")</f>
        <v>54.758000000000003</v>
      </c>
      <c r="AK89">
        <f ca="1">IFERROR(IF(0=LEN(ReferenceData!$AK$89),"",ReferenceData!$AK$89),"")</f>
        <v>40.076000000000001</v>
      </c>
      <c r="AL89">
        <f ca="1">IFERROR(IF(0=LEN(ReferenceData!$AL$89),"",ReferenceData!$AL$89),"")</f>
        <v>53.006</v>
      </c>
      <c r="AM89">
        <f ca="1">IFERROR(IF(0=LEN(ReferenceData!$AM$89),"",ReferenceData!$AM$89),"")</f>
        <v>69.384</v>
      </c>
      <c r="AN89">
        <f ca="1">IFERROR(IF(0=LEN(ReferenceData!$AN$89),"",ReferenceData!$AN$89),"")</f>
        <v>0</v>
      </c>
      <c r="AO89">
        <f ca="1">IFERROR(IF(0=LEN(ReferenceData!$AO$89),"",ReferenceData!$AO$89),"")</f>
        <v>1.3</v>
      </c>
      <c r="AP89">
        <f ca="1">IFERROR(IF(0=LEN(ReferenceData!$AP$89),"",ReferenceData!$AP$89),"")</f>
        <v>38.302</v>
      </c>
      <c r="AQ89">
        <f ca="1">IFERROR(IF(0=LEN(ReferenceData!$AQ$89),"",ReferenceData!$AQ$89),"")</f>
        <v>68.510000000000005</v>
      </c>
      <c r="AR89">
        <f ca="1">IFERROR(IF(0=LEN(ReferenceData!$AR$89),"",ReferenceData!$AR$89),"")</f>
        <v>105.947</v>
      </c>
      <c r="AS89">
        <f ca="1">IFERROR(IF(0=LEN(ReferenceData!$AS$89),"",ReferenceData!$AS$89),"")</f>
        <v>411.31</v>
      </c>
      <c r="AT89">
        <f ca="1">IFERROR(IF(0=LEN(ReferenceData!$AT$89),"",ReferenceData!$AT$89),"")</f>
        <v>314.887</v>
      </c>
      <c r="AU89">
        <f ca="1">IFERROR(IF(0=LEN(ReferenceData!$AU$89),"",ReferenceData!$AU$89),"")</f>
        <v>459.608</v>
      </c>
      <c r="AV89">
        <f ca="1">IFERROR(IF(0=LEN(ReferenceData!$AV$89),"",ReferenceData!$AV$89),"")</f>
        <v>376.06299999999999</v>
      </c>
      <c r="AW89">
        <f ca="1">IFERROR(IF(0=LEN(ReferenceData!$AW$89),"",ReferenceData!$AW$89),"")</f>
        <v>211.31800000000001</v>
      </c>
      <c r="AX89">
        <f ca="1">IFERROR(IF(0=LEN(ReferenceData!$AX$89),"",ReferenceData!$AX$89),"")</f>
        <v>664.52200000000005</v>
      </c>
      <c r="AY89">
        <f ca="1">IFERROR(IF(0=LEN(ReferenceData!$AY$89),"",ReferenceData!$AY$89),"")</f>
        <v>237.84299999999999</v>
      </c>
      <c r="AZ89">
        <f ca="1">IFERROR(IF(0=LEN(ReferenceData!$AZ$89),"",ReferenceData!$AZ$89),"")</f>
        <v>159.541</v>
      </c>
      <c r="BA89">
        <f ca="1">IFERROR(IF(0=LEN(ReferenceData!$BA$89),"",ReferenceData!$BA$89),"")</f>
        <v>137.48099999999999</v>
      </c>
      <c r="BB89">
        <f ca="1">IFERROR(IF(0=LEN(ReferenceData!$BB$89),"",ReferenceData!$BB$89),"")</f>
        <v>418.10199999999998</v>
      </c>
      <c r="BC89">
        <f ca="1">IFERROR(IF(0=LEN(ReferenceData!$BC$89),"",ReferenceData!$BC$89),"")</f>
        <v>294.85700000000003</v>
      </c>
      <c r="BD89">
        <f ca="1">IFERROR(IF(0=LEN(ReferenceData!$BD$89),"",ReferenceData!$BD$89),"")</f>
        <v>162.66200000000001</v>
      </c>
      <c r="BE89">
        <f ca="1">IFERROR(IF(0=LEN(ReferenceData!$BE$89),"",ReferenceData!$BE$89),"")</f>
        <v>159.25299999999999</v>
      </c>
      <c r="BF89">
        <f ca="1">IFERROR(IF(0=LEN(ReferenceData!$BF$89),"",ReferenceData!$BF$89),"")</f>
        <v>144.488</v>
      </c>
      <c r="BG89">
        <f ca="1">IFERROR(IF(0=LEN(ReferenceData!$BG$89),"",ReferenceData!$BG$89),"")</f>
        <v>65.766999999999996</v>
      </c>
      <c r="BH89">
        <f ca="1">IFERROR(IF(0=LEN(ReferenceData!$BH$89),"",ReferenceData!$BH$89),"")</f>
        <v>46.96</v>
      </c>
      <c r="BI89">
        <f ca="1">IFERROR(IF(0=LEN(ReferenceData!$BI$89),"",ReferenceData!$BI$89),"")</f>
        <v>133.203</v>
      </c>
      <c r="BJ89">
        <f ca="1">IFERROR(IF(0=LEN(ReferenceData!$BJ$89),"",ReferenceData!$BJ$89),"")</f>
        <v>3.7</v>
      </c>
      <c r="BK89">
        <f ca="1">IFERROR(IF(0=LEN(ReferenceData!$BK$89),"",ReferenceData!$BK$89),"")</f>
        <v>4.8</v>
      </c>
      <c r="BL89">
        <f ca="1">IFERROR(IF(0=LEN(ReferenceData!$BL$89),"",ReferenceData!$BL$89),"")</f>
        <v>0</v>
      </c>
      <c r="BM89">
        <f ca="1">IFERROR(IF(0=LEN(ReferenceData!$BM$89),"",ReferenceData!$BM$89),"")</f>
        <v>0</v>
      </c>
    </row>
    <row r="90" spans="1:65">
      <c r="A90" t="str">
        <f>IFERROR(IF(0=LEN(ReferenceData!$A$90),"",ReferenceData!$A$90),"")</f>
        <v xml:space="preserve">    Residential REITs</v>
      </c>
      <c r="B90" t="str">
        <f>IFERROR(IF(0=LEN(ReferenceData!$B$90),"",ReferenceData!$B$90),"")</f>
        <v>RECFTARS Index</v>
      </c>
      <c r="C90" t="str">
        <f>IFERROR(IF(0=LEN(ReferenceData!$C$90),"",ReferenceData!$C$90),"")</f>
        <v/>
      </c>
      <c r="D90" t="str">
        <f>IFERROR(IF(0=LEN(ReferenceData!$D$90),"",ReferenceData!$D$90),"")</f>
        <v/>
      </c>
      <c r="E90" t="str">
        <f>IFERROR(IF(0=LEN(ReferenceData!$E$90),"",ReferenceData!$E$90),"")</f>
        <v>Expression</v>
      </c>
      <c r="F90">
        <f ca="1">IFERROR(IF(0=LEN(ReferenceData!$F$90),"",ReferenceData!$F$90),"")</f>
        <v>1099.223</v>
      </c>
      <c r="G90">
        <f ca="1">IFERROR(IF(0=LEN(ReferenceData!$G$90),"",ReferenceData!$G$90),"")</f>
        <v>1704.75</v>
      </c>
      <c r="H90">
        <f ca="1">IFERROR(IF(0=LEN(ReferenceData!$H$90),"",ReferenceData!$H$90),"")</f>
        <v>2608.694</v>
      </c>
      <c r="I90">
        <f ca="1">IFERROR(IF(0=LEN(ReferenceData!$I$90),"",ReferenceData!$I$90),"")</f>
        <v>1204.154</v>
      </c>
      <c r="J90">
        <f ca="1">IFERROR(IF(0=LEN(ReferenceData!$J$90),"",ReferenceData!$J$90),"")</f>
        <v>1403.12</v>
      </c>
      <c r="K90">
        <f ca="1">IFERROR(IF(0=LEN(ReferenceData!$K$90),"",ReferenceData!$K$90),"")</f>
        <v>1352.059</v>
      </c>
      <c r="L90">
        <f ca="1">IFERROR(IF(0=LEN(ReferenceData!$L$90),"",ReferenceData!$L$90),"")</f>
        <v>2412.5160000000001</v>
      </c>
      <c r="M90">
        <f ca="1">IFERROR(IF(0=LEN(ReferenceData!$M$90),"",ReferenceData!$M$90),"")</f>
        <v>7168.5910000000003</v>
      </c>
      <c r="N90">
        <f ca="1">IFERROR(IF(0=LEN(ReferenceData!$N$90),"",ReferenceData!$N$90),"")</f>
        <v>1698.027</v>
      </c>
      <c r="O90">
        <f ca="1">IFERROR(IF(0=LEN(ReferenceData!$O$90),"",ReferenceData!$O$90),"")</f>
        <v>1613.857</v>
      </c>
      <c r="P90">
        <f ca="1">IFERROR(IF(0=LEN(ReferenceData!$P$90),"",ReferenceData!$P$90),"")</f>
        <v>2017.346</v>
      </c>
      <c r="Q90">
        <f ca="1">IFERROR(IF(0=LEN(ReferenceData!$Q$90),"",ReferenceData!$Q$90),"")</f>
        <v>1935.0060000000001</v>
      </c>
      <c r="R90">
        <f ca="1">IFERROR(IF(0=LEN(ReferenceData!$R$90),"",ReferenceData!$R$90),"")</f>
        <v>2496.1750000000002</v>
      </c>
      <c r="S90">
        <f ca="1">IFERROR(IF(0=LEN(ReferenceData!$S$90),"",ReferenceData!$S$90),"")</f>
        <v>1738.4870000000001</v>
      </c>
      <c r="T90">
        <f ca="1">IFERROR(IF(0=LEN(ReferenceData!$T$90),"",ReferenceData!$T$90),"")</f>
        <v>6003.2669999999998</v>
      </c>
      <c r="U90">
        <f ca="1">IFERROR(IF(0=LEN(ReferenceData!$U$90),"",ReferenceData!$U$90),"")</f>
        <v>1513.3979999999999</v>
      </c>
      <c r="V90">
        <f ca="1">IFERROR(IF(0=LEN(ReferenceData!$V$90),"",ReferenceData!$V$90),"")</f>
        <v>3439.3629999999998</v>
      </c>
      <c r="W90">
        <f ca="1">IFERROR(IF(0=LEN(ReferenceData!$W$90),"",ReferenceData!$W$90),"")</f>
        <v>1561.931</v>
      </c>
      <c r="X90">
        <f ca="1">IFERROR(IF(0=LEN(ReferenceData!$X$90),"",ReferenceData!$X$90),"")</f>
        <v>1078.0450000000001</v>
      </c>
      <c r="Y90">
        <f ca="1">IFERROR(IF(0=LEN(ReferenceData!$Y$90),"",ReferenceData!$Y$90),"")</f>
        <v>16025.226000000001</v>
      </c>
      <c r="Z90">
        <f ca="1">IFERROR(IF(0=LEN(ReferenceData!$Z$90),"",ReferenceData!$Z$90),"")</f>
        <v>2398.817</v>
      </c>
      <c r="AA90">
        <f ca="1">IFERROR(IF(0=LEN(ReferenceData!$AA$90),"",ReferenceData!$AA$90),"")</f>
        <v>2075.3629999999998</v>
      </c>
      <c r="AB90">
        <f ca="1">IFERROR(IF(0=LEN(ReferenceData!$AB$90),"",ReferenceData!$AB$90),"")</f>
        <v>1467.1030000000001</v>
      </c>
      <c r="AC90">
        <f ca="1">IFERROR(IF(0=LEN(ReferenceData!$AC$90),"",ReferenceData!$AC$90),"")</f>
        <v>2221.1640000000002</v>
      </c>
      <c r="AD90">
        <f ca="1">IFERROR(IF(0=LEN(ReferenceData!$AD$90),"",ReferenceData!$AD$90),"")</f>
        <v>2531.6190000000001</v>
      </c>
      <c r="AE90">
        <f ca="1">IFERROR(IF(0=LEN(ReferenceData!$AE$90),"",ReferenceData!$AE$90),"")</f>
        <v>3115.9079999999999</v>
      </c>
      <c r="AF90">
        <f ca="1">IFERROR(IF(0=LEN(ReferenceData!$AF$90),"",ReferenceData!$AF$90),"")</f>
        <v>2431.2489999999998</v>
      </c>
      <c r="AG90">
        <f ca="1">IFERROR(IF(0=LEN(ReferenceData!$AG$90),"",ReferenceData!$AG$90),"")</f>
        <v>597.92399999999998</v>
      </c>
      <c r="AH90">
        <f ca="1">IFERROR(IF(0=LEN(ReferenceData!$AH$90),"",ReferenceData!$AH$90),"")</f>
        <v>1094.7739999999999</v>
      </c>
      <c r="AI90">
        <f ca="1">IFERROR(IF(0=LEN(ReferenceData!$AI$90),"",ReferenceData!$AI$90),"")</f>
        <v>2454.5</v>
      </c>
      <c r="AJ90">
        <f ca="1">IFERROR(IF(0=LEN(ReferenceData!$AJ$90),"",ReferenceData!$AJ$90),"")</f>
        <v>521.64</v>
      </c>
      <c r="AK90">
        <f ca="1">IFERROR(IF(0=LEN(ReferenceData!$AK$90),"",ReferenceData!$AK$90),"")</f>
        <v>854.61199999999997</v>
      </c>
      <c r="AL90">
        <f ca="1">IFERROR(IF(0=LEN(ReferenceData!$AL$90),"",ReferenceData!$AL$90),"")</f>
        <v>524.23599999999999</v>
      </c>
      <c r="AM90">
        <f ca="1">IFERROR(IF(0=LEN(ReferenceData!$AM$90),"",ReferenceData!$AM$90),"")</f>
        <v>44.838999999999999</v>
      </c>
      <c r="AN90">
        <f ca="1">IFERROR(IF(0=LEN(ReferenceData!$AN$90),"",ReferenceData!$AN$90),"")</f>
        <v>50.6</v>
      </c>
      <c r="AO90">
        <f ca="1">IFERROR(IF(0=LEN(ReferenceData!$AO$90),"",ReferenceData!$AO$90),"")</f>
        <v>0</v>
      </c>
      <c r="AP90">
        <f ca="1">IFERROR(IF(0=LEN(ReferenceData!$AP$90),"",ReferenceData!$AP$90),"")</f>
        <v>180.80099999999999</v>
      </c>
      <c r="AQ90">
        <f ca="1">IFERROR(IF(0=LEN(ReferenceData!$AQ$90),"",ReferenceData!$AQ$90),"")</f>
        <v>393.71</v>
      </c>
      <c r="AR90">
        <f ca="1">IFERROR(IF(0=LEN(ReferenceData!$AR$90),"",ReferenceData!$AR$90),"")</f>
        <v>1617.4</v>
      </c>
      <c r="AS90">
        <f ca="1">IFERROR(IF(0=LEN(ReferenceData!$AS$90),"",ReferenceData!$AS$90),"")</f>
        <v>652.93799999999999</v>
      </c>
      <c r="AT90">
        <f ca="1">IFERROR(IF(0=LEN(ReferenceData!$AT$90),"",ReferenceData!$AT$90),"")</f>
        <v>374.14100000000002</v>
      </c>
      <c r="AU90">
        <f ca="1">IFERROR(IF(0=LEN(ReferenceData!$AU$90),"",ReferenceData!$AU$90),"")</f>
        <v>822.48</v>
      </c>
      <c r="AV90">
        <f ca="1">IFERROR(IF(0=LEN(ReferenceData!$AV$90),"",ReferenceData!$AV$90),"")</f>
        <v>1799.769</v>
      </c>
      <c r="AW90">
        <f ca="1">IFERROR(IF(0=LEN(ReferenceData!$AW$90),"",ReferenceData!$AW$90),"")</f>
        <v>1301.96</v>
      </c>
      <c r="AX90">
        <f ca="1">IFERROR(IF(0=LEN(ReferenceData!$AX$90),"",ReferenceData!$AX$90),"")</f>
        <v>1312.23</v>
      </c>
      <c r="AY90">
        <f ca="1">IFERROR(IF(0=LEN(ReferenceData!$AY$90),"",ReferenceData!$AY$90),"")</f>
        <v>1892.9659999999999</v>
      </c>
      <c r="AZ90">
        <f ca="1">IFERROR(IF(0=LEN(ReferenceData!$AZ$90),"",ReferenceData!$AZ$90),"")</f>
        <v>1318.1610000000001</v>
      </c>
      <c r="BA90">
        <f ca="1">IFERROR(IF(0=LEN(ReferenceData!$BA$90),"",ReferenceData!$BA$90),"")</f>
        <v>1840.8879999999999</v>
      </c>
      <c r="BB90">
        <f ca="1">IFERROR(IF(0=LEN(ReferenceData!$BB$90),"",ReferenceData!$BB$90),"")</f>
        <v>2350.154</v>
      </c>
      <c r="BC90">
        <f ca="1">IFERROR(IF(0=LEN(ReferenceData!$BC$90),"",ReferenceData!$BC$90),"")</f>
        <v>3082.886</v>
      </c>
      <c r="BD90">
        <f ca="1">IFERROR(IF(0=LEN(ReferenceData!$BD$90),"",ReferenceData!$BD$90),"")</f>
        <v>1037.875</v>
      </c>
      <c r="BE90">
        <f ca="1">IFERROR(IF(0=LEN(ReferenceData!$BE$90),"",ReferenceData!$BE$90),"")</f>
        <v>3336.4259999999999</v>
      </c>
      <c r="BF90">
        <f ca="1">IFERROR(IF(0=LEN(ReferenceData!$BF$90),"",ReferenceData!$BF$90),"")</f>
        <v>1650.96</v>
      </c>
      <c r="BG90">
        <f ca="1">IFERROR(IF(0=LEN(ReferenceData!$BG$90),"",ReferenceData!$BG$90),"")</f>
        <v>1558.4359999999999</v>
      </c>
      <c r="BH90">
        <f ca="1">IFERROR(IF(0=LEN(ReferenceData!$BH$90),"",ReferenceData!$BH$90),"")</f>
        <v>1021.283</v>
      </c>
      <c r="BI90">
        <f ca="1">IFERROR(IF(0=LEN(ReferenceData!$BI$90),"",ReferenceData!$BI$90),"")</f>
        <v>2156.1060000000002</v>
      </c>
      <c r="BJ90">
        <f ca="1">IFERROR(IF(0=LEN(ReferenceData!$BJ$90),"",ReferenceData!$BJ$90),"")</f>
        <v>17.399999999999999</v>
      </c>
      <c r="BK90">
        <f ca="1">IFERROR(IF(0=LEN(ReferenceData!$BK$90),"",ReferenceData!$BK$90),"")</f>
        <v>58.9</v>
      </c>
      <c r="BL90">
        <f ca="1">IFERROR(IF(0=LEN(ReferenceData!$BL$90),"",ReferenceData!$BL$90),"")</f>
        <v>0</v>
      </c>
      <c r="BM90">
        <f ca="1">IFERROR(IF(0=LEN(ReferenceData!$BM$90),"",ReferenceData!$BM$90),"")</f>
        <v>0</v>
      </c>
    </row>
    <row r="91" spans="1:65">
      <c r="A91" t="str">
        <f>IFERROR(IF(0=LEN(ReferenceData!$A$91),"",ReferenceData!$A$91),"")</f>
        <v xml:space="preserve">    Apartment REITs</v>
      </c>
      <c r="B91" t="str">
        <f>IFERROR(IF(0=LEN(ReferenceData!$B$91),"",ReferenceData!$B$91),"")</f>
        <v>RECFTAAP Index</v>
      </c>
      <c r="C91" t="str">
        <f>IFERROR(IF(0=LEN(ReferenceData!$C$91),"",ReferenceData!$C$91),"")</f>
        <v/>
      </c>
      <c r="D91" t="str">
        <f>IFERROR(IF(0=LEN(ReferenceData!$D$91),"",ReferenceData!$D$91),"")</f>
        <v/>
      </c>
      <c r="E91" t="str">
        <f>IFERROR(IF(0=LEN(ReferenceData!$E$91),"",ReferenceData!$E$91),"")</f>
        <v>Expression</v>
      </c>
      <c r="F91">
        <f ca="1">IFERROR(IF(0=LEN(ReferenceData!$F$91),"",ReferenceData!$F$91),"")</f>
        <v>832.351</v>
      </c>
      <c r="G91">
        <f ca="1">IFERROR(IF(0=LEN(ReferenceData!$G$91),"",ReferenceData!$G$91),"")</f>
        <v>1321.989</v>
      </c>
      <c r="H91">
        <f ca="1">IFERROR(IF(0=LEN(ReferenceData!$H$91),"",ReferenceData!$H$91),"")</f>
        <v>1405.6859999999999</v>
      </c>
      <c r="I91">
        <f ca="1">IFERROR(IF(0=LEN(ReferenceData!$I$91),"",ReferenceData!$I$91),"")</f>
        <v>1026.797</v>
      </c>
      <c r="J91">
        <f ca="1">IFERROR(IF(0=LEN(ReferenceData!$J$91),"",ReferenceData!$J$91),"")</f>
        <v>1129.424</v>
      </c>
      <c r="K91">
        <f ca="1">IFERROR(IF(0=LEN(ReferenceData!$K$91),"",ReferenceData!$K$91),"")</f>
        <v>1203.722</v>
      </c>
      <c r="L91">
        <f ca="1">IFERROR(IF(0=LEN(ReferenceData!$L$91),"",ReferenceData!$L$91),"")</f>
        <v>611.57600000000002</v>
      </c>
      <c r="M91">
        <f ca="1">IFERROR(IF(0=LEN(ReferenceData!$M$91),"",ReferenceData!$M$91),"")</f>
        <v>1051.135</v>
      </c>
      <c r="N91">
        <f ca="1">IFERROR(IF(0=LEN(ReferenceData!$N$91),"",ReferenceData!$N$91),"")</f>
        <v>1618.74</v>
      </c>
      <c r="O91">
        <f ca="1">IFERROR(IF(0=LEN(ReferenceData!$O$91),"",ReferenceData!$O$91),"")</f>
        <v>1408.38</v>
      </c>
      <c r="P91">
        <f ca="1">IFERROR(IF(0=LEN(ReferenceData!$P$91),"",ReferenceData!$P$91),"")</f>
        <v>1320.3240000000001</v>
      </c>
      <c r="Q91">
        <f ca="1">IFERROR(IF(0=LEN(ReferenceData!$Q$91),"",ReferenceData!$Q$91),"")</f>
        <v>983.00900000000001</v>
      </c>
      <c r="R91">
        <f ca="1">IFERROR(IF(0=LEN(ReferenceData!$R$91),"",ReferenceData!$R$91),"")</f>
        <v>1354.02</v>
      </c>
      <c r="S91">
        <f ca="1">IFERROR(IF(0=LEN(ReferenceData!$S$91),"",ReferenceData!$S$91),"")</f>
        <v>1260.443</v>
      </c>
      <c r="T91">
        <f ca="1">IFERROR(IF(0=LEN(ReferenceData!$T$91),"",ReferenceData!$T$91),"")</f>
        <v>5551.1859999999997</v>
      </c>
      <c r="U91">
        <f ca="1">IFERROR(IF(0=LEN(ReferenceData!$U$91),"",ReferenceData!$U$91),"")</f>
        <v>576.71900000000005</v>
      </c>
      <c r="V91">
        <f ca="1">IFERROR(IF(0=LEN(ReferenceData!$V$91),"",ReferenceData!$V$91),"")</f>
        <v>2965.0970000000002</v>
      </c>
      <c r="W91">
        <f ca="1">IFERROR(IF(0=LEN(ReferenceData!$W$91),"",ReferenceData!$W$91),"")</f>
        <v>798.36400000000003</v>
      </c>
      <c r="X91">
        <f ca="1">IFERROR(IF(0=LEN(ReferenceData!$X$91),"",ReferenceData!$X$91),"")</f>
        <v>737.68100000000004</v>
      </c>
      <c r="Y91">
        <f ca="1">IFERROR(IF(0=LEN(ReferenceData!$Y$91),"",ReferenceData!$Y$91),"")</f>
        <v>15703.793</v>
      </c>
      <c r="Z91">
        <f ca="1">IFERROR(IF(0=LEN(ReferenceData!$Z$91),"",ReferenceData!$Z$91),"")</f>
        <v>2025.3119999999999</v>
      </c>
      <c r="AA91">
        <f ca="1">IFERROR(IF(0=LEN(ReferenceData!$AA$91),"",ReferenceData!$AA$91),"")</f>
        <v>1999.8130000000001</v>
      </c>
      <c r="AB91">
        <f ca="1">IFERROR(IF(0=LEN(ReferenceData!$AB$91),"",ReferenceData!$AB$91),"")</f>
        <v>1467.1030000000001</v>
      </c>
      <c r="AC91">
        <f ca="1">IFERROR(IF(0=LEN(ReferenceData!$AC$91),"",ReferenceData!$AC$91),"")</f>
        <v>2194.5639999999999</v>
      </c>
      <c r="AD91">
        <f ca="1">IFERROR(IF(0=LEN(ReferenceData!$AD$91),"",ReferenceData!$AD$91),"")</f>
        <v>2044.9190000000001</v>
      </c>
      <c r="AE91">
        <f ca="1">IFERROR(IF(0=LEN(ReferenceData!$AE$91),"",ReferenceData!$AE$91),"")</f>
        <v>2056.808</v>
      </c>
      <c r="AF91">
        <f ca="1">IFERROR(IF(0=LEN(ReferenceData!$AF$91),"",ReferenceData!$AF$91),"")</f>
        <v>2268.4490000000001</v>
      </c>
      <c r="AG91">
        <f ca="1">IFERROR(IF(0=LEN(ReferenceData!$AG$91),"",ReferenceData!$AG$91),"")</f>
        <v>597.92399999999998</v>
      </c>
      <c r="AH91">
        <f ca="1">IFERROR(IF(0=LEN(ReferenceData!$AH$91),"",ReferenceData!$AH$91),"")</f>
        <v>1070.5239999999999</v>
      </c>
      <c r="AI91">
        <f ca="1">IFERROR(IF(0=LEN(ReferenceData!$AI$91),"",ReferenceData!$AI$91),"")</f>
        <v>2454.5</v>
      </c>
      <c r="AJ91">
        <f ca="1">IFERROR(IF(0=LEN(ReferenceData!$AJ$91),"",ReferenceData!$AJ$91),"")</f>
        <v>506.44</v>
      </c>
      <c r="AK91">
        <f ca="1">IFERROR(IF(0=LEN(ReferenceData!$AK$91),"",ReferenceData!$AK$91),"")</f>
        <v>854.61199999999997</v>
      </c>
      <c r="AL91">
        <f ca="1">IFERROR(IF(0=LEN(ReferenceData!$AL$91),"",ReferenceData!$AL$91),"")</f>
        <v>524.23599999999999</v>
      </c>
      <c r="AM91">
        <f ca="1">IFERROR(IF(0=LEN(ReferenceData!$AM$91),"",ReferenceData!$AM$91),"")</f>
        <v>44.838999999999999</v>
      </c>
      <c r="AN91">
        <f ca="1">IFERROR(IF(0=LEN(ReferenceData!$AN$91),"",ReferenceData!$AN$91),"")</f>
        <v>50.6</v>
      </c>
      <c r="AO91">
        <f ca="1">IFERROR(IF(0=LEN(ReferenceData!$AO$91),"",ReferenceData!$AO$91),"")</f>
        <v>0</v>
      </c>
      <c r="AP91">
        <f ca="1">IFERROR(IF(0=LEN(ReferenceData!$AP$91),"",ReferenceData!$AP$91),"")</f>
        <v>180.80099999999999</v>
      </c>
      <c r="AQ91">
        <f ca="1">IFERROR(IF(0=LEN(ReferenceData!$AQ$91),"",ReferenceData!$AQ$91),"")</f>
        <v>393.71</v>
      </c>
      <c r="AR91">
        <f ca="1">IFERROR(IF(0=LEN(ReferenceData!$AR$91),"",ReferenceData!$AR$91),"")</f>
        <v>1617.4</v>
      </c>
      <c r="AS91">
        <f ca="1">IFERROR(IF(0=LEN(ReferenceData!$AS$91),"",ReferenceData!$AS$91),"")</f>
        <v>643.03800000000001</v>
      </c>
      <c r="AT91">
        <f ca="1">IFERROR(IF(0=LEN(ReferenceData!$AT$91),"",ReferenceData!$AT$91),"")</f>
        <v>366.84100000000001</v>
      </c>
      <c r="AU91">
        <f ca="1">IFERROR(IF(0=LEN(ReferenceData!$AU$91),"",ReferenceData!$AU$91),"")</f>
        <v>810.48</v>
      </c>
      <c r="AV91">
        <f ca="1">IFERROR(IF(0=LEN(ReferenceData!$AV$91),"",ReferenceData!$AV$91),"")</f>
        <v>1788.8689999999999</v>
      </c>
      <c r="AW91">
        <f ca="1">IFERROR(IF(0=LEN(ReferenceData!$AW$91),"",ReferenceData!$AW$91),"")</f>
        <v>1296.06</v>
      </c>
      <c r="AX91">
        <f ca="1">IFERROR(IF(0=LEN(ReferenceData!$AX$91),"",ReferenceData!$AX$91),"")</f>
        <v>1280.53</v>
      </c>
      <c r="AY91">
        <f ca="1">IFERROR(IF(0=LEN(ReferenceData!$AY$91),"",ReferenceData!$AY$91),"")</f>
        <v>1892.9659999999999</v>
      </c>
      <c r="AZ91">
        <f ca="1">IFERROR(IF(0=LEN(ReferenceData!$AZ$91),"",ReferenceData!$AZ$91),"")</f>
        <v>1291.06</v>
      </c>
      <c r="BA91">
        <f ca="1">IFERROR(IF(0=LEN(ReferenceData!$BA$91),"",ReferenceData!$BA$91),"")</f>
        <v>1722.8879999999999</v>
      </c>
      <c r="BB91">
        <f ca="1">IFERROR(IF(0=LEN(ReferenceData!$BB$91),"",ReferenceData!$BB$91),"")</f>
        <v>2348.654</v>
      </c>
      <c r="BC91">
        <f ca="1">IFERROR(IF(0=LEN(ReferenceData!$BC$91),"",ReferenceData!$BC$91),"")</f>
        <v>2999.5859999999998</v>
      </c>
      <c r="BD91">
        <f ca="1">IFERROR(IF(0=LEN(ReferenceData!$BD$91),"",ReferenceData!$BD$91),"")</f>
        <v>1031.2760000000001</v>
      </c>
      <c r="BE91">
        <f ca="1">IFERROR(IF(0=LEN(ReferenceData!$BE$91),"",ReferenceData!$BE$91),"")</f>
        <v>3329.1260000000002</v>
      </c>
      <c r="BF91">
        <f ca="1">IFERROR(IF(0=LEN(ReferenceData!$BF$91),"",ReferenceData!$BF$91),"")</f>
        <v>1439.16</v>
      </c>
      <c r="BG91">
        <f ca="1">IFERROR(IF(0=LEN(ReferenceData!$BG$91),"",ReferenceData!$BG$91),"")</f>
        <v>1537.22</v>
      </c>
      <c r="BH91">
        <f ca="1">IFERROR(IF(0=LEN(ReferenceData!$BH$91),"",ReferenceData!$BH$91),"")</f>
        <v>700.42700000000002</v>
      </c>
      <c r="BI91">
        <f ca="1">IFERROR(IF(0=LEN(ReferenceData!$BI$91),"",ReferenceData!$BI$91),"")</f>
        <v>1185.3019999999999</v>
      </c>
      <c r="BJ91">
        <f ca="1">IFERROR(IF(0=LEN(ReferenceData!$BJ$91),"",ReferenceData!$BJ$91),"")</f>
        <v>0</v>
      </c>
      <c r="BK91">
        <f ca="1">IFERROR(IF(0=LEN(ReferenceData!$BK$91),"",ReferenceData!$BK$91),"")</f>
        <v>58.9</v>
      </c>
      <c r="BL91">
        <f ca="1">IFERROR(IF(0=LEN(ReferenceData!$BL$91),"",ReferenceData!$BL$91),"")</f>
        <v>0</v>
      </c>
      <c r="BM91">
        <f ca="1">IFERROR(IF(0=LEN(ReferenceData!$BM$91),"",ReferenceData!$BM$91),"")</f>
        <v>0</v>
      </c>
    </row>
    <row r="92" spans="1:65">
      <c r="A92" t="str">
        <f>IFERROR(IF(0=LEN(ReferenceData!$A$92),"",ReferenceData!$A$92),"")</f>
        <v xml:space="preserve">    Manufactured Home REITs</v>
      </c>
      <c r="B92" t="str">
        <f>IFERROR(IF(0=LEN(ReferenceData!$B$92),"",ReferenceData!$B$92),"")</f>
        <v>RECFTAMH Index</v>
      </c>
      <c r="C92" t="str">
        <f>IFERROR(IF(0=LEN(ReferenceData!$C$92),"",ReferenceData!$C$92),"")</f>
        <v/>
      </c>
      <c r="D92" t="str">
        <f>IFERROR(IF(0=LEN(ReferenceData!$D$92),"",ReferenceData!$D$92),"")</f>
        <v/>
      </c>
      <c r="E92" t="str">
        <f>IFERROR(IF(0=LEN(ReferenceData!$E$92),"",ReferenceData!$E$92),"")</f>
        <v>Expression</v>
      </c>
      <c r="F92">
        <f ca="1">IFERROR(IF(0=LEN(ReferenceData!$F$92),"",ReferenceData!$F$92),"")</f>
        <v>186.37799999999999</v>
      </c>
      <c r="G92">
        <f ca="1">IFERROR(IF(0=LEN(ReferenceData!$G$92),"",ReferenceData!$G$92),"")</f>
        <v>84.763999999999996</v>
      </c>
      <c r="H92">
        <f ca="1">IFERROR(IF(0=LEN(ReferenceData!$H$92),"",ReferenceData!$H$92),"")</f>
        <v>55.387999999999998</v>
      </c>
      <c r="I92">
        <f ca="1">IFERROR(IF(0=LEN(ReferenceData!$I$92),"",ReferenceData!$I$92),"")</f>
        <v>49.51</v>
      </c>
      <c r="J92">
        <f ca="1">IFERROR(IF(0=LEN(ReferenceData!$J$92),"",ReferenceData!$J$92),"")</f>
        <v>37.789000000000001</v>
      </c>
      <c r="K92">
        <f ca="1">IFERROR(IF(0=LEN(ReferenceData!$K$92),"",ReferenceData!$K$92),"")</f>
        <v>34.737000000000002</v>
      </c>
      <c r="L92">
        <f ca="1">IFERROR(IF(0=LEN(ReferenceData!$L$92),"",ReferenceData!$L$92),"")</f>
        <v>1783.94</v>
      </c>
      <c r="M92">
        <f ca="1">IFERROR(IF(0=LEN(ReferenceData!$M$92),"",ReferenceData!$M$92),"")</f>
        <v>45.15</v>
      </c>
      <c r="N92">
        <f ca="1">IFERROR(IF(0=LEN(ReferenceData!$N$92),"",ReferenceData!$N$92),"")</f>
        <v>36.1</v>
      </c>
      <c r="O92">
        <f ca="1">IFERROR(IF(0=LEN(ReferenceData!$O$92),"",ReferenceData!$O$92),"")</f>
        <v>108.6</v>
      </c>
      <c r="P92">
        <f ca="1">IFERROR(IF(0=LEN(ReferenceData!$P$92),"",ReferenceData!$P$92),"")</f>
        <v>336.31700000000001</v>
      </c>
      <c r="Q92">
        <f ca="1">IFERROR(IF(0=LEN(ReferenceData!$Q$92),"",ReferenceData!$Q$92),"")</f>
        <v>767</v>
      </c>
      <c r="R92">
        <f ca="1">IFERROR(IF(0=LEN(ReferenceData!$R$92),"",ReferenceData!$R$92),"")</f>
        <v>651.79999999999995</v>
      </c>
      <c r="S92">
        <f ca="1">IFERROR(IF(0=LEN(ReferenceData!$S$92),"",ReferenceData!$S$92),"")</f>
        <v>29.4</v>
      </c>
      <c r="T92">
        <f ca="1">IFERROR(IF(0=LEN(ReferenceData!$T$92),"",ReferenceData!$T$92),"")</f>
        <v>34.4</v>
      </c>
      <c r="U92">
        <f ca="1">IFERROR(IF(0=LEN(ReferenceData!$U$92),"",ReferenceData!$U$92),"")</f>
        <v>155.15</v>
      </c>
      <c r="V92">
        <f ca="1">IFERROR(IF(0=LEN(ReferenceData!$V$92),"",ReferenceData!$V$92),"")</f>
        <v>61.52</v>
      </c>
      <c r="W92">
        <f ca="1">IFERROR(IF(0=LEN(ReferenceData!$W$92),"",ReferenceData!$W$92),"")</f>
        <v>126.63</v>
      </c>
      <c r="X92">
        <f ca="1">IFERROR(IF(0=LEN(ReferenceData!$X$92),"",ReferenceData!$X$92),"")</f>
        <v>36.15</v>
      </c>
      <c r="Y92">
        <f ca="1">IFERROR(IF(0=LEN(ReferenceData!$Y$92),"",ReferenceData!$Y$92),"")</f>
        <v>180.3</v>
      </c>
      <c r="Z92">
        <f ca="1">IFERROR(IF(0=LEN(ReferenceData!$Z$92),"",ReferenceData!$Z$92),"")</f>
        <v>275.55</v>
      </c>
      <c r="AA92">
        <f ca="1">IFERROR(IF(0=LEN(ReferenceData!$AA$92),"",ReferenceData!$AA$92),"")</f>
        <v>75.55</v>
      </c>
      <c r="AB92">
        <f ca="1">IFERROR(IF(0=LEN(ReferenceData!$AB$92),"",ReferenceData!$AB$92),"")</f>
        <v>0</v>
      </c>
      <c r="AC92">
        <f ca="1">IFERROR(IF(0=LEN(ReferenceData!$AC$92),"",ReferenceData!$AC$92),"")</f>
        <v>26.6</v>
      </c>
      <c r="AD92">
        <f ca="1">IFERROR(IF(0=LEN(ReferenceData!$AD$92),"",ReferenceData!$AD$92),"")</f>
        <v>486.7</v>
      </c>
      <c r="AE92">
        <f ca="1">IFERROR(IF(0=LEN(ReferenceData!$AE$92),"",ReferenceData!$AE$92),"")</f>
        <v>1059.0999999999999</v>
      </c>
      <c r="AF92">
        <f ca="1">IFERROR(IF(0=LEN(ReferenceData!$AF$92),"",ReferenceData!$AF$92),"")</f>
        <v>162.80000000000001</v>
      </c>
      <c r="AG92">
        <f ca="1">IFERROR(IF(0=LEN(ReferenceData!$AG$92),"",ReferenceData!$AG$92),"")</f>
        <v>0</v>
      </c>
      <c r="AH92">
        <f ca="1">IFERROR(IF(0=LEN(ReferenceData!$AH$92),"",ReferenceData!$AH$92),"")</f>
        <v>24.25</v>
      </c>
      <c r="AI92">
        <f ca="1">IFERROR(IF(0=LEN(ReferenceData!$AI$92),"",ReferenceData!$AI$92),"")</f>
        <v>0</v>
      </c>
      <c r="AJ92">
        <f ca="1">IFERROR(IF(0=LEN(ReferenceData!$AJ$92),"",ReferenceData!$AJ$92),"")</f>
        <v>15.2</v>
      </c>
      <c r="AK92">
        <f ca="1">IFERROR(IF(0=LEN(ReferenceData!$AK$92),"",ReferenceData!$AK$92),"")</f>
        <v>0</v>
      </c>
      <c r="AL92">
        <f ca="1">IFERROR(IF(0=LEN(ReferenceData!$AL$92),"",ReferenceData!$AL$92),"")</f>
        <v>0</v>
      </c>
      <c r="AM92">
        <f ca="1">IFERROR(IF(0=LEN(ReferenceData!$AM$92),"",ReferenceData!$AM$92),"")</f>
        <v>0</v>
      </c>
      <c r="AN92">
        <f ca="1">IFERROR(IF(0=LEN(ReferenceData!$AN$92),"",ReferenceData!$AN$92),"")</f>
        <v>0</v>
      </c>
      <c r="AO92">
        <f ca="1">IFERROR(IF(0=LEN(ReferenceData!$AO$92),"",ReferenceData!$AO$92),"")</f>
        <v>0</v>
      </c>
      <c r="AP92">
        <f ca="1">IFERROR(IF(0=LEN(ReferenceData!$AP$92),"",ReferenceData!$AP$92),"")</f>
        <v>0</v>
      </c>
      <c r="AQ92">
        <f ca="1">IFERROR(IF(0=LEN(ReferenceData!$AQ$92),"",ReferenceData!$AQ$92),"")</f>
        <v>0</v>
      </c>
      <c r="AR92">
        <f ca="1">IFERROR(IF(0=LEN(ReferenceData!$AR$92),"",ReferenceData!$AR$92),"")</f>
        <v>0</v>
      </c>
      <c r="AS92">
        <f ca="1">IFERROR(IF(0=LEN(ReferenceData!$AS$92),"",ReferenceData!$AS$92),"")</f>
        <v>9.9</v>
      </c>
      <c r="AT92">
        <f ca="1">IFERROR(IF(0=LEN(ReferenceData!$AT$92),"",ReferenceData!$AT$92),"")</f>
        <v>7.3</v>
      </c>
      <c r="AU92">
        <f ca="1">IFERROR(IF(0=LEN(ReferenceData!$AU$92),"",ReferenceData!$AU$92),"")</f>
        <v>12</v>
      </c>
      <c r="AV92">
        <f ca="1">IFERROR(IF(0=LEN(ReferenceData!$AV$92),"",ReferenceData!$AV$92),"")</f>
        <v>10.9</v>
      </c>
      <c r="AW92">
        <f ca="1">IFERROR(IF(0=LEN(ReferenceData!$AW$92),"",ReferenceData!$AW$92),"")</f>
        <v>5.9</v>
      </c>
      <c r="AX92">
        <f ca="1">IFERROR(IF(0=LEN(ReferenceData!$AX$92),"",ReferenceData!$AX$92),"")</f>
        <v>31.7</v>
      </c>
      <c r="AY92">
        <f ca="1">IFERROR(IF(0=LEN(ReferenceData!$AY$92),"",ReferenceData!$AY$92),"")</f>
        <v>0</v>
      </c>
      <c r="AZ92">
        <f ca="1">IFERROR(IF(0=LEN(ReferenceData!$AZ$92),"",ReferenceData!$AZ$92),"")</f>
        <v>27.1</v>
      </c>
      <c r="BA92">
        <f ca="1">IFERROR(IF(0=LEN(ReferenceData!$BA$92),"",ReferenceData!$BA$92),"")</f>
        <v>118</v>
      </c>
      <c r="BB92">
        <f ca="1">IFERROR(IF(0=LEN(ReferenceData!$BB$92),"",ReferenceData!$BB$92),"")</f>
        <v>1.5</v>
      </c>
      <c r="BC92">
        <f ca="1">IFERROR(IF(0=LEN(ReferenceData!$BC$92),"",ReferenceData!$BC$92),"")</f>
        <v>83.3</v>
      </c>
      <c r="BD92">
        <f ca="1">IFERROR(IF(0=LEN(ReferenceData!$BD$92),"",ReferenceData!$BD$92),"")</f>
        <v>6.6</v>
      </c>
      <c r="BE92">
        <f ca="1">IFERROR(IF(0=LEN(ReferenceData!$BE$92),"",ReferenceData!$BE$92),"")</f>
        <v>7.3</v>
      </c>
      <c r="BF92">
        <f ca="1">IFERROR(IF(0=LEN(ReferenceData!$BF$92),"",ReferenceData!$BF$92),"")</f>
        <v>211.8</v>
      </c>
      <c r="BG92">
        <f ca="1">IFERROR(IF(0=LEN(ReferenceData!$BG$92),"",ReferenceData!$BG$92),"")</f>
        <v>21.216000000000001</v>
      </c>
      <c r="BH92">
        <f ca="1">IFERROR(IF(0=LEN(ReferenceData!$BH$92),"",ReferenceData!$BH$92),"")</f>
        <v>320.85599999999999</v>
      </c>
      <c r="BI92">
        <f ca="1">IFERROR(IF(0=LEN(ReferenceData!$BI$92),"",ReferenceData!$BI$92),"")</f>
        <v>970.80399999999997</v>
      </c>
      <c r="BJ92">
        <f ca="1">IFERROR(IF(0=LEN(ReferenceData!$BJ$92),"",ReferenceData!$BJ$92),"")</f>
        <v>17.399999999999999</v>
      </c>
      <c r="BK92">
        <f ca="1">IFERROR(IF(0=LEN(ReferenceData!$BK$92),"",ReferenceData!$BK$92),"")</f>
        <v>0</v>
      </c>
      <c r="BL92">
        <f ca="1">IFERROR(IF(0=LEN(ReferenceData!$BL$92),"",ReferenceData!$BL$92),"")</f>
        <v>0</v>
      </c>
      <c r="BM92">
        <f ca="1">IFERROR(IF(0=LEN(ReferenceData!$BM$92),"",ReferenceData!$BM$92),"")</f>
        <v>0</v>
      </c>
    </row>
    <row r="93" spans="1:65">
      <c r="A93" t="str">
        <f>IFERROR(IF(0=LEN(ReferenceData!$A$93),"",ReferenceData!$A$93),"")</f>
        <v xml:space="preserve">    Single Family Rental REITs</v>
      </c>
      <c r="B93" t="str">
        <f>IFERROR(IF(0=LEN(ReferenceData!$B$93),"",ReferenceData!$B$93),"")</f>
        <v>RECFTASF Index</v>
      </c>
      <c r="C93" t="str">
        <f>IFERROR(IF(0=LEN(ReferenceData!$C$93),"",ReferenceData!$C$93),"")</f>
        <v/>
      </c>
      <c r="D93" t="str">
        <f>IFERROR(IF(0=LEN(ReferenceData!$D$93),"",ReferenceData!$D$93),"")</f>
        <v/>
      </c>
      <c r="E93" t="str">
        <f>IFERROR(IF(0=LEN(ReferenceData!$E$93),"",ReferenceData!$E$93),"")</f>
        <v>Expression</v>
      </c>
      <c r="F93">
        <f ca="1">IFERROR(IF(0=LEN(ReferenceData!$F$93),"",ReferenceData!$F$93),"")</f>
        <v>80.494</v>
      </c>
      <c r="G93">
        <f ca="1">IFERROR(IF(0=LEN(ReferenceData!$G$93),"",ReferenceData!$G$93),"")</f>
        <v>297.99700000000001</v>
      </c>
      <c r="H93">
        <f ca="1">IFERROR(IF(0=LEN(ReferenceData!$H$93),"",ReferenceData!$H$93),"")</f>
        <v>1147.6199999999999</v>
      </c>
      <c r="I93">
        <f ca="1">IFERROR(IF(0=LEN(ReferenceData!$I$93),"",ReferenceData!$I$93),"")</f>
        <v>127.84699999999999</v>
      </c>
      <c r="J93">
        <f ca="1">IFERROR(IF(0=LEN(ReferenceData!$J$93),"",ReferenceData!$J$93),"")</f>
        <v>235.90700000000001</v>
      </c>
      <c r="K93">
        <f ca="1">IFERROR(IF(0=LEN(ReferenceData!$K$93),"",ReferenceData!$K$93),"")</f>
        <v>113.6</v>
      </c>
      <c r="L93">
        <f ca="1">IFERROR(IF(0=LEN(ReferenceData!$L$93),"",ReferenceData!$L$93),"")</f>
        <v>17</v>
      </c>
      <c r="M93">
        <f ca="1">IFERROR(IF(0=LEN(ReferenceData!$M$93),"",ReferenceData!$M$93),"")</f>
        <v>6072.3059999999996</v>
      </c>
      <c r="N93">
        <f ca="1">IFERROR(IF(0=LEN(ReferenceData!$N$93),"",ReferenceData!$N$93),"")</f>
        <v>43.186999999999998</v>
      </c>
      <c r="O93">
        <f ca="1">IFERROR(IF(0=LEN(ReferenceData!$O$93),"",ReferenceData!$O$93),"")</f>
        <v>96.876999999999995</v>
      </c>
      <c r="P93">
        <f ca="1">IFERROR(IF(0=LEN(ReferenceData!$P$93),"",ReferenceData!$P$93),"")</f>
        <v>360.70499999999998</v>
      </c>
      <c r="Q93">
        <f ca="1">IFERROR(IF(0=LEN(ReferenceData!$Q$93),"",ReferenceData!$Q$93),"")</f>
        <v>184.99700000000001</v>
      </c>
      <c r="R93">
        <f ca="1">IFERROR(IF(0=LEN(ReferenceData!$R$93),"",ReferenceData!$R$93),"")</f>
        <v>490.35500000000002</v>
      </c>
      <c r="S93">
        <f ca="1">IFERROR(IF(0=LEN(ReferenceData!$S$93),"",ReferenceData!$S$93),"")</f>
        <v>448.64400000000001</v>
      </c>
      <c r="T93">
        <f ca="1">IFERROR(IF(0=LEN(ReferenceData!$T$93),"",ReferenceData!$T$93),"")</f>
        <v>417.68099999999998</v>
      </c>
      <c r="U93">
        <f ca="1">IFERROR(IF(0=LEN(ReferenceData!$U$93),"",ReferenceData!$U$93),"")</f>
        <v>781.529</v>
      </c>
      <c r="V93">
        <f ca="1">IFERROR(IF(0=LEN(ReferenceData!$V$93),"",ReferenceData!$V$93),"")</f>
        <v>412.74700000000001</v>
      </c>
      <c r="W93">
        <f ca="1">IFERROR(IF(0=LEN(ReferenceData!$W$93),"",ReferenceData!$W$93),"")</f>
        <v>636.93700000000001</v>
      </c>
      <c r="X93">
        <f ca="1">IFERROR(IF(0=LEN(ReferenceData!$X$93),"",ReferenceData!$X$93),"")</f>
        <v>304.214</v>
      </c>
      <c r="Y93">
        <f ca="1">IFERROR(IF(0=LEN(ReferenceData!$Y$93),"",ReferenceData!$Y$93),"")</f>
        <v>141.13300000000001</v>
      </c>
      <c r="Z93">
        <f ca="1">IFERROR(IF(0=LEN(ReferenceData!$Z$93),"",ReferenceData!$Z$93),"")</f>
        <v>97.954999999999998</v>
      </c>
      <c r="AA93">
        <f ca="1">IFERROR(IF(0=LEN(ReferenceData!$AA$93),"",ReferenceData!$AA$93),"")</f>
        <v>0</v>
      </c>
      <c r="AB93">
        <f ca="1">IFERROR(IF(0=LEN(ReferenceData!$AB$93),"",ReferenceData!$AB$93),"")</f>
        <v>0</v>
      </c>
      <c r="AC93">
        <f ca="1">IFERROR(IF(0=LEN(ReferenceData!$AC$93),"",ReferenceData!$AC$93),"")</f>
        <v>0</v>
      </c>
      <c r="AD93">
        <f ca="1">IFERROR(IF(0=LEN(ReferenceData!$AD$93),"",ReferenceData!$AD$93),"")</f>
        <v>0</v>
      </c>
      <c r="AE93">
        <f ca="1">IFERROR(IF(0=LEN(ReferenceData!$AE$93),"",ReferenceData!$AE$93),"")</f>
        <v>0</v>
      </c>
      <c r="AF93">
        <f ca="1">IFERROR(IF(0=LEN(ReferenceData!$AF$93),"",ReferenceData!$AF$93),"")</f>
        <v>0</v>
      </c>
      <c r="AG93">
        <f ca="1">IFERROR(IF(0=LEN(ReferenceData!$AG$93),"",ReferenceData!$AG$93),"")</f>
        <v>0</v>
      </c>
      <c r="AH93">
        <f ca="1">IFERROR(IF(0=LEN(ReferenceData!$AH$93),"",ReferenceData!$AH$93),"")</f>
        <v>0</v>
      </c>
      <c r="AI93">
        <f ca="1">IFERROR(IF(0=LEN(ReferenceData!$AI$93),"",ReferenceData!$AI$93),"")</f>
        <v>0</v>
      </c>
      <c r="AJ93">
        <f ca="1">IFERROR(IF(0=LEN(ReferenceData!$AJ$93),"",ReferenceData!$AJ$93),"")</f>
        <v>0</v>
      </c>
      <c r="AK93">
        <f ca="1">IFERROR(IF(0=LEN(ReferenceData!$AK$93),"",ReferenceData!$AK$93),"")</f>
        <v>0</v>
      </c>
      <c r="AL93">
        <f ca="1">IFERROR(IF(0=LEN(ReferenceData!$AL$93),"",ReferenceData!$AL$93),"")</f>
        <v>0</v>
      </c>
      <c r="AM93">
        <f ca="1">IFERROR(IF(0=LEN(ReferenceData!$AM$93),"",ReferenceData!$AM$93),"")</f>
        <v>0</v>
      </c>
      <c r="AN93">
        <f ca="1">IFERROR(IF(0=LEN(ReferenceData!$AN$93),"",ReferenceData!$AN$93),"")</f>
        <v>0</v>
      </c>
      <c r="AO93">
        <f ca="1">IFERROR(IF(0=LEN(ReferenceData!$AO$93),"",ReferenceData!$AO$93),"")</f>
        <v>0</v>
      </c>
      <c r="AP93">
        <f ca="1">IFERROR(IF(0=LEN(ReferenceData!$AP$93),"",ReferenceData!$AP$93),"")</f>
        <v>0</v>
      </c>
      <c r="AQ93">
        <f ca="1">IFERROR(IF(0=LEN(ReferenceData!$AQ$93),"",ReferenceData!$AQ$93),"")</f>
        <v>0</v>
      </c>
      <c r="AR93">
        <f ca="1">IFERROR(IF(0=LEN(ReferenceData!$AR$93),"",ReferenceData!$AR$93),"")</f>
        <v>0</v>
      </c>
      <c r="AS93">
        <f ca="1">IFERROR(IF(0=LEN(ReferenceData!$AS$93),"",ReferenceData!$AS$93),"")</f>
        <v>0</v>
      </c>
      <c r="AT93">
        <f ca="1">IFERROR(IF(0=LEN(ReferenceData!$AT$93),"",ReferenceData!$AT$93),"")</f>
        <v>0</v>
      </c>
      <c r="AU93">
        <f ca="1">IFERROR(IF(0=LEN(ReferenceData!$AU$93),"",ReferenceData!$AU$93),"")</f>
        <v>0</v>
      </c>
      <c r="AV93">
        <f ca="1">IFERROR(IF(0=LEN(ReferenceData!$AV$93),"",ReferenceData!$AV$93),"")</f>
        <v>0</v>
      </c>
      <c r="AW93">
        <f ca="1">IFERROR(IF(0=LEN(ReferenceData!$AW$93),"",ReferenceData!$AW$93),"")</f>
        <v>0</v>
      </c>
      <c r="AX93">
        <f ca="1">IFERROR(IF(0=LEN(ReferenceData!$AX$93),"",ReferenceData!$AX$93),"")</f>
        <v>0</v>
      </c>
      <c r="AY93">
        <f ca="1">IFERROR(IF(0=LEN(ReferenceData!$AY$93),"",ReferenceData!$AY$93),"")</f>
        <v>0</v>
      </c>
      <c r="AZ93">
        <f ca="1">IFERROR(IF(0=LEN(ReferenceData!$AZ$93),"",ReferenceData!$AZ$93),"")</f>
        <v>0</v>
      </c>
      <c r="BA93">
        <f ca="1">IFERROR(IF(0=LEN(ReferenceData!$BA$93),"",ReferenceData!$BA$93),"")</f>
        <v>0</v>
      </c>
      <c r="BB93">
        <f ca="1">IFERROR(IF(0=LEN(ReferenceData!$BB$93),"",ReferenceData!$BB$93),"")</f>
        <v>0</v>
      </c>
      <c r="BC93">
        <f ca="1">IFERROR(IF(0=LEN(ReferenceData!$BC$93),"",ReferenceData!$BC$93),"")</f>
        <v>0</v>
      </c>
      <c r="BD93">
        <f ca="1">IFERROR(IF(0=LEN(ReferenceData!$BD$93),"",ReferenceData!$BD$93),"")</f>
        <v>0</v>
      </c>
      <c r="BE93">
        <f ca="1">IFERROR(IF(0=LEN(ReferenceData!$BE$93),"",ReferenceData!$BE$93),"")</f>
        <v>0</v>
      </c>
      <c r="BF93">
        <f ca="1">IFERROR(IF(0=LEN(ReferenceData!$BF$93),"",ReferenceData!$BF$93),"")</f>
        <v>0</v>
      </c>
      <c r="BG93">
        <f ca="1">IFERROR(IF(0=LEN(ReferenceData!$BG$93),"",ReferenceData!$BG$93),"")</f>
        <v>0</v>
      </c>
      <c r="BH93">
        <f ca="1">IFERROR(IF(0=LEN(ReferenceData!$BH$93),"",ReferenceData!$BH$93),"")</f>
        <v>0</v>
      </c>
      <c r="BI93">
        <f ca="1">IFERROR(IF(0=LEN(ReferenceData!$BI$93),"",ReferenceData!$BI$93),"")</f>
        <v>0</v>
      </c>
      <c r="BJ93">
        <f ca="1">IFERROR(IF(0=LEN(ReferenceData!$BJ$93),"",ReferenceData!$BJ$93),"")</f>
        <v>0</v>
      </c>
      <c r="BK93">
        <f ca="1">IFERROR(IF(0=LEN(ReferenceData!$BK$93),"",ReferenceData!$BK$93),"")</f>
        <v>0</v>
      </c>
      <c r="BL93">
        <f ca="1">IFERROR(IF(0=LEN(ReferenceData!$BL$93),"",ReferenceData!$BL$93),"")</f>
        <v>0</v>
      </c>
      <c r="BM93">
        <f ca="1">IFERROR(IF(0=LEN(ReferenceData!$BM$93),"",ReferenceData!$BM$93),"")</f>
        <v>0</v>
      </c>
    </row>
    <row r="94" spans="1:65">
      <c r="A94" t="str">
        <f>IFERROR(IF(0=LEN(ReferenceData!$A$94),"",ReferenceData!$A$94),"")</f>
        <v xml:space="preserve">    Diversified REITs</v>
      </c>
      <c r="B94" t="str">
        <f>IFERROR(IF(0=LEN(ReferenceData!$B$94),"",ReferenceData!$B$94),"")</f>
        <v>RECFTADV Index</v>
      </c>
      <c r="C94" t="str">
        <f>IFERROR(IF(0=LEN(ReferenceData!$C$94),"",ReferenceData!$C$94),"")</f>
        <v/>
      </c>
      <c r="D94" t="str">
        <f>IFERROR(IF(0=LEN(ReferenceData!$D$94),"",ReferenceData!$D$94),"")</f>
        <v/>
      </c>
      <c r="E94" t="str">
        <f>IFERROR(IF(0=LEN(ReferenceData!$E$94),"",ReferenceData!$E$94),"")</f>
        <v>Expression</v>
      </c>
      <c r="F94">
        <f ca="1">IFERROR(IF(0=LEN(ReferenceData!$F$94),"",ReferenceData!$F$94),"")</f>
        <v>483.38299999999998</v>
      </c>
      <c r="G94">
        <f ca="1">IFERROR(IF(0=LEN(ReferenceData!$G$94),"",ReferenceData!$G$94),"")</f>
        <v>1980.42</v>
      </c>
      <c r="H94">
        <f ca="1">IFERROR(IF(0=LEN(ReferenceData!$H$94),"",ReferenceData!$H$94),"")</f>
        <v>1466.5260000000001</v>
      </c>
      <c r="I94">
        <f ca="1">IFERROR(IF(0=LEN(ReferenceData!$I$94),"",ReferenceData!$I$94),"")</f>
        <v>289.291</v>
      </c>
      <c r="J94">
        <f ca="1">IFERROR(IF(0=LEN(ReferenceData!$J$94),"",ReferenceData!$J$94),"")</f>
        <v>1222.26</v>
      </c>
      <c r="K94">
        <f ca="1">IFERROR(IF(0=LEN(ReferenceData!$K$94),"",ReferenceData!$K$94),"")</f>
        <v>518.476</v>
      </c>
      <c r="L94">
        <f ca="1">IFERROR(IF(0=LEN(ReferenceData!$L$94),"",ReferenceData!$L$94),"")</f>
        <v>918.58900000000006</v>
      </c>
      <c r="M94">
        <f ca="1">IFERROR(IF(0=LEN(ReferenceData!$M$94),"",ReferenceData!$M$94),"")</f>
        <v>327.13499999999999</v>
      </c>
      <c r="N94">
        <f ca="1">IFERROR(IF(0=LEN(ReferenceData!$N$94),"",ReferenceData!$N$94),"")</f>
        <v>276.32900000000001</v>
      </c>
      <c r="O94">
        <f ca="1">IFERROR(IF(0=LEN(ReferenceData!$O$94),"",ReferenceData!$O$94),"")</f>
        <v>1570.297</v>
      </c>
      <c r="P94">
        <f ca="1">IFERROR(IF(0=LEN(ReferenceData!$P$94),"",ReferenceData!$P$94),"")</f>
        <v>3654.5210000000002</v>
      </c>
      <c r="Q94">
        <f ca="1">IFERROR(IF(0=LEN(ReferenceData!$Q$94),"",ReferenceData!$Q$94),"")</f>
        <v>4839.67</v>
      </c>
      <c r="R94">
        <f ca="1">IFERROR(IF(0=LEN(ReferenceData!$R$94),"",ReferenceData!$R$94),"")</f>
        <v>8274.8850000000002</v>
      </c>
      <c r="S94">
        <f ca="1">IFERROR(IF(0=LEN(ReferenceData!$S$94),"",ReferenceData!$S$94),"")</f>
        <v>460.44900000000001</v>
      </c>
      <c r="T94">
        <f ca="1">IFERROR(IF(0=LEN(ReferenceData!$T$94),"",ReferenceData!$T$94),"")</f>
        <v>1188.9839999999999</v>
      </c>
      <c r="U94">
        <f ca="1">IFERROR(IF(0=LEN(ReferenceData!$U$94),"",ReferenceData!$U$94),"")</f>
        <v>2308.701</v>
      </c>
      <c r="V94">
        <f ca="1">IFERROR(IF(0=LEN(ReferenceData!$V$94),"",ReferenceData!$V$94),"")</f>
        <v>1633.636</v>
      </c>
      <c r="W94">
        <f ca="1">IFERROR(IF(0=LEN(ReferenceData!$W$94),"",ReferenceData!$W$94),"")</f>
        <v>2824.02</v>
      </c>
      <c r="X94">
        <f ca="1">IFERROR(IF(0=LEN(ReferenceData!$X$94),"",ReferenceData!$X$94),"")</f>
        <v>618.44200000000001</v>
      </c>
      <c r="Y94">
        <f ca="1">IFERROR(IF(0=LEN(ReferenceData!$Y$94),"",ReferenceData!$Y$94),"")</f>
        <v>673.96900000000005</v>
      </c>
      <c r="Z94">
        <f ca="1">IFERROR(IF(0=LEN(ReferenceData!$Z$94),"",ReferenceData!$Z$94),"")</f>
        <v>1967.3879999999999</v>
      </c>
      <c r="AA94">
        <f ca="1">IFERROR(IF(0=LEN(ReferenceData!$AA$94),"",ReferenceData!$AA$94),"")</f>
        <v>1272.153</v>
      </c>
      <c r="AB94">
        <f ca="1">IFERROR(IF(0=LEN(ReferenceData!$AB$94),"",ReferenceData!$AB$94),"")</f>
        <v>437.77600000000001</v>
      </c>
      <c r="AC94">
        <f ca="1">IFERROR(IF(0=LEN(ReferenceData!$AC$94),"",ReferenceData!$AC$94),"")</f>
        <v>199.095</v>
      </c>
      <c r="AD94">
        <f ca="1">IFERROR(IF(0=LEN(ReferenceData!$AD$94),"",ReferenceData!$AD$94),"")</f>
        <v>293.03899999999999</v>
      </c>
      <c r="AE94">
        <f ca="1">IFERROR(IF(0=LEN(ReferenceData!$AE$94),"",ReferenceData!$AE$94),"")</f>
        <v>386.90699999999998</v>
      </c>
      <c r="AF94">
        <f ca="1">IFERROR(IF(0=LEN(ReferenceData!$AF$94),"",ReferenceData!$AF$94),"")</f>
        <v>172.15299999999999</v>
      </c>
      <c r="AG94">
        <f ca="1">IFERROR(IF(0=LEN(ReferenceData!$AG$94),"",ReferenceData!$AG$94),"")</f>
        <v>837.45600000000002</v>
      </c>
      <c r="AH94">
        <f ca="1">IFERROR(IF(0=LEN(ReferenceData!$AH$94),"",ReferenceData!$AH$94),"")</f>
        <v>206.48400000000001</v>
      </c>
      <c r="AI94">
        <f ca="1">IFERROR(IF(0=LEN(ReferenceData!$AI$94),"",ReferenceData!$AI$94),"")</f>
        <v>25.66</v>
      </c>
      <c r="AJ94">
        <f ca="1">IFERROR(IF(0=LEN(ReferenceData!$AJ$94),"",ReferenceData!$AJ$94),"")</f>
        <v>82.533000000000001</v>
      </c>
      <c r="AK94">
        <f ca="1">IFERROR(IF(0=LEN(ReferenceData!$AK$94),"",ReferenceData!$AK$94),"")</f>
        <v>68.5</v>
      </c>
      <c r="AL94">
        <f ca="1">IFERROR(IF(0=LEN(ReferenceData!$AL$94),"",ReferenceData!$AL$94),"")</f>
        <v>16.25</v>
      </c>
      <c r="AM94">
        <f ca="1">IFERROR(IF(0=LEN(ReferenceData!$AM$94),"",ReferenceData!$AM$94),"")</f>
        <v>19.899999999999999</v>
      </c>
      <c r="AN94">
        <f ca="1">IFERROR(IF(0=LEN(ReferenceData!$AN$94),"",ReferenceData!$AN$94),"")</f>
        <v>8.1850000000000005</v>
      </c>
      <c r="AO94">
        <f ca="1">IFERROR(IF(0=LEN(ReferenceData!$AO$94),"",ReferenceData!$AO$94),"")</f>
        <v>17.103000000000002</v>
      </c>
      <c r="AP94">
        <f ca="1">IFERROR(IF(0=LEN(ReferenceData!$AP$94),"",ReferenceData!$AP$94),"")</f>
        <v>186.7</v>
      </c>
      <c r="AQ94">
        <f ca="1">IFERROR(IF(0=LEN(ReferenceData!$AQ$94),"",ReferenceData!$AQ$94),"")</f>
        <v>218.18199999999999</v>
      </c>
      <c r="AR94">
        <f ca="1">IFERROR(IF(0=LEN(ReferenceData!$AR$94),"",ReferenceData!$AR$94),"")</f>
        <v>141.09</v>
      </c>
      <c r="AS94">
        <f ca="1">IFERROR(IF(0=LEN(ReferenceData!$AS$94),"",ReferenceData!$AS$94),"")</f>
        <v>41.091000000000001</v>
      </c>
      <c r="AT94">
        <f ca="1">IFERROR(IF(0=LEN(ReferenceData!$AT$94),"",ReferenceData!$AT$94),"")</f>
        <v>221.15600000000001</v>
      </c>
      <c r="AU94">
        <f ca="1">IFERROR(IF(0=LEN(ReferenceData!$AU$94),"",ReferenceData!$AU$94),"")</f>
        <v>167.19499999999999</v>
      </c>
      <c r="AV94">
        <f ca="1">IFERROR(IF(0=LEN(ReferenceData!$AV$94),"",ReferenceData!$AV$94),"")</f>
        <v>2900.9409999999998</v>
      </c>
      <c r="AW94">
        <f ca="1">IFERROR(IF(0=LEN(ReferenceData!$AW$94),"",ReferenceData!$AW$94),"")</f>
        <v>1513.7760000000001</v>
      </c>
      <c r="AX94">
        <f ca="1">IFERROR(IF(0=LEN(ReferenceData!$AX$94),"",ReferenceData!$AX$94),"")</f>
        <v>1491.1790000000001</v>
      </c>
      <c r="AY94">
        <f ca="1">IFERROR(IF(0=LEN(ReferenceData!$AY$94),"",ReferenceData!$AY$94),"")</f>
        <v>902.63699999999994</v>
      </c>
      <c r="AZ94">
        <f ca="1">IFERROR(IF(0=LEN(ReferenceData!$AZ$94),"",ReferenceData!$AZ$94),"")</f>
        <v>1640.6990000000001</v>
      </c>
      <c r="BA94">
        <f ca="1">IFERROR(IF(0=LEN(ReferenceData!$BA$94),"",ReferenceData!$BA$94),"")</f>
        <v>753.34199999999998</v>
      </c>
      <c r="BB94">
        <f ca="1">IFERROR(IF(0=LEN(ReferenceData!$BB$94),"",ReferenceData!$BB$94),"")</f>
        <v>783.47400000000005</v>
      </c>
      <c r="BC94">
        <f ca="1">IFERROR(IF(0=LEN(ReferenceData!$BC$94),"",ReferenceData!$BC$94),"")</f>
        <v>1023.913</v>
      </c>
      <c r="BD94">
        <f ca="1">IFERROR(IF(0=LEN(ReferenceData!$BD$94),"",ReferenceData!$BD$94),"")</f>
        <v>1773.0920000000001</v>
      </c>
      <c r="BE94">
        <f ca="1">IFERROR(IF(0=LEN(ReferenceData!$BE$94),"",ReferenceData!$BE$94),"")</f>
        <v>343.32100000000003</v>
      </c>
      <c r="BF94">
        <f ca="1">IFERROR(IF(0=LEN(ReferenceData!$BF$94),"",ReferenceData!$BF$94),"")</f>
        <v>932.40700000000004</v>
      </c>
      <c r="BG94">
        <f ca="1">IFERROR(IF(0=LEN(ReferenceData!$BG$94),"",ReferenceData!$BG$94),"")</f>
        <v>705.40700000000004</v>
      </c>
      <c r="BH94">
        <f ca="1">IFERROR(IF(0=LEN(ReferenceData!$BH$94),"",ReferenceData!$BH$94),"")</f>
        <v>450.74099999999999</v>
      </c>
      <c r="BI94">
        <f ca="1">IFERROR(IF(0=LEN(ReferenceData!$BI$94),"",ReferenceData!$BI$94),"")</f>
        <v>389.10399999999998</v>
      </c>
      <c r="BJ94">
        <f ca="1">IFERROR(IF(0=LEN(ReferenceData!$BJ$94),"",ReferenceData!$BJ$94),"")</f>
        <v>156.66</v>
      </c>
      <c r="BK94">
        <f ca="1">IFERROR(IF(0=LEN(ReferenceData!$BK$94),"",ReferenceData!$BK$94),"")</f>
        <v>0</v>
      </c>
      <c r="BL94">
        <f ca="1">IFERROR(IF(0=LEN(ReferenceData!$BL$94),"",ReferenceData!$BL$94),"")</f>
        <v>30</v>
      </c>
      <c r="BM94">
        <f ca="1">IFERROR(IF(0=LEN(ReferenceData!$BM$94),"",ReferenceData!$BM$94),"")</f>
        <v>72.5</v>
      </c>
    </row>
    <row r="95" spans="1:65">
      <c r="A95" t="str">
        <f>IFERROR(IF(0=LEN(ReferenceData!$A$95),"",ReferenceData!$A$95),"")</f>
        <v xml:space="preserve">    Lodging/Resort REITs</v>
      </c>
      <c r="B95" t="str">
        <f>IFERROR(IF(0=LEN(ReferenceData!$B$95),"",ReferenceData!$B$95),"")</f>
        <v>RECFTALR Index</v>
      </c>
      <c r="C95" t="str">
        <f>IFERROR(IF(0=LEN(ReferenceData!$C$95),"",ReferenceData!$C$95),"")</f>
        <v/>
      </c>
      <c r="D95" t="str">
        <f>IFERROR(IF(0=LEN(ReferenceData!$D$95),"",ReferenceData!$D$95),"")</f>
        <v/>
      </c>
      <c r="E95" t="str">
        <f>IFERROR(IF(0=LEN(ReferenceData!$E$95),"",ReferenceData!$E$95),"")</f>
        <v>Expression</v>
      </c>
      <c r="F95">
        <f ca="1">IFERROR(IF(0=LEN(ReferenceData!$F$95),"",ReferenceData!$F$95),"")</f>
        <v>768.2</v>
      </c>
      <c r="G95">
        <f ca="1">IFERROR(IF(0=LEN(ReferenceData!$G$95),"",ReferenceData!$G$95),"")</f>
        <v>1009.455</v>
      </c>
      <c r="H95">
        <f ca="1">IFERROR(IF(0=LEN(ReferenceData!$H$95),"",ReferenceData!$H$95),"")</f>
        <v>985.02300000000002</v>
      </c>
      <c r="I95">
        <f ca="1">IFERROR(IF(0=LEN(ReferenceData!$I$95),"",ReferenceData!$I$95),"")</f>
        <v>1175.729</v>
      </c>
      <c r="J95">
        <f ca="1">IFERROR(IF(0=LEN(ReferenceData!$J$95),"",ReferenceData!$J$95),"")</f>
        <v>265.91899999999998</v>
      </c>
      <c r="K95">
        <f ca="1">IFERROR(IF(0=LEN(ReferenceData!$K$95),"",ReferenceData!$K$95),"")</f>
        <v>1343.546</v>
      </c>
      <c r="L95">
        <f ca="1">IFERROR(IF(0=LEN(ReferenceData!$L$95),"",ReferenceData!$L$95),"")</f>
        <v>100.29</v>
      </c>
      <c r="M95">
        <f ca="1">IFERROR(IF(0=LEN(ReferenceData!$M$95),"",ReferenceData!$M$95),"")</f>
        <v>540.30700000000002</v>
      </c>
      <c r="N95">
        <f ca="1">IFERROR(IF(0=LEN(ReferenceData!$N$95),"",ReferenceData!$N$95),"")</f>
        <v>446.51799999999997</v>
      </c>
      <c r="O95">
        <f ca="1">IFERROR(IF(0=LEN(ReferenceData!$O$95),"",ReferenceData!$O$95),"")</f>
        <v>1200.7570000000001</v>
      </c>
      <c r="P95">
        <f ca="1">IFERROR(IF(0=LEN(ReferenceData!$P$95),"",ReferenceData!$P$95),"")</f>
        <v>1927.152</v>
      </c>
      <c r="Q95">
        <f ca="1">IFERROR(IF(0=LEN(ReferenceData!$Q$95),"",ReferenceData!$Q$95),"")</f>
        <v>1596.8869999999999</v>
      </c>
      <c r="R95">
        <f ca="1">IFERROR(IF(0=LEN(ReferenceData!$R$95),"",ReferenceData!$R$95),"")</f>
        <v>2052.1979999999999</v>
      </c>
      <c r="S95">
        <f ca="1">IFERROR(IF(0=LEN(ReferenceData!$S$95),"",ReferenceData!$S$95),"")</f>
        <v>1099.962</v>
      </c>
      <c r="T95">
        <f ca="1">IFERROR(IF(0=LEN(ReferenceData!$T$95),"",ReferenceData!$T$95),"")</f>
        <v>2092.9949999999999</v>
      </c>
      <c r="U95">
        <f ca="1">IFERROR(IF(0=LEN(ReferenceData!$U$95),"",ReferenceData!$U$95),"")</f>
        <v>1198.463</v>
      </c>
      <c r="V95">
        <f ca="1">IFERROR(IF(0=LEN(ReferenceData!$V$95),"",ReferenceData!$V$95),"")</f>
        <v>675.35599999999999</v>
      </c>
      <c r="W95">
        <f ca="1">IFERROR(IF(0=LEN(ReferenceData!$W$95),"",ReferenceData!$W$95),"")</f>
        <v>871.07500000000005</v>
      </c>
      <c r="X95">
        <f ca="1">IFERROR(IF(0=LEN(ReferenceData!$X$95),"",ReferenceData!$X$95),"")</f>
        <v>1249.182</v>
      </c>
      <c r="Y95">
        <f ca="1">IFERROR(IF(0=LEN(ReferenceData!$Y$95),"",ReferenceData!$Y$95),"")</f>
        <v>555.53599999999994</v>
      </c>
      <c r="Z95">
        <f ca="1">IFERROR(IF(0=LEN(ReferenceData!$Z$95),"",ReferenceData!$Z$95),"")</f>
        <v>1431.124</v>
      </c>
      <c r="AA95">
        <f ca="1">IFERROR(IF(0=LEN(ReferenceData!$AA$95),"",ReferenceData!$AA$95),"")</f>
        <v>1783.2550000000001</v>
      </c>
      <c r="AB95">
        <f ca="1">IFERROR(IF(0=LEN(ReferenceData!$AB$95),"",ReferenceData!$AB$95),"")</f>
        <v>455.62900000000002</v>
      </c>
      <c r="AC95">
        <f ca="1">IFERROR(IF(0=LEN(ReferenceData!$AC$95),"",ReferenceData!$AC$95),"")</f>
        <v>456.166</v>
      </c>
      <c r="AD95">
        <f ca="1">IFERROR(IF(0=LEN(ReferenceData!$AD$95),"",ReferenceData!$AD$95),"")</f>
        <v>1743.0119999999999</v>
      </c>
      <c r="AE95">
        <f ca="1">IFERROR(IF(0=LEN(ReferenceData!$AE$95),"",ReferenceData!$AE$95),"")</f>
        <v>1375.2149999999999</v>
      </c>
      <c r="AF95">
        <f ca="1">IFERROR(IF(0=LEN(ReferenceData!$AF$95),"",ReferenceData!$AF$95),"")</f>
        <v>1803.4069999999999</v>
      </c>
      <c r="AG95">
        <f ca="1">IFERROR(IF(0=LEN(ReferenceData!$AG$95),"",ReferenceData!$AG$95),"")</f>
        <v>2414.6680000000001</v>
      </c>
      <c r="AH95">
        <f ca="1">IFERROR(IF(0=LEN(ReferenceData!$AH$95),"",ReferenceData!$AH$95),"")</f>
        <v>390.53100000000001</v>
      </c>
      <c r="AI95">
        <f ca="1">IFERROR(IF(0=LEN(ReferenceData!$AI$95),"",ReferenceData!$AI$95),"")</f>
        <v>1338.9659999999999</v>
      </c>
      <c r="AJ95">
        <f ca="1">IFERROR(IF(0=LEN(ReferenceData!$AJ$95),"",ReferenceData!$AJ$95),"")</f>
        <v>337.74599999999998</v>
      </c>
      <c r="AK95">
        <f ca="1">IFERROR(IF(0=LEN(ReferenceData!$AK$95),"",ReferenceData!$AK$95),"")</f>
        <v>281.51299999999998</v>
      </c>
      <c r="AL95">
        <f ca="1">IFERROR(IF(0=LEN(ReferenceData!$AL$95),"",ReferenceData!$AL$95),"")</f>
        <v>13</v>
      </c>
      <c r="AM95">
        <f ca="1">IFERROR(IF(0=LEN(ReferenceData!$AM$95),"",ReferenceData!$AM$95),"")</f>
        <v>0</v>
      </c>
      <c r="AN95">
        <f ca="1">IFERROR(IF(0=LEN(ReferenceData!$AN$95),"",ReferenceData!$AN$95),"")</f>
        <v>67</v>
      </c>
      <c r="AO95">
        <f ca="1">IFERROR(IF(0=LEN(ReferenceData!$AO$95),"",ReferenceData!$AO$95),"")</f>
        <v>0</v>
      </c>
      <c r="AP95">
        <f ca="1">IFERROR(IF(0=LEN(ReferenceData!$AP$95),"",ReferenceData!$AP$95),"")</f>
        <v>0</v>
      </c>
      <c r="AQ95">
        <f ca="1">IFERROR(IF(0=LEN(ReferenceData!$AQ$95),"",ReferenceData!$AQ$95),"")</f>
        <v>12.6</v>
      </c>
      <c r="AR95">
        <f ca="1">IFERROR(IF(0=LEN(ReferenceData!$AR$95),"",ReferenceData!$AR$95),"")</f>
        <v>182.60900000000001</v>
      </c>
      <c r="AS95">
        <f ca="1">IFERROR(IF(0=LEN(ReferenceData!$AS$95),"",ReferenceData!$AS$95),"")</f>
        <v>71.143000000000001</v>
      </c>
      <c r="AT95">
        <f ca="1">IFERROR(IF(0=LEN(ReferenceData!$AT$95),"",ReferenceData!$AT$95),"")</f>
        <v>238.8</v>
      </c>
      <c r="AU95">
        <f ca="1">IFERROR(IF(0=LEN(ReferenceData!$AU$95),"",ReferenceData!$AU$95),"")</f>
        <v>202.57499999999999</v>
      </c>
      <c r="AV95">
        <f ca="1">IFERROR(IF(0=LEN(ReferenceData!$AV$95),"",ReferenceData!$AV$95),"")</f>
        <v>2934.4</v>
      </c>
      <c r="AW95">
        <f ca="1">IFERROR(IF(0=LEN(ReferenceData!$AW$95),"",ReferenceData!$AW$95),"")</f>
        <v>3772.3679999999999</v>
      </c>
      <c r="AX95">
        <f ca="1">IFERROR(IF(0=LEN(ReferenceData!$AX$95),"",ReferenceData!$AX$95),"")</f>
        <v>1222.973</v>
      </c>
      <c r="AY95">
        <f ca="1">IFERROR(IF(0=LEN(ReferenceData!$AY$95),"",ReferenceData!$AY$95),"")</f>
        <v>968.005</v>
      </c>
      <c r="AZ95">
        <f ca="1">IFERROR(IF(0=LEN(ReferenceData!$AZ$95),"",ReferenceData!$AZ$95),"")</f>
        <v>4149.3789999999999</v>
      </c>
      <c r="BA95">
        <f ca="1">IFERROR(IF(0=LEN(ReferenceData!$BA$95),"",ReferenceData!$BA$95),"")</f>
        <v>2018.2080000000001</v>
      </c>
      <c r="BB95">
        <f ca="1">IFERROR(IF(0=LEN(ReferenceData!$BB$95),"",ReferenceData!$BB$95),"")</f>
        <v>1315.47</v>
      </c>
      <c r="BC95">
        <f ca="1">IFERROR(IF(0=LEN(ReferenceData!$BC$95),"",ReferenceData!$BC$95),"")</f>
        <v>1004.545</v>
      </c>
      <c r="BD95">
        <f ca="1">IFERROR(IF(0=LEN(ReferenceData!$BD$95),"",ReferenceData!$BD$95),"")</f>
        <v>2069.5839999999998</v>
      </c>
      <c r="BE95">
        <f ca="1">IFERROR(IF(0=LEN(ReferenceData!$BE$95),"",ReferenceData!$BE$95),"")</f>
        <v>854.06700000000001</v>
      </c>
      <c r="BF95">
        <f ca="1">IFERROR(IF(0=LEN(ReferenceData!$BF$95),"",ReferenceData!$BF$95),"")</f>
        <v>367.09699999999998</v>
      </c>
      <c r="BG95">
        <f ca="1">IFERROR(IF(0=LEN(ReferenceData!$BG$95),"",ReferenceData!$BG$95),"")</f>
        <v>1008.063</v>
      </c>
      <c r="BH95">
        <f ca="1">IFERROR(IF(0=LEN(ReferenceData!$BH$95),"",ReferenceData!$BH$95),"")</f>
        <v>549.90099999999995</v>
      </c>
      <c r="BI95">
        <f ca="1">IFERROR(IF(0=LEN(ReferenceData!$BI$95),"",ReferenceData!$BI$95),"")</f>
        <v>258.63799999999998</v>
      </c>
      <c r="BJ95">
        <f ca="1">IFERROR(IF(0=LEN(ReferenceData!$BJ$95),"",ReferenceData!$BJ$95),"")</f>
        <v>354.19299999999998</v>
      </c>
      <c r="BK95">
        <f ca="1">IFERROR(IF(0=LEN(ReferenceData!$BK$95),"",ReferenceData!$BK$95),"")</f>
        <v>28.48</v>
      </c>
      <c r="BL95">
        <f ca="1">IFERROR(IF(0=LEN(ReferenceData!$BL$95),"",ReferenceData!$BL$95),"")</f>
        <v>0</v>
      </c>
      <c r="BM95">
        <f ca="1">IFERROR(IF(0=LEN(ReferenceData!$BM$95),"",ReferenceData!$BM$95),"")</f>
        <v>0</v>
      </c>
    </row>
    <row r="96" spans="1:65">
      <c r="A96" t="str">
        <f>IFERROR(IF(0=LEN(ReferenceData!$A$96),"",ReferenceData!$A$96),"")</f>
        <v xml:space="preserve">    Self Storage REITs</v>
      </c>
      <c r="B96" t="str">
        <f>IFERROR(IF(0=LEN(ReferenceData!$B$96),"",ReferenceData!$B$96),"")</f>
        <v>RECFTASS Index</v>
      </c>
      <c r="C96" t="str">
        <f>IFERROR(IF(0=LEN(ReferenceData!$C$96),"",ReferenceData!$C$96),"")</f>
        <v/>
      </c>
      <c r="D96" t="str">
        <f>IFERROR(IF(0=LEN(ReferenceData!$D$96),"",ReferenceData!$D$96),"")</f>
        <v/>
      </c>
      <c r="E96" t="str">
        <f>IFERROR(IF(0=LEN(ReferenceData!$E$96),"",ReferenceData!$E$96),"")</f>
        <v>Expression</v>
      </c>
      <c r="F96">
        <f ca="1">IFERROR(IF(0=LEN(ReferenceData!$F$96),"",ReferenceData!$F$96),"")</f>
        <v>1077.71</v>
      </c>
      <c r="G96">
        <f ca="1">IFERROR(IF(0=LEN(ReferenceData!$G$96),"",ReferenceData!$G$96),"")</f>
        <v>251.001</v>
      </c>
      <c r="H96">
        <f ca="1">IFERROR(IF(0=LEN(ReferenceData!$H$96),"",ReferenceData!$H$96),"")</f>
        <v>555.62599999999998</v>
      </c>
      <c r="I96">
        <f ca="1">IFERROR(IF(0=LEN(ReferenceData!$I$96),"",ReferenceData!$I$96),"")</f>
        <v>242.077</v>
      </c>
      <c r="J96">
        <f ca="1">IFERROR(IF(0=LEN(ReferenceData!$J$96),"",ReferenceData!$J$96),"")</f>
        <v>1520.5830000000001</v>
      </c>
      <c r="K96">
        <f ca="1">IFERROR(IF(0=LEN(ReferenceData!$K$96),"",ReferenceData!$K$96),"")</f>
        <v>2071.9859999999999</v>
      </c>
      <c r="L96">
        <f ca="1">IFERROR(IF(0=LEN(ReferenceData!$L$96),"",ReferenceData!$L$96),"")</f>
        <v>839.58399999999995</v>
      </c>
      <c r="M96">
        <f ca="1">IFERROR(IF(0=LEN(ReferenceData!$M$96),"",ReferenceData!$M$96),"")</f>
        <v>1084.45</v>
      </c>
      <c r="N96">
        <f ca="1">IFERROR(IF(0=LEN(ReferenceData!$N$96),"",ReferenceData!$N$96),"")</f>
        <v>1788.723</v>
      </c>
      <c r="O96">
        <f ca="1">IFERROR(IF(0=LEN(ReferenceData!$O$96),"",ReferenceData!$O$96),"")</f>
        <v>285.93</v>
      </c>
      <c r="P96">
        <f ca="1">IFERROR(IF(0=LEN(ReferenceData!$P$96),"",ReferenceData!$P$96),"")</f>
        <v>664.5</v>
      </c>
      <c r="Q96">
        <f ca="1">IFERROR(IF(0=LEN(ReferenceData!$Q$96),"",ReferenceData!$Q$96),"")</f>
        <v>302.63299999999998</v>
      </c>
      <c r="R96">
        <f ca="1">IFERROR(IF(0=LEN(ReferenceData!$R$96),"",ReferenceData!$R$96),"")</f>
        <v>968.94899999999996</v>
      </c>
      <c r="S96">
        <f ca="1">IFERROR(IF(0=LEN(ReferenceData!$S$96),"",ReferenceData!$S$96),"")</f>
        <v>370.80099999999999</v>
      </c>
      <c r="T96">
        <f ca="1">IFERROR(IF(0=LEN(ReferenceData!$T$96),"",ReferenceData!$T$96),"")</f>
        <v>395.14400000000001</v>
      </c>
      <c r="U96">
        <f ca="1">IFERROR(IF(0=LEN(ReferenceData!$U$96),"",ReferenceData!$U$96),"")</f>
        <v>452.13200000000001</v>
      </c>
      <c r="V96">
        <f ca="1">IFERROR(IF(0=LEN(ReferenceData!$V$96),"",ReferenceData!$V$96),"")</f>
        <v>1037.3520000000001</v>
      </c>
      <c r="W96">
        <f ca="1">IFERROR(IF(0=LEN(ReferenceData!$W$96),"",ReferenceData!$W$96),"")</f>
        <v>659.96900000000005</v>
      </c>
      <c r="X96">
        <f ca="1">IFERROR(IF(0=LEN(ReferenceData!$X$96),"",ReferenceData!$X$96),"")</f>
        <v>143.80199999999999</v>
      </c>
      <c r="Y96">
        <f ca="1">IFERROR(IF(0=LEN(ReferenceData!$Y$96),"",ReferenceData!$Y$96),"")</f>
        <v>66.653999999999996</v>
      </c>
      <c r="Z96">
        <f ca="1">IFERROR(IF(0=LEN(ReferenceData!$Z$96),"",ReferenceData!$Z$96),"")</f>
        <v>459.44</v>
      </c>
      <c r="AA96">
        <f ca="1">IFERROR(IF(0=LEN(ReferenceData!$AA$96),"",ReferenceData!$AA$96),"")</f>
        <v>926.73400000000004</v>
      </c>
      <c r="AB96">
        <f ca="1">IFERROR(IF(0=LEN(ReferenceData!$AB$96),"",ReferenceData!$AB$96),"")</f>
        <v>175.863</v>
      </c>
      <c r="AC96">
        <f ca="1">IFERROR(IF(0=LEN(ReferenceData!$AC$96),"",ReferenceData!$AC$96),"")</f>
        <v>197.76499999999999</v>
      </c>
      <c r="AD96">
        <f ca="1">IFERROR(IF(0=LEN(ReferenceData!$AD$96),"",ReferenceData!$AD$96),"")</f>
        <v>1140.8779999999999</v>
      </c>
      <c r="AE96">
        <f ca="1">IFERROR(IF(0=LEN(ReferenceData!$AE$96),"",ReferenceData!$AE$96),"")</f>
        <v>391.73</v>
      </c>
      <c r="AF96">
        <f ca="1">IFERROR(IF(0=LEN(ReferenceData!$AF$96),"",ReferenceData!$AF$96),"")</f>
        <v>178.745</v>
      </c>
      <c r="AG96">
        <f ca="1">IFERROR(IF(0=LEN(ReferenceData!$AG$96),"",ReferenceData!$AG$96),"")</f>
        <v>33.732999999999997</v>
      </c>
      <c r="AH96">
        <f ca="1">IFERROR(IF(0=LEN(ReferenceData!$AH$96),"",ReferenceData!$AH$96),"")</f>
        <v>283.64499999999998</v>
      </c>
      <c r="AI96">
        <f ca="1">IFERROR(IF(0=LEN(ReferenceData!$AI$96),"",ReferenceData!$AI$96),"")</f>
        <v>100.562</v>
      </c>
      <c r="AJ96">
        <f ca="1">IFERROR(IF(0=LEN(ReferenceData!$AJ$96),"",ReferenceData!$AJ$96),"")</f>
        <v>281.69600000000003</v>
      </c>
      <c r="AK96">
        <f ca="1">IFERROR(IF(0=LEN(ReferenceData!$AK$96),"",ReferenceData!$AK$96),"")</f>
        <v>60</v>
      </c>
      <c r="AL96">
        <f ca="1">IFERROR(IF(0=LEN(ReferenceData!$AL$96),"",ReferenceData!$AL$96),"")</f>
        <v>5</v>
      </c>
      <c r="AM96">
        <f ca="1">IFERROR(IF(0=LEN(ReferenceData!$AM$96),"",ReferenceData!$AM$96),"")</f>
        <v>0</v>
      </c>
      <c r="AN96">
        <f ca="1">IFERROR(IF(0=LEN(ReferenceData!$AN$96),"",ReferenceData!$AN$96),"")</f>
        <v>0</v>
      </c>
      <c r="AO96">
        <f ca="1">IFERROR(IF(0=LEN(ReferenceData!$AO$96),"",ReferenceData!$AO$96),"")</f>
        <v>7.4249999999999998</v>
      </c>
      <c r="AP96">
        <f ca="1">IFERROR(IF(0=LEN(ReferenceData!$AP$96),"",ReferenceData!$AP$96),"")</f>
        <v>93.7</v>
      </c>
      <c r="AQ96">
        <f ca="1">IFERROR(IF(0=LEN(ReferenceData!$AQ$96),"",ReferenceData!$AQ$96),"")</f>
        <v>159.75</v>
      </c>
      <c r="AR96">
        <f ca="1">IFERROR(IF(0=LEN(ReferenceData!$AR$96),"",ReferenceData!$AR$96),"")</f>
        <v>49.198</v>
      </c>
      <c r="AS96">
        <f ca="1">IFERROR(IF(0=LEN(ReferenceData!$AS$96),"",ReferenceData!$AS$96),"")</f>
        <v>75.899000000000001</v>
      </c>
      <c r="AT96">
        <f ca="1">IFERROR(IF(0=LEN(ReferenceData!$AT$96),"",ReferenceData!$AT$96),"")</f>
        <v>89</v>
      </c>
      <c r="AU96">
        <f ca="1">IFERROR(IF(0=LEN(ReferenceData!$AU$96),"",ReferenceData!$AU$96),"")</f>
        <v>229.417</v>
      </c>
      <c r="AV96">
        <f ca="1">IFERROR(IF(0=LEN(ReferenceData!$AV$96),"",ReferenceData!$AV$96),"")</f>
        <v>332.67099999999999</v>
      </c>
      <c r="AW96">
        <f ca="1">IFERROR(IF(0=LEN(ReferenceData!$AW$96),"",ReferenceData!$AW$96),"")</f>
        <v>228.797</v>
      </c>
      <c r="AX96">
        <f ca="1">IFERROR(IF(0=LEN(ReferenceData!$AX$96),"",ReferenceData!$AX$96),"")</f>
        <v>92.875</v>
      </c>
      <c r="AY96">
        <f ca="1">IFERROR(IF(0=LEN(ReferenceData!$AY$96),"",ReferenceData!$AY$96),"")</f>
        <v>291.08</v>
      </c>
      <c r="AZ96">
        <f ca="1">IFERROR(IF(0=LEN(ReferenceData!$AZ$96),"",ReferenceData!$AZ$96),"")</f>
        <v>330.66800000000001</v>
      </c>
      <c r="BA96">
        <f ca="1">IFERROR(IF(0=LEN(ReferenceData!$BA$96),"",ReferenceData!$BA$96),"")</f>
        <v>455.97500000000002</v>
      </c>
      <c r="BB96">
        <f ca="1">IFERROR(IF(0=LEN(ReferenceData!$BB$96),"",ReferenceData!$BB$96),"")</f>
        <v>284.851</v>
      </c>
      <c r="BC96">
        <f ca="1">IFERROR(IF(0=LEN(ReferenceData!$BC$96),"",ReferenceData!$BC$96),"")</f>
        <v>953.04600000000005</v>
      </c>
      <c r="BD96">
        <f ca="1">IFERROR(IF(0=LEN(ReferenceData!$BD$96),"",ReferenceData!$BD$96),"")</f>
        <v>188.69800000000001</v>
      </c>
      <c r="BE96">
        <f ca="1">IFERROR(IF(0=LEN(ReferenceData!$BE$96),"",ReferenceData!$BE$96),"")</f>
        <v>171.32400000000001</v>
      </c>
      <c r="BF96">
        <f ca="1">IFERROR(IF(0=LEN(ReferenceData!$BF$96),"",ReferenceData!$BF$96),"")</f>
        <v>273.27600000000001</v>
      </c>
      <c r="BG96">
        <f ca="1">IFERROR(IF(0=LEN(ReferenceData!$BG$96),"",ReferenceData!$BG$96),"")</f>
        <v>39.991999999999997</v>
      </c>
      <c r="BH96">
        <f ca="1">IFERROR(IF(0=LEN(ReferenceData!$BH$96),"",ReferenceData!$BH$96),"")</f>
        <v>68.058000000000007</v>
      </c>
      <c r="BI96">
        <f ca="1">IFERROR(IF(0=LEN(ReferenceData!$BI$96),"",ReferenceData!$BI$96),"")</f>
        <v>13.704000000000001</v>
      </c>
      <c r="BJ96">
        <f ca="1">IFERROR(IF(0=LEN(ReferenceData!$BJ$96),"",ReferenceData!$BJ$96),"")</f>
        <v>0</v>
      </c>
      <c r="BK96">
        <f ca="1">IFERROR(IF(0=LEN(ReferenceData!$BK$96),"",ReferenceData!$BK$96),"")</f>
        <v>0</v>
      </c>
      <c r="BL96">
        <f ca="1">IFERROR(IF(0=LEN(ReferenceData!$BL$96),"",ReferenceData!$BL$96),"")</f>
        <v>0</v>
      </c>
      <c r="BM96">
        <f ca="1">IFERROR(IF(0=LEN(ReferenceData!$BM$96),"",ReferenceData!$BM$96),"")</f>
        <v>0</v>
      </c>
    </row>
    <row r="97" spans="1:65">
      <c r="A97" t="str">
        <f>IFERROR(IF(0=LEN(ReferenceData!$A$97),"",ReferenceData!$A$97),"")</f>
        <v xml:space="preserve">    Health Care REITs</v>
      </c>
      <c r="B97" t="str">
        <f>IFERROR(IF(0=LEN(ReferenceData!$B$97),"",ReferenceData!$B$97),"")</f>
        <v>RECFTAHC Index</v>
      </c>
      <c r="C97" t="str">
        <f>IFERROR(IF(0=LEN(ReferenceData!$C$97),"",ReferenceData!$C$97),"")</f>
        <v/>
      </c>
      <c r="D97" t="str">
        <f>IFERROR(IF(0=LEN(ReferenceData!$D$97),"",ReferenceData!$D$97),"")</f>
        <v/>
      </c>
      <c r="E97" t="str">
        <f>IFERROR(IF(0=LEN(ReferenceData!$E$97),"",ReferenceData!$E$97),"")</f>
        <v>Expression</v>
      </c>
      <c r="F97">
        <f ca="1">IFERROR(IF(0=LEN(ReferenceData!$F$97),"",ReferenceData!$F$97),"")</f>
        <v>1238.7349999999999</v>
      </c>
      <c r="G97">
        <f ca="1">IFERROR(IF(0=LEN(ReferenceData!$G$97),"",ReferenceData!$G$97),"")</f>
        <v>2376.6439999999998</v>
      </c>
      <c r="H97">
        <f ca="1">IFERROR(IF(0=LEN(ReferenceData!$H$97),"",ReferenceData!$H$97),"")</f>
        <v>4701.1819999999998</v>
      </c>
      <c r="I97">
        <f ca="1">IFERROR(IF(0=LEN(ReferenceData!$I$97),"",ReferenceData!$I$97),"")</f>
        <v>1092.9159999999999</v>
      </c>
      <c r="J97">
        <f ca="1">IFERROR(IF(0=LEN(ReferenceData!$J$97),"",ReferenceData!$J$97),"")</f>
        <v>4196.5519999999997</v>
      </c>
      <c r="K97">
        <f ca="1">IFERROR(IF(0=LEN(ReferenceData!$K$97),"",ReferenceData!$K$97),"")</f>
        <v>3976.52</v>
      </c>
      <c r="L97">
        <f ca="1">IFERROR(IF(0=LEN(ReferenceData!$L$97),"",ReferenceData!$L$97),"")</f>
        <v>2091.002</v>
      </c>
      <c r="M97">
        <f ca="1">IFERROR(IF(0=LEN(ReferenceData!$M$97),"",ReferenceData!$M$97),"")</f>
        <v>1356.249</v>
      </c>
      <c r="N97">
        <f ca="1">IFERROR(IF(0=LEN(ReferenceData!$N$97),"",ReferenceData!$N$97),"")</f>
        <v>2313.3719999999998</v>
      </c>
      <c r="O97">
        <f ca="1">IFERROR(IF(0=LEN(ReferenceData!$O$97),"",ReferenceData!$O$97),"")</f>
        <v>4657.2579999999998</v>
      </c>
      <c r="P97">
        <f ca="1">IFERROR(IF(0=LEN(ReferenceData!$P$97),"",ReferenceData!$P$97),"")</f>
        <v>8446.777</v>
      </c>
      <c r="Q97">
        <f ca="1">IFERROR(IF(0=LEN(ReferenceData!$Q$97),"",ReferenceData!$Q$97),"")</f>
        <v>6871.951</v>
      </c>
      <c r="R97">
        <f ca="1">IFERROR(IF(0=LEN(ReferenceData!$R$97),"",ReferenceData!$R$97),"")</f>
        <v>3065.174</v>
      </c>
      <c r="S97">
        <f ca="1">IFERROR(IF(0=LEN(ReferenceData!$S$97),"",ReferenceData!$S$97),"")</f>
        <v>3249.3980000000001</v>
      </c>
      <c r="T97">
        <f ca="1">IFERROR(IF(0=LEN(ReferenceData!$T$97),"",ReferenceData!$T$97),"")</f>
        <v>2671.0889999999999</v>
      </c>
      <c r="U97">
        <f ca="1">IFERROR(IF(0=LEN(ReferenceData!$U$97),"",ReferenceData!$U$97),"")</f>
        <v>1250.57</v>
      </c>
      <c r="V97">
        <f ca="1">IFERROR(IF(0=LEN(ReferenceData!$V$97),"",ReferenceData!$V$97),"")</f>
        <v>2284.8519999999999</v>
      </c>
      <c r="W97">
        <f ca="1">IFERROR(IF(0=LEN(ReferenceData!$W$97),"",ReferenceData!$W$97),"")</f>
        <v>3032.2190000000001</v>
      </c>
      <c r="X97">
        <f ca="1">IFERROR(IF(0=LEN(ReferenceData!$X$97),"",ReferenceData!$X$97),"")</f>
        <v>1992.954</v>
      </c>
      <c r="Y97">
        <f ca="1">IFERROR(IF(0=LEN(ReferenceData!$Y$97),"",ReferenceData!$Y$97),"")</f>
        <v>2871.47</v>
      </c>
      <c r="Z97">
        <f ca="1">IFERROR(IF(0=LEN(ReferenceData!$Z$97),"",ReferenceData!$Z$97),"")</f>
        <v>5067.6980000000003</v>
      </c>
      <c r="AA97">
        <f ca="1">IFERROR(IF(0=LEN(ReferenceData!$AA$97),"",ReferenceData!$AA$97),"")</f>
        <v>2368.268</v>
      </c>
      <c r="AB97">
        <f ca="1">IFERROR(IF(0=LEN(ReferenceData!$AB$97),"",ReferenceData!$AB$97),"")</f>
        <v>1947.7860000000001</v>
      </c>
      <c r="AC97">
        <f ca="1">IFERROR(IF(0=LEN(ReferenceData!$AC$97),"",ReferenceData!$AC$97),"")</f>
        <v>1219.125</v>
      </c>
      <c r="AD97">
        <f ca="1">IFERROR(IF(0=LEN(ReferenceData!$AD$97),"",ReferenceData!$AD$97),"")</f>
        <v>5700.732</v>
      </c>
      <c r="AE97">
        <f ca="1">IFERROR(IF(0=LEN(ReferenceData!$AE$97),"",ReferenceData!$AE$97),"")</f>
        <v>8684.69</v>
      </c>
      <c r="AF97">
        <f ca="1">IFERROR(IF(0=LEN(ReferenceData!$AF$97),"",ReferenceData!$AF$97),"")</f>
        <v>12694.085999999999</v>
      </c>
      <c r="AG97">
        <f ca="1">IFERROR(IF(0=LEN(ReferenceData!$AG$97),"",ReferenceData!$AG$97),"")</f>
        <v>2345.0479999999998</v>
      </c>
      <c r="AH97">
        <f ca="1">IFERROR(IF(0=LEN(ReferenceData!$AH$97),"",ReferenceData!$AH$97),"")</f>
        <v>2651.752</v>
      </c>
      <c r="AI97">
        <f ca="1">IFERROR(IF(0=LEN(ReferenceData!$AI$97),"",ReferenceData!$AI$97),"")</f>
        <v>1340.655</v>
      </c>
      <c r="AJ97">
        <f ca="1">IFERROR(IF(0=LEN(ReferenceData!$AJ$97),"",ReferenceData!$AJ$97),"")</f>
        <v>1166.5440000000001</v>
      </c>
      <c r="AK97">
        <f ca="1">IFERROR(IF(0=LEN(ReferenceData!$AK$97),"",ReferenceData!$AK$97),"")</f>
        <v>1015.278</v>
      </c>
      <c r="AL97">
        <f ca="1">IFERROR(IF(0=LEN(ReferenceData!$AL$97),"",ReferenceData!$AL$97),"")</f>
        <v>649.53099999999995</v>
      </c>
      <c r="AM97">
        <f ca="1">IFERROR(IF(0=LEN(ReferenceData!$AM$97),"",ReferenceData!$AM$97),"")</f>
        <v>353.96499999999997</v>
      </c>
      <c r="AN97">
        <f ca="1">IFERROR(IF(0=LEN(ReferenceData!$AN$97),"",ReferenceData!$AN$97),"")</f>
        <v>94.471000000000004</v>
      </c>
      <c r="AO97">
        <f ca="1">IFERROR(IF(0=LEN(ReferenceData!$AO$97),"",ReferenceData!$AO$97),"")</f>
        <v>34.35</v>
      </c>
      <c r="AP97">
        <f ca="1">IFERROR(IF(0=LEN(ReferenceData!$AP$97),"",ReferenceData!$AP$97),"")</f>
        <v>272.96600000000001</v>
      </c>
      <c r="AQ97">
        <f ca="1">IFERROR(IF(0=LEN(ReferenceData!$AQ$97),"",ReferenceData!$AQ$97),"")</f>
        <v>623.23299999999995</v>
      </c>
      <c r="AR97">
        <f ca="1">IFERROR(IF(0=LEN(ReferenceData!$AR$97),"",ReferenceData!$AR$97),"")</f>
        <v>676.89400000000001</v>
      </c>
      <c r="AS97">
        <f ca="1">IFERROR(IF(0=LEN(ReferenceData!$AS$97),"",ReferenceData!$AS$97),"")</f>
        <v>412.18400000000003</v>
      </c>
      <c r="AT97">
        <f ca="1">IFERROR(IF(0=LEN(ReferenceData!$AT$97),"",ReferenceData!$AT$97),"")</f>
        <v>265.96899999999999</v>
      </c>
      <c r="AU97">
        <f ca="1">IFERROR(IF(0=LEN(ReferenceData!$AU$97),"",ReferenceData!$AU$97),"")</f>
        <v>435.20800000000003</v>
      </c>
      <c r="AV97">
        <f ca="1">IFERROR(IF(0=LEN(ReferenceData!$AV$97),"",ReferenceData!$AV$97),"")</f>
        <v>2552.0140000000001</v>
      </c>
      <c r="AW97">
        <f ca="1">IFERROR(IF(0=LEN(ReferenceData!$AW$97),"",ReferenceData!$AW$97),"")</f>
        <v>615.39</v>
      </c>
      <c r="AX97">
        <f ca="1">IFERROR(IF(0=LEN(ReferenceData!$AX$97),"",ReferenceData!$AX$97),"")</f>
        <v>6165.3919999999998</v>
      </c>
      <c r="AY97">
        <f ca="1">IFERROR(IF(0=LEN(ReferenceData!$AY$97),"",ReferenceData!$AY$97),"")</f>
        <v>541.49400000000003</v>
      </c>
      <c r="AZ97">
        <f ca="1">IFERROR(IF(0=LEN(ReferenceData!$AZ$97),"",ReferenceData!$AZ$97),"")</f>
        <v>762.04399999999998</v>
      </c>
      <c r="BA97">
        <f ca="1">IFERROR(IF(0=LEN(ReferenceData!$BA$97),"",ReferenceData!$BA$97),"")</f>
        <v>621.18100000000004</v>
      </c>
      <c r="BB97">
        <f ca="1">IFERROR(IF(0=LEN(ReferenceData!$BB$97),"",ReferenceData!$BB$97),"")</f>
        <v>936.697</v>
      </c>
      <c r="BC97">
        <f ca="1">IFERROR(IF(0=LEN(ReferenceData!$BC$97),"",ReferenceData!$BC$97),"")</f>
        <v>522.803</v>
      </c>
      <c r="BD97">
        <f ca="1">IFERROR(IF(0=LEN(ReferenceData!$BD$97),"",ReferenceData!$BD$97),"")</f>
        <v>1936.3030000000001</v>
      </c>
      <c r="BE97">
        <f ca="1">IFERROR(IF(0=LEN(ReferenceData!$BE$97),"",ReferenceData!$BE$97),"")</f>
        <v>370.62400000000002</v>
      </c>
      <c r="BF97">
        <f ca="1">IFERROR(IF(0=LEN(ReferenceData!$BF$97),"",ReferenceData!$BF$97),"")</f>
        <v>576.91399999999999</v>
      </c>
      <c r="BG97">
        <f ca="1">IFERROR(IF(0=LEN(ReferenceData!$BG$97),"",ReferenceData!$BG$97),"")</f>
        <v>472.76</v>
      </c>
      <c r="BH97">
        <f ca="1">IFERROR(IF(0=LEN(ReferenceData!$BH$97),"",ReferenceData!$BH$97),"")</f>
        <v>519.34299999999996</v>
      </c>
      <c r="BI97">
        <f ca="1">IFERROR(IF(0=LEN(ReferenceData!$BI$97),"",ReferenceData!$BI$97),"")</f>
        <v>582.75800000000004</v>
      </c>
      <c r="BJ97">
        <f ca="1">IFERROR(IF(0=LEN(ReferenceData!$BJ$97),"",ReferenceData!$BJ$97),"")</f>
        <v>0</v>
      </c>
      <c r="BK97">
        <f ca="1">IFERROR(IF(0=LEN(ReferenceData!$BK$97),"",ReferenceData!$BK$97),"")</f>
        <v>0</v>
      </c>
      <c r="BL97">
        <f ca="1">IFERROR(IF(0=LEN(ReferenceData!$BL$97),"",ReferenceData!$BL$97),"")</f>
        <v>0</v>
      </c>
      <c r="BM97">
        <f ca="1">IFERROR(IF(0=LEN(ReferenceData!$BM$97),"",ReferenceData!$BM$97),"")</f>
        <v>0</v>
      </c>
    </row>
    <row r="98" spans="1:65">
      <c r="A98" t="str">
        <f>IFERROR(IF(0=LEN(ReferenceData!$A$98),"",ReferenceData!$A$98),"")</f>
        <v xml:space="preserve">    Timber REITs</v>
      </c>
      <c r="B98" t="str">
        <f>IFERROR(IF(0=LEN(ReferenceData!$B$98),"",ReferenceData!$B$98),"")</f>
        <v>RECFTATR Index</v>
      </c>
      <c r="C98" t="str">
        <f>IFERROR(IF(0=LEN(ReferenceData!$C$98),"",ReferenceData!$C$98),"")</f>
        <v/>
      </c>
      <c r="D98" t="str">
        <f>IFERROR(IF(0=LEN(ReferenceData!$D$98),"",ReferenceData!$D$98),"")</f>
        <v/>
      </c>
      <c r="E98" t="str">
        <f>IFERROR(IF(0=LEN(ReferenceData!$E$98),"",ReferenceData!$E$98),"")</f>
        <v>Expression</v>
      </c>
      <c r="F98">
        <f ca="1">IFERROR(IF(0=LEN(ReferenceData!$F$98),"",ReferenceData!$F$98),"")</f>
        <v>0</v>
      </c>
      <c r="G98">
        <f ca="1">IFERROR(IF(0=LEN(ReferenceData!$G$98),"",ReferenceData!$G$98),"")</f>
        <v>0</v>
      </c>
      <c r="H98">
        <f ca="1">IFERROR(IF(0=LEN(ReferenceData!$H$98),"",ReferenceData!$H$98),"")</f>
        <v>0</v>
      </c>
      <c r="I98">
        <f ca="1">IFERROR(IF(0=LEN(ReferenceData!$I$98),"",ReferenceData!$I$98),"")</f>
        <v>0</v>
      </c>
      <c r="J98">
        <f ca="1">IFERROR(IF(0=LEN(ReferenceData!$J$98),"",ReferenceData!$J$98),"")</f>
        <v>0</v>
      </c>
      <c r="K98">
        <f ca="1">IFERROR(IF(0=LEN(ReferenceData!$K$98),"",ReferenceData!$K$98),"")</f>
        <v>0</v>
      </c>
      <c r="L98">
        <f ca="1">IFERROR(IF(0=LEN(ReferenceData!$L$98),"",ReferenceData!$L$98),"")</f>
        <v>0</v>
      </c>
      <c r="M98">
        <f ca="1">IFERROR(IF(0=LEN(ReferenceData!$M$98),"",ReferenceData!$M$98),"")</f>
        <v>0</v>
      </c>
      <c r="N98">
        <f ca="1">IFERROR(IF(0=LEN(ReferenceData!$N$98),"",ReferenceData!$N$98),"")</f>
        <v>0</v>
      </c>
      <c r="O98">
        <f ca="1">IFERROR(IF(0=LEN(ReferenceData!$O$98),"",ReferenceData!$O$98),"")</f>
        <v>0</v>
      </c>
      <c r="P98">
        <f ca="1">IFERROR(IF(0=LEN(ReferenceData!$P$98),"",ReferenceData!$P$98),"")</f>
        <v>0</v>
      </c>
      <c r="Q98">
        <f ca="1">IFERROR(IF(0=LEN(ReferenceData!$Q$98),"",ReferenceData!$Q$98),"")</f>
        <v>0</v>
      </c>
      <c r="R98">
        <f ca="1">IFERROR(IF(0=LEN(ReferenceData!$R$98),"",ReferenceData!$R$98),"")</f>
        <v>0</v>
      </c>
      <c r="S98">
        <f ca="1">IFERROR(IF(0=LEN(ReferenceData!$S$98),"",ReferenceData!$S$98),"")</f>
        <v>0</v>
      </c>
      <c r="T98">
        <f ca="1">IFERROR(IF(0=LEN(ReferenceData!$T$98),"",ReferenceData!$T$98),"")</f>
        <v>0</v>
      </c>
      <c r="U98">
        <f ca="1">IFERROR(IF(0=LEN(ReferenceData!$U$98),"",ReferenceData!$U$98),"")</f>
        <v>0</v>
      </c>
      <c r="V98">
        <f ca="1">IFERROR(IF(0=LEN(ReferenceData!$V$98),"",ReferenceData!$V$98),"")</f>
        <v>0</v>
      </c>
      <c r="W98">
        <f ca="1">IFERROR(IF(0=LEN(ReferenceData!$W$98),"",ReferenceData!$W$98),"")</f>
        <v>0</v>
      </c>
      <c r="X98">
        <f ca="1">IFERROR(IF(0=LEN(ReferenceData!$X$98),"",ReferenceData!$X$98),"")</f>
        <v>0</v>
      </c>
      <c r="Y98">
        <f ca="1">IFERROR(IF(0=LEN(ReferenceData!$Y$98),"",ReferenceData!$Y$98),"")</f>
        <v>0</v>
      </c>
      <c r="Z98">
        <f ca="1">IFERROR(IF(0=LEN(ReferenceData!$Z$98),"",ReferenceData!$Z$98),"")</f>
        <v>0</v>
      </c>
      <c r="AA98">
        <f ca="1">IFERROR(IF(0=LEN(ReferenceData!$AA$98),"",ReferenceData!$AA$98),"")</f>
        <v>0</v>
      </c>
      <c r="AB98">
        <f ca="1">IFERROR(IF(0=LEN(ReferenceData!$AB$98),"",ReferenceData!$AB$98),"")</f>
        <v>0</v>
      </c>
      <c r="AC98">
        <f ca="1">IFERROR(IF(0=LEN(ReferenceData!$AC$98),"",ReferenceData!$AC$98),"")</f>
        <v>0</v>
      </c>
      <c r="AD98">
        <f ca="1">IFERROR(IF(0=LEN(ReferenceData!$AD$98),"",ReferenceData!$AD$98),"")</f>
        <v>0</v>
      </c>
      <c r="AE98">
        <f ca="1">IFERROR(IF(0=LEN(ReferenceData!$AE$98),"",ReferenceData!$AE$98),"")</f>
        <v>0</v>
      </c>
      <c r="AF98">
        <f ca="1">IFERROR(IF(0=LEN(ReferenceData!$AF$98),"",ReferenceData!$AF$98),"")</f>
        <v>0</v>
      </c>
      <c r="AG98">
        <f ca="1">IFERROR(IF(0=LEN(ReferenceData!$AG$98),"",ReferenceData!$AG$98),"")</f>
        <v>0</v>
      </c>
      <c r="AH98">
        <f ca="1">IFERROR(IF(0=LEN(ReferenceData!$AH$98),"",ReferenceData!$AH$98),"")</f>
        <v>0</v>
      </c>
      <c r="AI98">
        <f ca="1">IFERROR(IF(0=LEN(ReferenceData!$AI$98),"",ReferenceData!$AI$98),"")</f>
        <v>0</v>
      </c>
      <c r="AJ98">
        <f ca="1">IFERROR(IF(0=LEN(ReferenceData!$AJ$98),"",ReferenceData!$AJ$98),"")</f>
        <v>0</v>
      </c>
      <c r="AK98">
        <f ca="1">IFERROR(IF(0=LEN(ReferenceData!$AK$98),"",ReferenceData!$AK$98),"")</f>
        <v>0</v>
      </c>
      <c r="AL98">
        <f ca="1">IFERROR(IF(0=LEN(ReferenceData!$AL$98),"",ReferenceData!$AL$98),"")</f>
        <v>0</v>
      </c>
      <c r="AM98">
        <f ca="1">IFERROR(IF(0=LEN(ReferenceData!$AM$98),"",ReferenceData!$AM$98),"")</f>
        <v>0</v>
      </c>
      <c r="AN98">
        <f ca="1">IFERROR(IF(0=LEN(ReferenceData!$AN$98),"",ReferenceData!$AN$98),"")</f>
        <v>0</v>
      </c>
      <c r="AO98">
        <f ca="1">IFERROR(IF(0=LEN(ReferenceData!$AO$98),"",ReferenceData!$AO$98),"")</f>
        <v>0</v>
      </c>
      <c r="AP98">
        <f ca="1">IFERROR(IF(0=LEN(ReferenceData!$AP$98),"",ReferenceData!$AP$98),"")</f>
        <v>0</v>
      </c>
      <c r="AQ98">
        <f ca="1">IFERROR(IF(0=LEN(ReferenceData!$AQ$98),"",ReferenceData!$AQ$98),"")</f>
        <v>0</v>
      </c>
      <c r="AR98">
        <f ca="1">IFERROR(IF(0=LEN(ReferenceData!$AR$98),"",ReferenceData!$AR$98),"")</f>
        <v>0</v>
      </c>
      <c r="AS98">
        <f ca="1">IFERROR(IF(0=LEN(ReferenceData!$AS$98),"",ReferenceData!$AS$98),"")</f>
        <v>0</v>
      </c>
      <c r="AT98">
        <f ca="1">IFERROR(IF(0=LEN(ReferenceData!$AT$98),"",ReferenceData!$AT$98),"")</f>
        <v>0</v>
      </c>
      <c r="AU98">
        <f ca="1">IFERROR(IF(0=LEN(ReferenceData!$AU$98),"",ReferenceData!$AU$98),"")</f>
        <v>0</v>
      </c>
      <c r="AV98">
        <f ca="1">IFERROR(IF(0=LEN(ReferenceData!$AV$98),"",ReferenceData!$AV$98),"")</f>
        <v>0</v>
      </c>
      <c r="AW98">
        <f ca="1">IFERROR(IF(0=LEN(ReferenceData!$AW$98),"",ReferenceData!$AW$98),"")</f>
        <v>0</v>
      </c>
      <c r="AX98">
        <f ca="1">IFERROR(IF(0=LEN(ReferenceData!$AX$98),"",ReferenceData!$AX$98),"")</f>
        <v>0</v>
      </c>
      <c r="AY98">
        <f ca="1">IFERROR(IF(0=LEN(ReferenceData!$AY$98),"",ReferenceData!$AY$98),"")</f>
        <v>0</v>
      </c>
      <c r="AZ98">
        <f ca="1">IFERROR(IF(0=LEN(ReferenceData!$AZ$98),"",ReferenceData!$AZ$98),"")</f>
        <v>0</v>
      </c>
      <c r="BA98">
        <f ca="1">IFERROR(IF(0=LEN(ReferenceData!$BA$98),"",ReferenceData!$BA$98),"")</f>
        <v>0</v>
      </c>
      <c r="BB98">
        <f ca="1">IFERROR(IF(0=LEN(ReferenceData!$BB$98),"",ReferenceData!$BB$98),"")</f>
        <v>0</v>
      </c>
      <c r="BC98">
        <f ca="1">IFERROR(IF(0=LEN(ReferenceData!$BC$98),"",ReferenceData!$BC$98),"")</f>
        <v>0</v>
      </c>
      <c r="BD98">
        <f ca="1">IFERROR(IF(0=LEN(ReferenceData!$BD$98),"",ReferenceData!$BD$98),"")</f>
        <v>0</v>
      </c>
      <c r="BE98">
        <f ca="1">IFERROR(IF(0=LEN(ReferenceData!$BE$98),"",ReferenceData!$BE$98),"")</f>
        <v>0</v>
      </c>
      <c r="BF98">
        <f ca="1">IFERROR(IF(0=LEN(ReferenceData!$BF$98),"",ReferenceData!$BF$98),"")</f>
        <v>0</v>
      </c>
      <c r="BG98">
        <f ca="1">IFERROR(IF(0=LEN(ReferenceData!$BG$98),"",ReferenceData!$BG$98),"")</f>
        <v>0</v>
      </c>
      <c r="BH98">
        <f ca="1">IFERROR(IF(0=LEN(ReferenceData!$BH$98),"",ReferenceData!$BH$98),"")</f>
        <v>0</v>
      </c>
      <c r="BI98">
        <f ca="1">IFERROR(IF(0=LEN(ReferenceData!$BI$98),"",ReferenceData!$BI$98),"")</f>
        <v>0</v>
      </c>
      <c r="BJ98">
        <f ca="1">IFERROR(IF(0=LEN(ReferenceData!$BJ$98),"",ReferenceData!$BJ$98),"")</f>
        <v>0</v>
      </c>
      <c r="BK98">
        <f ca="1">IFERROR(IF(0=LEN(ReferenceData!$BK$98),"",ReferenceData!$BK$98),"")</f>
        <v>0</v>
      </c>
      <c r="BL98">
        <f ca="1">IFERROR(IF(0=LEN(ReferenceData!$BL$98),"",ReferenceData!$BL$98),"")</f>
        <v>0</v>
      </c>
      <c r="BM98">
        <f ca="1">IFERROR(IF(0=LEN(ReferenceData!$BM$98),"",ReferenceData!$BM$98),"")</f>
        <v>0</v>
      </c>
    </row>
    <row r="99" spans="1:65">
      <c r="A99" t="str">
        <f>IFERROR(IF(0=LEN(ReferenceData!$A$99),"",ReferenceData!$A$99),"")</f>
        <v xml:space="preserve">    Data Center REITs</v>
      </c>
      <c r="B99" t="str">
        <f>IFERROR(IF(0=LEN(ReferenceData!$B$99),"",ReferenceData!$B$99),"")</f>
        <v>RECFTADC Index</v>
      </c>
      <c r="C99" t="str">
        <f>IFERROR(IF(0=LEN(ReferenceData!$C$99),"",ReferenceData!$C$99),"")</f>
        <v/>
      </c>
      <c r="D99" t="str">
        <f>IFERROR(IF(0=LEN(ReferenceData!$D$99),"",ReferenceData!$D$99),"")</f>
        <v/>
      </c>
      <c r="E99" t="str">
        <f>IFERROR(IF(0=LEN(ReferenceData!$E$99),"",ReferenceData!$E$99),"")</f>
        <v>Expression</v>
      </c>
      <c r="F99">
        <f ca="1">IFERROR(IF(0=LEN(ReferenceData!$F$99),"",ReferenceData!$F$99),"")</f>
        <v>34</v>
      </c>
      <c r="G99">
        <f ca="1">IFERROR(IF(0=LEN(ReferenceData!$G$99),"",ReferenceData!$G$99),"")</f>
        <v>0</v>
      </c>
      <c r="H99">
        <f ca="1">IFERROR(IF(0=LEN(ReferenceData!$H$99),"",ReferenceData!$H$99),"")</f>
        <v>3614.1</v>
      </c>
      <c r="I99">
        <f ca="1">IFERROR(IF(0=LEN(ReferenceData!$I$99),"",ReferenceData!$I$99),"")</f>
        <v>529.70000000000005</v>
      </c>
      <c r="J99">
        <f ca="1">IFERROR(IF(0=LEN(ReferenceData!$J$99),"",ReferenceData!$J$99),"")</f>
        <v>115</v>
      </c>
      <c r="K99">
        <f ca="1">IFERROR(IF(0=LEN(ReferenceData!$K$99),"",ReferenceData!$K$99),"")</f>
        <v>1143.9780000000001</v>
      </c>
      <c r="L99">
        <f ca="1">IFERROR(IF(0=LEN(ReferenceData!$L$99),"",ReferenceData!$L$99),"")</f>
        <v>125.6</v>
      </c>
      <c r="M99">
        <f ca="1">IFERROR(IF(0=LEN(ReferenceData!$M$99),"",ReferenceData!$M$99),"")</f>
        <v>3917.1770000000001</v>
      </c>
      <c r="N99">
        <f ca="1">IFERROR(IF(0=LEN(ReferenceData!$N$99),"",ReferenceData!$N$99),"")</f>
        <v>1883.82</v>
      </c>
      <c r="O99">
        <f ca="1">IFERROR(IF(0=LEN(ReferenceData!$O$99),"",ReferenceData!$O$99),"")</f>
        <v>411.3</v>
      </c>
      <c r="P99">
        <f ca="1">IFERROR(IF(0=LEN(ReferenceData!$P$99),"",ReferenceData!$P$99),"")</f>
        <v>411.7</v>
      </c>
      <c r="Q99">
        <f ca="1">IFERROR(IF(0=LEN(ReferenceData!$Q$99),"",ReferenceData!$Q$99),"")</f>
        <v>0</v>
      </c>
      <c r="R99">
        <f ca="1">IFERROR(IF(0=LEN(ReferenceData!$R$99),"",ReferenceData!$R$99),"")</f>
        <v>0</v>
      </c>
      <c r="S99">
        <f ca="1">IFERROR(IF(0=LEN(ReferenceData!$S$99),"",ReferenceData!$S$99),"")</f>
        <v>18</v>
      </c>
      <c r="T99">
        <f ca="1">IFERROR(IF(0=LEN(ReferenceData!$T$99),"",ReferenceData!$T$99),"")</f>
        <v>73.3</v>
      </c>
      <c r="U99">
        <f ca="1">IFERROR(IF(0=LEN(ReferenceData!$U$99),"",ReferenceData!$U$99),"")</f>
        <v>0</v>
      </c>
      <c r="V99">
        <f ca="1">IFERROR(IF(0=LEN(ReferenceData!$V$99),"",ReferenceData!$V$99),"")</f>
        <v>35.25</v>
      </c>
      <c r="W99">
        <f ca="1">IFERROR(IF(0=LEN(ReferenceData!$W$99),"",ReferenceData!$W$99),"")</f>
        <v>0</v>
      </c>
      <c r="X99">
        <f ca="1">IFERROR(IF(0=LEN(ReferenceData!$X$99),"",ReferenceData!$X$99),"")</f>
        <v>35.755000000000003</v>
      </c>
      <c r="Y99">
        <f ca="1">IFERROR(IF(0=LEN(ReferenceData!$Y$99),"",ReferenceData!$Y$99),"")</f>
        <v>77.935000000000002</v>
      </c>
      <c r="Z99">
        <f ca="1">IFERROR(IF(0=LEN(ReferenceData!$Z$99),"",ReferenceData!$Z$99),"")</f>
        <v>108.5</v>
      </c>
      <c r="AA99">
        <f ca="1">IFERROR(IF(0=LEN(ReferenceData!$AA$99),"",ReferenceData!$AA$99),"")</f>
        <v>1229.4000000000001</v>
      </c>
      <c r="AB99">
        <f ca="1">IFERROR(IF(0=LEN(ReferenceData!$AB$99),"",ReferenceData!$AB$99),"")</f>
        <v>132.98099999999999</v>
      </c>
      <c r="AC99">
        <f ca="1">IFERROR(IF(0=LEN(ReferenceData!$AC$99),"",ReferenceData!$AC$99),"")</f>
        <v>123</v>
      </c>
      <c r="AD99">
        <f ca="1">IFERROR(IF(0=LEN(ReferenceData!$AD$99),"",ReferenceData!$AD$99),"")</f>
        <v>150.80000000000001</v>
      </c>
      <c r="AE99">
        <f ca="1">IFERROR(IF(0=LEN(ReferenceData!$AE$99),"",ReferenceData!$AE$99),"")</f>
        <v>51.1</v>
      </c>
      <c r="AF99">
        <f ca="1">IFERROR(IF(0=LEN(ReferenceData!$AF$99),"",ReferenceData!$AF$99),"")</f>
        <v>0</v>
      </c>
      <c r="AG99">
        <f ca="1">IFERROR(IF(0=LEN(ReferenceData!$AG$99),"",ReferenceData!$AG$99),"")</f>
        <v>0</v>
      </c>
      <c r="AH99">
        <f ca="1">IFERROR(IF(0=LEN(ReferenceData!$AH$99),"",ReferenceData!$AH$99),"")</f>
        <v>449.536</v>
      </c>
      <c r="AI99">
        <f ca="1">IFERROR(IF(0=LEN(ReferenceData!$AI$99),"",ReferenceData!$AI$99),"")</f>
        <v>812.7</v>
      </c>
      <c r="AJ99">
        <f ca="1">IFERROR(IF(0=LEN(ReferenceData!$AJ$99),"",ReferenceData!$AJ$99),"")</f>
        <v>24.1</v>
      </c>
      <c r="AK99">
        <f ca="1">IFERROR(IF(0=LEN(ReferenceData!$AK$99),"",ReferenceData!$AK$99),"")</f>
        <v>375</v>
      </c>
      <c r="AL99">
        <f ca="1">IFERROR(IF(0=LEN(ReferenceData!$AL$99),"",ReferenceData!$AL$99),"")</f>
        <v>153.80000000000001</v>
      </c>
      <c r="AM99">
        <f ca="1">IFERROR(IF(0=LEN(ReferenceData!$AM$99),"",ReferenceData!$AM$99),"")</f>
        <v>45.8</v>
      </c>
      <c r="AN99">
        <f ca="1">IFERROR(IF(0=LEN(ReferenceData!$AN$99),"",ReferenceData!$AN$99),"")</f>
        <v>0</v>
      </c>
      <c r="AO99">
        <f ca="1">IFERROR(IF(0=LEN(ReferenceData!$AO$99),"",ReferenceData!$AO$99),"")</f>
        <v>0</v>
      </c>
      <c r="AP99">
        <f ca="1">IFERROR(IF(0=LEN(ReferenceData!$AP$99),"",ReferenceData!$AP$99),"")</f>
        <v>31.2</v>
      </c>
      <c r="AQ99">
        <f ca="1">IFERROR(IF(0=LEN(ReferenceData!$AQ$99),"",ReferenceData!$AQ$99),"")</f>
        <v>0</v>
      </c>
      <c r="AR99">
        <f ca="1">IFERROR(IF(0=LEN(ReferenceData!$AR$99),"",ReferenceData!$AR$99),"")</f>
        <v>49.6</v>
      </c>
      <c r="AS99">
        <f ca="1">IFERROR(IF(0=LEN(ReferenceData!$AS$99),"",ReferenceData!$AS$99),"")</f>
        <v>20.399999999999999</v>
      </c>
      <c r="AT99">
        <f ca="1">IFERROR(IF(0=LEN(ReferenceData!$AT$99),"",ReferenceData!$AT$99),"")</f>
        <v>83.5</v>
      </c>
      <c r="AU99">
        <f ca="1">IFERROR(IF(0=LEN(ReferenceData!$AU$99),"",ReferenceData!$AU$99),"")</f>
        <v>86.7</v>
      </c>
      <c r="AV99">
        <f ca="1">IFERROR(IF(0=LEN(ReferenceData!$AV$99),"",ReferenceData!$AV$99),"")</f>
        <v>0</v>
      </c>
      <c r="AW99">
        <f ca="1">IFERROR(IF(0=LEN(ReferenceData!$AW$99),"",ReferenceData!$AW$99),"")</f>
        <v>161.4</v>
      </c>
      <c r="AX99">
        <f ca="1">IFERROR(IF(0=LEN(ReferenceData!$AX$99),"",ReferenceData!$AX$99),"")</f>
        <v>151.5</v>
      </c>
      <c r="AY99">
        <f ca="1">IFERROR(IF(0=LEN(ReferenceData!$AY$99),"",ReferenceData!$AY$99),"")</f>
        <v>200.5</v>
      </c>
      <c r="AZ99">
        <f ca="1">IFERROR(IF(0=LEN(ReferenceData!$AZ$99),"",ReferenceData!$AZ$99),"")</f>
        <v>122.4</v>
      </c>
      <c r="BA99">
        <f ca="1">IFERROR(IF(0=LEN(ReferenceData!$BA$99),"",ReferenceData!$BA$99),"")</f>
        <v>22.5</v>
      </c>
      <c r="BB99">
        <f ca="1">IFERROR(IF(0=LEN(ReferenceData!$BB$99),"",ReferenceData!$BB$99),"")</f>
        <v>67.599999999999994</v>
      </c>
      <c r="BC99">
        <f ca="1">IFERROR(IF(0=LEN(ReferenceData!$BC$99),"",ReferenceData!$BC$99),"")</f>
        <v>73.5</v>
      </c>
      <c r="BD99">
        <f ca="1">IFERROR(IF(0=LEN(ReferenceData!$BD$99),"",ReferenceData!$BD$99),"")</f>
        <v>250.6</v>
      </c>
      <c r="BE99">
        <f ca="1">IFERROR(IF(0=LEN(ReferenceData!$BE$99),"",ReferenceData!$BE$99),"")</f>
        <v>74.599999999999994</v>
      </c>
      <c r="BF99">
        <f ca="1">IFERROR(IF(0=LEN(ReferenceData!$BF$99),"",ReferenceData!$BF$99),"")</f>
        <v>16.600000000000001</v>
      </c>
      <c r="BG99">
        <f ca="1">IFERROR(IF(0=LEN(ReferenceData!$BG$99),"",ReferenceData!$BG$99),"")</f>
        <v>0</v>
      </c>
      <c r="BH99">
        <f ca="1">IFERROR(IF(0=LEN(ReferenceData!$BH$99),"",ReferenceData!$BH$99),"")</f>
        <v>0</v>
      </c>
      <c r="BI99">
        <f ca="1">IFERROR(IF(0=LEN(ReferenceData!$BI$99),"",ReferenceData!$BI$99),"")</f>
        <v>0</v>
      </c>
      <c r="BJ99">
        <f ca="1">IFERROR(IF(0=LEN(ReferenceData!$BJ$99),"",ReferenceData!$BJ$99),"")</f>
        <v>0</v>
      </c>
      <c r="BK99">
        <f ca="1">IFERROR(IF(0=LEN(ReferenceData!$BK$99),"",ReferenceData!$BK$99),"")</f>
        <v>0</v>
      </c>
      <c r="BL99">
        <f ca="1">IFERROR(IF(0=LEN(ReferenceData!$BL$99),"",ReferenceData!$BL$99),"")</f>
        <v>0</v>
      </c>
      <c r="BM99">
        <f ca="1">IFERROR(IF(0=LEN(ReferenceData!$BM$99),"",ReferenceData!$BM$99),"")</f>
        <v>0</v>
      </c>
    </row>
    <row r="100" spans="1:65">
      <c r="A100" t="str">
        <f>IFERROR(IF(0=LEN(ReferenceData!$A$100),"",ReferenceData!$A$100),"")</f>
        <v xml:space="preserve">    Specialty REITs</v>
      </c>
      <c r="B100" t="str">
        <f>IFERROR(IF(0=LEN(ReferenceData!$B$100),"",ReferenceData!$B$100),"")</f>
        <v>RECFTASP Index</v>
      </c>
      <c r="C100" t="str">
        <f>IFERROR(IF(0=LEN(ReferenceData!$C$100),"",ReferenceData!$C$100),"")</f>
        <v/>
      </c>
      <c r="D100" t="str">
        <f>IFERROR(IF(0=LEN(ReferenceData!$D$100),"",ReferenceData!$D$100),"")</f>
        <v/>
      </c>
      <c r="E100" t="str">
        <f>IFERROR(IF(0=LEN(ReferenceData!$E$100),"",ReferenceData!$E$100),"")</f>
        <v>Expression</v>
      </c>
      <c r="F100">
        <f ca="1">IFERROR(IF(0=LEN(ReferenceData!$F$100),"",ReferenceData!$F$100),"")</f>
        <v>39.433</v>
      </c>
      <c r="G100">
        <f ca="1">IFERROR(IF(0=LEN(ReferenceData!$G$100),"",ReferenceData!$G$100),"")</f>
        <v>458.49700000000001</v>
      </c>
      <c r="H100">
        <f ca="1">IFERROR(IF(0=LEN(ReferenceData!$H$100),"",ReferenceData!$H$100),"")</f>
        <v>1564.624</v>
      </c>
      <c r="I100">
        <f ca="1">IFERROR(IF(0=LEN(ReferenceData!$I$100),"",ReferenceData!$I$100),"")</f>
        <v>494.65199999999999</v>
      </c>
      <c r="J100">
        <f ca="1">IFERROR(IF(0=LEN(ReferenceData!$J$100),"",ReferenceData!$J$100),"")</f>
        <v>112.51</v>
      </c>
      <c r="K100">
        <f ca="1">IFERROR(IF(0=LEN(ReferenceData!$K$100),"",ReferenceData!$K$100),"")</f>
        <v>409.68</v>
      </c>
      <c r="L100">
        <f ca="1">IFERROR(IF(0=LEN(ReferenceData!$L$100),"",ReferenceData!$L$100),"")</f>
        <v>4944.43</v>
      </c>
      <c r="M100">
        <f ca="1">IFERROR(IF(0=LEN(ReferenceData!$M$100),"",ReferenceData!$M$100),"")</f>
        <v>460.041</v>
      </c>
      <c r="N100">
        <f ca="1">IFERROR(IF(0=LEN(ReferenceData!$N$100),"",ReferenceData!$N$100),"")</f>
        <v>183.61500000000001</v>
      </c>
      <c r="O100">
        <f ca="1">IFERROR(IF(0=LEN(ReferenceData!$O$100),"",ReferenceData!$O$100),"")</f>
        <v>0</v>
      </c>
      <c r="P100">
        <f ca="1">IFERROR(IF(0=LEN(ReferenceData!$P$100),"",ReferenceData!$P$100),"")</f>
        <v>0</v>
      </c>
      <c r="Q100">
        <f ca="1">IFERROR(IF(0=LEN(ReferenceData!$Q$100),"",ReferenceData!$Q$100),"")</f>
        <v>0</v>
      </c>
      <c r="R100">
        <f ca="1">IFERROR(IF(0=LEN(ReferenceData!$R$100),"",ReferenceData!$R$100),"")</f>
        <v>0</v>
      </c>
      <c r="S100">
        <f ca="1">IFERROR(IF(0=LEN(ReferenceData!$S$100),"",ReferenceData!$S$100),"")</f>
        <v>0</v>
      </c>
      <c r="T100">
        <f ca="1">IFERROR(IF(0=LEN(ReferenceData!$T$100),"",ReferenceData!$T$100),"")</f>
        <v>0</v>
      </c>
      <c r="U100">
        <f ca="1">IFERROR(IF(0=LEN(ReferenceData!$U$100),"",ReferenceData!$U$100),"")</f>
        <v>0</v>
      </c>
      <c r="V100">
        <f ca="1">IFERROR(IF(0=LEN(ReferenceData!$V$100),"",ReferenceData!$V$100),"")</f>
        <v>0</v>
      </c>
      <c r="W100">
        <f ca="1">IFERROR(IF(0=LEN(ReferenceData!$W$100),"",ReferenceData!$W$100),"")</f>
        <v>0</v>
      </c>
      <c r="X100">
        <f ca="1">IFERROR(IF(0=LEN(ReferenceData!$X$100),"",ReferenceData!$X$100),"")</f>
        <v>0</v>
      </c>
      <c r="Y100">
        <f ca="1">IFERROR(IF(0=LEN(ReferenceData!$Y$100),"",ReferenceData!$Y$100),"")</f>
        <v>0</v>
      </c>
      <c r="Z100">
        <f ca="1">IFERROR(IF(0=LEN(ReferenceData!$Z$100),"",ReferenceData!$Z$100),"")</f>
        <v>0</v>
      </c>
      <c r="AA100">
        <f ca="1">IFERROR(IF(0=LEN(ReferenceData!$AA$100),"",ReferenceData!$AA$100),"")</f>
        <v>0</v>
      </c>
      <c r="AB100">
        <f ca="1">IFERROR(IF(0=LEN(ReferenceData!$AB$100),"",ReferenceData!$AB$100),"")</f>
        <v>0</v>
      </c>
      <c r="AC100">
        <f ca="1">IFERROR(IF(0=LEN(ReferenceData!$AC$100),"",ReferenceData!$AC$100),"")</f>
        <v>0</v>
      </c>
      <c r="AD100">
        <f ca="1">IFERROR(IF(0=LEN(ReferenceData!$AD$100),"",ReferenceData!$AD$100),"")</f>
        <v>0</v>
      </c>
      <c r="AE100">
        <f ca="1">IFERROR(IF(0=LEN(ReferenceData!$AE$100),"",ReferenceData!$AE$100),"")</f>
        <v>0</v>
      </c>
      <c r="AF100">
        <f ca="1">IFERROR(IF(0=LEN(ReferenceData!$AF$100),"",ReferenceData!$AF$100),"")</f>
        <v>0</v>
      </c>
      <c r="AG100">
        <f ca="1">IFERROR(IF(0=LEN(ReferenceData!$AG$100),"",ReferenceData!$AG$100),"")</f>
        <v>0</v>
      </c>
      <c r="AH100">
        <f ca="1">IFERROR(IF(0=LEN(ReferenceData!$AH$100),"",ReferenceData!$AH$100),"")</f>
        <v>0</v>
      </c>
      <c r="AI100">
        <f ca="1">IFERROR(IF(0=LEN(ReferenceData!$AI$100),"",ReferenceData!$AI$100),"")</f>
        <v>0</v>
      </c>
      <c r="AJ100">
        <f ca="1">IFERROR(IF(0=LEN(ReferenceData!$AJ$100),"",ReferenceData!$AJ$100),"")</f>
        <v>124.43600000000001</v>
      </c>
      <c r="AK100">
        <f ca="1">IFERROR(IF(0=LEN(ReferenceData!$AK$100),"",ReferenceData!$AK$100),"")</f>
        <v>155.82499999999999</v>
      </c>
      <c r="AL100">
        <f ca="1">IFERROR(IF(0=LEN(ReferenceData!$AL$100),"",ReferenceData!$AL$100),"")</f>
        <v>130</v>
      </c>
      <c r="AM100">
        <f ca="1">IFERROR(IF(0=LEN(ReferenceData!$AM$100),"",ReferenceData!$AM$100),"")</f>
        <v>0</v>
      </c>
      <c r="AN100">
        <f ca="1">IFERROR(IF(0=LEN(ReferenceData!$AN$100),"",ReferenceData!$AN$100),"")</f>
        <v>0</v>
      </c>
      <c r="AO100">
        <f ca="1">IFERROR(IF(0=LEN(ReferenceData!$AO$100),"",ReferenceData!$AO$100),"")</f>
        <v>0</v>
      </c>
      <c r="AP100">
        <f ca="1">IFERROR(IF(0=LEN(ReferenceData!$AP$100),"",ReferenceData!$AP$100),"")</f>
        <v>0</v>
      </c>
      <c r="AQ100">
        <f ca="1">IFERROR(IF(0=LEN(ReferenceData!$AQ$100),"",ReferenceData!$AQ$100),"")</f>
        <v>0</v>
      </c>
      <c r="AR100">
        <f ca="1">IFERROR(IF(0=LEN(ReferenceData!$AR$100),"",ReferenceData!$AR$100),"")</f>
        <v>238.3</v>
      </c>
      <c r="AS100">
        <f ca="1">IFERROR(IF(0=LEN(ReferenceData!$AS$100),"",ReferenceData!$AS$100),"")</f>
        <v>0</v>
      </c>
      <c r="AT100">
        <f ca="1">IFERROR(IF(0=LEN(ReferenceData!$AT$100),"",ReferenceData!$AT$100),"")</f>
        <v>39.5</v>
      </c>
      <c r="AU100">
        <f ca="1">IFERROR(IF(0=LEN(ReferenceData!$AU$100),"",ReferenceData!$AU$100),"")</f>
        <v>41.5</v>
      </c>
      <c r="AV100">
        <f ca="1">IFERROR(IF(0=LEN(ReferenceData!$AV$100),"",ReferenceData!$AV$100),"")</f>
        <v>178</v>
      </c>
      <c r="AW100">
        <f ca="1">IFERROR(IF(0=LEN(ReferenceData!$AW$100),"",ReferenceData!$AW$100),"")</f>
        <v>0</v>
      </c>
      <c r="AX100">
        <f ca="1">IFERROR(IF(0=LEN(ReferenceData!$AX$100),"",ReferenceData!$AX$100),"")</f>
        <v>27.4</v>
      </c>
      <c r="AY100">
        <f ca="1">IFERROR(IF(0=LEN(ReferenceData!$AY$100),"",ReferenceData!$AY$100),"")</f>
        <v>18.3</v>
      </c>
      <c r="AZ100">
        <f ca="1">IFERROR(IF(0=LEN(ReferenceData!$AZ$100),"",ReferenceData!$AZ$100),"")</f>
        <v>0</v>
      </c>
      <c r="BA100">
        <f ca="1">IFERROR(IF(0=LEN(ReferenceData!$BA$100),"",ReferenceData!$BA$100),"")</f>
        <v>35</v>
      </c>
      <c r="BB100">
        <f ca="1">IFERROR(IF(0=LEN(ReferenceData!$BB$100),"",ReferenceData!$BB$100),"")</f>
        <v>44.4</v>
      </c>
      <c r="BC100">
        <f ca="1">IFERROR(IF(0=LEN(ReferenceData!$BC$100),"",ReferenceData!$BC$100),"")</f>
        <v>0</v>
      </c>
      <c r="BD100">
        <f ca="1">IFERROR(IF(0=LEN(ReferenceData!$BD$100),"",ReferenceData!$BD$100),"")</f>
        <v>38.5</v>
      </c>
      <c r="BE100">
        <f ca="1">IFERROR(IF(0=LEN(ReferenceData!$BE$100),"",ReferenceData!$BE$100),"")</f>
        <v>238.892</v>
      </c>
      <c r="BF100">
        <f ca="1">IFERROR(IF(0=LEN(ReferenceData!$BF$100),"",ReferenceData!$BF$100),"")</f>
        <v>964.75400000000002</v>
      </c>
      <c r="BG100">
        <f ca="1">IFERROR(IF(0=LEN(ReferenceData!$BG$100),"",ReferenceData!$BG$100),"")</f>
        <v>654.76</v>
      </c>
      <c r="BH100">
        <f ca="1">IFERROR(IF(0=LEN(ReferenceData!$BH$100),"",ReferenceData!$BH$100),"")</f>
        <v>145.583</v>
      </c>
      <c r="BI100">
        <f ca="1">IFERROR(IF(0=LEN(ReferenceData!$BI$100),"",ReferenceData!$BI$100),"")</f>
        <v>870.625</v>
      </c>
      <c r="BJ100">
        <f ca="1">IFERROR(IF(0=LEN(ReferenceData!$BJ$100),"",ReferenceData!$BJ$100),"")</f>
        <v>133</v>
      </c>
      <c r="BK100">
        <f ca="1">IFERROR(IF(0=LEN(ReferenceData!$BK$100),"",ReferenceData!$BK$100),"")</f>
        <v>0</v>
      </c>
      <c r="BL100">
        <f ca="1">IFERROR(IF(0=LEN(ReferenceData!$BL$100),"",ReferenceData!$BL$100),"")</f>
        <v>61</v>
      </c>
      <c r="BM100">
        <f ca="1">IFERROR(IF(0=LEN(ReferenceData!$BM$100),"",ReferenceData!$BM$100),"")</f>
        <v>10.5</v>
      </c>
    </row>
    <row r="101" spans="1:65">
      <c r="A101" t="str">
        <f>IFERROR(IF(0=LEN(ReferenceData!$A$101),"",ReferenceData!$A$101),"")</f>
        <v xml:space="preserve">    </v>
      </c>
      <c r="B101" t="str">
        <f>IFERROR(IF(0=LEN(ReferenceData!$B$101),"",ReferenceData!$B$101),"")</f>
        <v/>
      </c>
      <c r="C101" t="str">
        <f>IFERROR(IF(0=LEN(ReferenceData!$C$101),"",ReferenceData!$C$101),"")</f>
        <v/>
      </c>
      <c r="D101" t="str">
        <f>IFERROR(IF(0=LEN(ReferenceData!$D$101),"",ReferenceData!$D$101),"")</f>
        <v/>
      </c>
      <c r="E101" t="str">
        <f>IFERROR(IF(0=LEN(ReferenceData!$E$101),"",ReferenceData!$E$101),"")</f>
        <v>静态</v>
      </c>
      <c r="F101" t="str">
        <f ca="1">IFERROR(IF(0=LEN(ReferenceData!$F$101),"",ReferenceData!$F$101),"")</f>
        <v/>
      </c>
      <c r="G101" t="str">
        <f ca="1">IFERROR(IF(0=LEN(ReferenceData!$G$101),"",ReferenceData!$G$101),"")</f>
        <v/>
      </c>
      <c r="H101" t="str">
        <f ca="1">IFERROR(IF(0=LEN(ReferenceData!$H$101),"",ReferenceData!$H$101),"")</f>
        <v/>
      </c>
      <c r="I101" t="str">
        <f ca="1">IFERROR(IF(0=LEN(ReferenceData!$I$101),"",ReferenceData!$I$101),"")</f>
        <v/>
      </c>
      <c r="J101" t="str">
        <f ca="1">IFERROR(IF(0=LEN(ReferenceData!$J$101),"",ReferenceData!$J$101),"")</f>
        <v/>
      </c>
      <c r="K101" t="str">
        <f ca="1">IFERROR(IF(0=LEN(ReferenceData!$K$101),"",ReferenceData!$K$101),"")</f>
        <v/>
      </c>
      <c r="L101" t="str">
        <f ca="1">IFERROR(IF(0=LEN(ReferenceData!$L$101),"",ReferenceData!$L$101),"")</f>
        <v/>
      </c>
      <c r="M101" t="str">
        <f ca="1">IFERROR(IF(0=LEN(ReferenceData!$M$101),"",ReferenceData!$M$101),"")</f>
        <v/>
      </c>
      <c r="N101" t="str">
        <f ca="1">IFERROR(IF(0=LEN(ReferenceData!$N$101),"",ReferenceData!$N$101),"")</f>
        <v/>
      </c>
      <c r="O101" t="str">
        <f ca="1">IFERROR(IF(0=LEN(ReferenceData!$O$101),"",ReferenceData!$O$101),"")</f>
        <v/>
      </c>
      <c r="P101" t="str">
        <f ca="1">IFERROR(IF(0=LEN(ReferenceData!$P$101),"",ReferenceData!$P$101),"")</f>
        <v/>
      </c>
      <c r="Q101" t="str">
        <f ca="1">IFERROR(IF(0=LEN(ReferenceData!$Q$101),"",ReferenceData!$Q$101),"")</f>
        <v/>
      </c>
      <c r="R101" t="str">
        <f ca="1">IFERROR(IF(0=LEN(ReferenceData!$R$101),"",ReferenceData!$R$101),"")</f>
        <v/>
      </c>
      <c r="S101" t="str">
        <f ca="1">IFERROR(IF(0=LEN(ReferenceData!$S$101),"",ReferenceData!$S$101),"")</f>
        <v/>
      </c>
      <c r="T101" t="str">
        <f ca="1">IFERROR(IF(0=LEN(ReferenceData!$T$101),"",ReferenceData!$T$101),"")</f>
        <v/>
      </c>
      <c r="U101" t="str">
        <f ca="1">IFERROR(IF(0=LEN(ReferenceData!$U$101),"",ReferenceData!$U$101),"")</f>
        <v/>
      </c>
      <c r="V101" t="str">
        <f ca="1">IFERROR(IF(0=LEN(ReferenceData!$V$101),"",ReferenceData!$V$101),"")</f>
        <v/>
      </c>
      <c r="W101" t="str">
        <f ca="1">IFERROR(IF(0=LEN(ReferenceData!$W$101),"",ReferenceData!$W$101),"")</f>
        <v/>
      </c>
      <c r="X101" t="str">
        <f ca="1">IFERROR(IF(0=LEN(ReferenceData!$X$101),"",ReferenceData!$X$101),"")</f>
        <v/>
      </c>
      <c r="Y101" t="str">
        <f ca="1">IFERROR(IF(0=LEN(ReferenceData!$Y$101),"",ReferenceData!$Y$101),"")</f>
        <v/>
      </c>
      <c r="Z101" t="str">
        <f ca="1">IFERROR(IF(0=LEN(ReferenceData!$Z$101),"",ReferenceData!$Z$101),"")</f>
        <v/>
      </c>
      <c r="AA101" t="str">
        <f ca="1">IFERROR(IF(0=LEN(ReferenceData!$AA$101),"",ReferenceData!$AA$101),"")</f>
        <v/>
      </c>
      <c r="AB101" t="str">
        <f ca="1">IFERROR(IF(0=LEN(ReferenceData!$AB$101),"",ReferenceData!$AB$101),"")</f>
        <v/>
      </c>
      <c r="AC101" t="str">
        <f ca="1">IFERROR(IF(0=LEN(ReferenceData!$AC$101),"",ReferenceData!$AC$101),"")</f>
        <v/>
      </c>
      <c r="AD101" t="str">
        <f ca="1">IFERROR(IF(0=LEN(ReferenceData!$AD$101),"",ReferenceData!$AD$101),"")</f>
        <v/>
      </c>
      <c r="AE101" t="str">
        <f ca="1">IFERROR(IF(0=LEN(ReferenceData!$AE$101),"",ReferenceData!$AE$101),"")</f>
        <v/>
      </c>
      <c r="AF101" t="str">
        <f ca="1">IFERROR(IF(0=LEN(ReferenceData!$AF$101),"",ReferenceData!$AF$101),"")</f>
        <v/>
      </c>
      <c r="AG101" t="str">
        <f ca="1">IFERROR(IF(0=LEN(ReferenceData!$AG$101),"",ReferenceData!$AG$101),"")</f>
        <v/>
      </c>
      <c r="AH101" t="str">
        <f ca="1">IFERROR(IF(0=LEN(ReferenceData!$AH$101),"",ReferenceData!$AH$101),"")</f>
        <v/>
      </c>
      <c r="AI101" t="str">
        <f ca="1">IFERROR(IF(0=LEN(ReferenceData!$AI$101),"",ReferenceData!$AI$101),"")</f>
        <v/>
      </c>
      <c r="AJ101" t="str">
        <f ca="1">IFERROR(IF(0=LEN(ReferenceData!$AJ$101),"",ReferenceData!$AJ$101),"")</f>
        <v/>
      </c>
      <c r="AK101" t="str">
        <f ca="1">IFERROR(IF(0=LEN(ReferenceData!$AK$101),"",ReferenceData!$AK$101),"")</f>
        <v/>
      </c>
      <c r="AL101" t="str">
        <f ca="1">IFERROR(IF(0=LEN(ReferenceData!$AL$101),"",ReferenceData!$AL$101),"")</f>
        <v/>
      </c>
      <c r="AM101" t="str">
        <f ca="1">IFERROR(IF(0=LEN(ReferenceData!$AM$101),"",ReferenceData!$AM$101),"")</f>
        <v/>
      </c>
      <c r="AN101" t="str">
        <f ca="1">IFERROR(IF(0=LEN(ReferenceData!$AN$101),"",ReferenceData!$AN$101),"")</f>
        <v/>
      </c>
      <c r="AO101" t="str">
        <f ca="1">IFERROR(IF(0=LEN(ReferenceData!$AO$101),"",ReferenceData!$AO$101),"")</f>
        <v/>
      </c>
      <c r="AP101" t="str">
        <f ca="1">IFERROR(IF(0=LEN(ReferenceData!$AP$101),"",ReferenceData!$AP$101),"")</f>
        <v/>
      </c>
      <c r="AQ101" t="str">
        <f ca="1">IFERROR(IF(0=LEN(ReferenceData!$AQ$101),"",ReferenceData!$AQ$101),"")</f>
        <v/>
      </c>
      <c r="AR101" t="str">
        <f ca="1">IFERROR(IF(0=LEN(ReferenceData!$AR$101),"",ReferenceData!$AR$101),"")</f>
        <v/>
      </c>
      <c r="AS101" t="str">
        <f ca="1">IFERROR(IF(0=LEN(ReferenceData!$AS$101),"",ReferenceData!$AS$101),"")</f>
        <v/>
      </c>
      <c r="AT101" t="str">
        <f ca="1">IFERROR(IF(0=LEN(ReferenceData!$AT$101),"",ReferenceData!$AT$101),"")</f>
        <v/>
      </c>
      <c r="AU101" t="str">
        <f ca="1">IFERROR(IF(0=LEN(ReferenceData!$AU$101),"",ReferenceData!$AU$101),"")</f>
        <v/>
      </c>
      <c r="AV101" t="str">
        <f ca="1">IFERROR(IF(0=LEN(ReferenceData!$AV$101),"",ReferenceData!$AV$101),"")</f>
        <v/>
      </c>
      <c r="AW101" t="str">
        <f ca="1">IFERROR(IF(0=LEN(ReferenceData!$AW$101),"",ReferenceData!$AW$101),"")</f>
        <v/>
      </c>
      <c r="AX101" t="str">
        <f ca="1">IFERROR(IF(0=LEN(ReferenceData!$AX$101),"",ReferenceData!$AX$101),"")</f>
        <v/>
      </c>
      <c r="AY101" t="str">
        <f ca="1">IFERROR(IF(0=LEN(ReferenceData!$AY$101),"",ReferenceData!$AY$101),"")</f>
        <v/>
      </c>
      <c r="AZ101" t="str">
        <f ca="1">IFERROR(IF(0=LEN(ReferenceData!$AZ$101),"",ReferenceData!$AZ$101),"")</f>
        <v/>
      </c>
      <c r="BA101" t="str">
        <f ca="1">IFERROR(IF(0=LEN(ReferenceData!$BA$101),"",ReferenceData!$BA$101),"")</f>
        <v/>
      </c>
      <c r="BB101" t="str">
        <f ca="1">IFERROR(IF(0=LEN(ReferenceData!$BB$101),"",ReferenceData!$BB$101),"")</f>
        <v/>
      </c>
      <c r="BC101" t="str">
        <f ca="1">IFERROR(IF(0=LEN(ReferenceData!$BC$101),"",ReferenceData!$BC$101),"")</f>
        <v/>
      </c>
      <c r="BD101" t="str">
        <f ca="1">IFERROR(IF(0=LEN(ReferenceData!$BD$101),"",ReferenceData!$BD$101),"")</f>
        <v/>
      </c>
      <c r="BE101" t="str">
        <f ca="1">IFERROR(IF(0=LEN(ReferenceData!$BE$101),"",ReferenceData!$BE$101),"")</f>
        <v/>
      </c>
      <c r="BF101" t="str">
        <f ca="1">IFERROR(IF(0=LEN(ReferenceData!$BF$101),"",ReferenceData!$BF$101),"")</f>
        <v/>
      </c>
      <c r="BG101" t="str">
        <f ca="1">IFERROR(IF(0=LEN(ReferenceData!$BG$101),"",ReferenceData!$BG$101),"")</f>
        <v/>
      </c>
      <c r="BH101" t="str">
        <f ca="1">IFERROR(IF(0=LEN(ReferenceData!$BH$101),"",ReferenceData!$BH$101),"")</f>
        <v/>
      </c>
      <c r="BI101" t="str">
        <f ca="1">IFERROR(IF(0=LEN(ReferenceData!$BI$101),"",ReferenceData!$BI$101),"")</f>
        <v/>
      </c>
      <c r="BJ101" t="str">
        <f ca="1">IFERROR(IF(0=LEN(ReferenceData!$BJ$101),"",ReferenceData!$BJ$101),"")</f>
        <v/>
      </c>
      <c r="BK101" t="str">
        <f ca="1">IFERROR(IF(0=LEN(ReferenceData!$BK$101),"",ReferenceData!$BK$101),"")</f>
        <v/>
      </c>
      <c r="BL101" t="str">
        <f ca="1">IFERROR(IF(0=LEN(ReferenceData!$BL$101),"",ReferenceData!$BL$101),"")</f>
        <v/>
      </c>
      <c r="BM101" t="str">
        <f ca="1">IFERROR(IF(0=LEN(ReferenceData!$BM$101),"",ReferenceData!$BM$101),"")</f>
        <v/>
      </c>
    </row>
    <row r="102" spans="1:65">
      <c r="A102" t="str">
        <f>IFERROR(IF(0=LEN(ReferenceData!$A$102),"",ReferenceData!$A$102),"")</f>
        <v>总处置-所有房地产投资信托</v>
      </c>
      <c r="B102" t="str">
        <f>IFERROR(IF(0=LEN(ReferenceData!$B$102),"",ReferenceData!$B$102),"")</f>
        <v>RECFDSEQ Index</v>
      </c>
      <c r="C102" t="str">
        <f>IFERROR(IF(0=LEN(ReferenceData!$C$102),"",ReferenceData!$C$102),"")</f>
        <v/>
      </c>
      <c r="D102" t="str">
        <f>IFERROR(IF(0=LEN(ReferenceData!$D$102),"",ReferenceData!$D$102),"")</f>
        <v/>
      </c>
      <c r="E102" t="str">
        <f>IFERROR(IF(0=LEN(ReferenceData!$E$102),"",ReferenceData!$E$102),"")</f>
        <v>Expression</v>
      </c>
      <c r="F102">
        <f ca="1">IFERROR(IF(0=LEN(ReferenceData!$F$102),"",ReferenceData!$F$102),"")</f>
        <v>10247.741</v>
      </c>
      <c r="G102">
        <f ca="1">IFERROR(IF(0=LEN(ReferenceData!$G$102),"",ReferenceData!$G$102),"")</f>
        <v>13552.985000000001</v>
      </c>
      <c r="H102">
        <f ca="1">IFERROR(IF(0=LEN(ReferenceData!$H$102),"",ReferenceData!$H$102),"")</f>
        <v>10308.040000000001</v>
      </c>
      <c r="I102">
        <f ca="1">IFERROR(IF(0=LEN(ReferenceData!$I$102),"",ReferenceData!$I$102),"")</f>
        <v>11232.778</v>
      </c>
      <c r="J102">
        <f ca="1">IFERROR(IF(0=LEN(ReferenceData!$J$102),"",ReferenceData!$J$102),"")</f>
        <v>10998.668</v>
      </c>
      <c r="K102">
        <f ca="1">IFERROR(IF(0=LEN(ReferenceData!$K$102),"",ReferenceData!$K$102),"")</f>
        <v>14313.844999999999</v>
      </c>
      <c r="L102">
        <f ca="1">IFERROR(IF(0=LEN(ReferenceData!$L$102),"",ReferenceData!$L$102),"")</f>
        <v>12727.74</v>
      </c>
      <c r="M102">
        <f ca="1">IFERROR(IF(0=LEN(ReferenceData!$M$102),"",ReferenceData!$M$102),"")</f>
        <v>17893.911</v>
      </c>
      <c r="N102">
        <f ca="1">IFERROR(IF(0=LEN(ReferenceData!$N$102),"",ReferenceData!$N$102),"")</f>
        <v>13635.867</v>
      </c>
      <c r="O102">
        <f ca="1">IFERROR(IF(0=LEN(ReferenceData!$O$102),"",ReferenceData!$O$102),"")</f>
        <v>7080.6760000000004</v>
      </c>
      <c r="P102">
        <f ca="1">IFERROR(IF(0=LEN(ReferenceData!$P$102),"",ReferenceData!$P$102),"")</f>
        <v>10890.209000000001</v>
      </c>
      <c r="Q102">
        <f ca="1">IFERROR(IF(0=LEN(ReferenceData!$Q$102),"",ReferenceData!$Q$102),"")</f>
        <v>8355.5689999999995</v>
      </c>
      <c r="R102">
        <f ca="1">IFERROR(IF(0=LEN(ReferenceData!$R$102),"",ReferenceData!$R$102),"")</f>
        <v>17356.365000000002</v>
      </c>
      <c r="S102">
        <f ca="1">IFERROR(IF(0=LEN(ReferenceData!$S$102),"",ReferenceData!$S$102),"")</f>
        <v>7329.8109999999997</v>
      </c>
      <c r="T102">
        <f ca="1">IFERROR(IF(0=LEN(ReferenceData!$T$102),"",ReferenceData!$T$102),"")</f>
        <v>6762.4</v>
      </c>
      <c r="U102">
        <f ca="1">IFERROR(IF(0=LEN(ReferenceData!$U$102),"",ReferenceData!$U$102),"")</f>
        <v>5880.2939999999999</v>
      </c>
      <c r="V102">
        <f ca="1">IFERROR(IF(0=LEN(ReferenceData!$V$102),"",ReferenceData!$V$102),"")</f>
        <v>9934.8880000000008</v>
      </c>
      <c r="W102">
        <f ca="1">IFERROR(IF(0=LEN(ReferenceData!$W$102),"",ReferenceData!$W$102),"")</f>
        <v>6669.4480000000003</v>
      </c>
      <c r="X102">
        <f ca="1">IFERROR(IF(0=LEN(ReferenceData!$X$102),"",ReferenceData!$X$102),"")</f>
        <v>8773.4779999999992</v>
      </c>
      <c r="Y102">
        <f ca="1">IFERROR(IF(0=LEN(ReferenceData!$Y$102),"",ReferenceData!$Y$102),"")</f>
        <v>7101.2139999999999</v>
      </c>
      <c r="Z102">
        <f ca="1">IFERROR(IF(0=LEN(ReferenceData!$Z$102),"",ReferenceData!$Z$102),"")</f>
        <v>9358.732</v>
      </c>
      <c r="AA102">
        <f ca="1">IFERROR(IF(0=LEN(ReferenceData!$AA$102),"",ReferenceData!$AA$102),"")</f>
        <v>4550.7190000000001</v>
      </c>
      <c r="AB102">
        <f ca="1">IFERROR(IF(0=LEN(ReferenceData!$AB$102),"",ReferenceData!$AB$102),"")</f>
        <v>4387.7920000000004</v>
      </c>
      <c r="AC102">
        <f ca="1">IFERROR(IF(0=LEN(ReferenceData!$AC$102),"",ReferenceData!$AC$102),"")</f>
        <v>4468.4080000000004</v>
      </c>
      <c r="AD102">
        <f ca="1">IFERROR(IF(0=LEN(ReferenceData!$AD$102),"",ReferenceData!$AD$102),"")</f>
        <v>6396.9679999999998</v>
      </c>
      <c r="AE102">
        <f ca="1">IFERROR(IF(0=LEN(ReferenceData!$AE$102),"",ReferenceData!$AE$102),"")</f>
        <v>3060.7339999999999</v>
      </c>
      <c r="AF102">
        <f ca="1">IFERROR(IF(0=LEN(ReferenceData!$AF$102),"",ReferenceData!$AF$102),"")</f>
        <v>4275.0590000000002</v>
      </c>
      <c r="AG102">
        <f ca="1">IFERROR(IF(0=LEN(ReferenceData!$AG$102),"",ReferenceData!$AG$102),"")</f>
        <v>2586.7249999999999</v>
      </c>
      <c r="AH102">
        <f ca="1">IFERROR(IF(0=LEN(ReferenceData!$AH$102),"",ReferenceData!$AH$102),"")</f>
        <v>4637.7030000000004</v>
      </c>
      <c r="AI102">
        <f ca="1">IFERROR(IF(0=LEN(ReferenceData!$AI$102),"",ReferenceData!$AI$102),"")</f>
        <v>3268.375</v>
      </c>
      <c r="AJ102">
        <f ca="1">IFERROR(IF(0=LEN(ReferenceData!$AJ$102),"",ReferenceData!$AJ$102),"")</f>
        <v>2966.8530000000001</v>
      </c>
      <c r="AK102">
        <f ca="1">IFERROR(IF(0=LEN(ReferenceData!$AK$102),"",ReferenceData!$AK$102),"")</f>
        <v>1445.17</v>
      </c>
      <c r="AL102">
        <f ca="1">IFERROR(IF(0=LEN(ReferenceData!$AL$102),"",ReferenceData!$AL$102),"")</f>
        <v>2904.355</v>
      </c>
      <c r="AM102">
        <f ca="1">IFERROR(IF(0=LEN(ReferenceData!$AM$102),"",ReferenceData!$AM$102),"")</f>
        <v>2237.8440000000001</v>
      </c>
      <c r="AN102">
        <f ca="1">IFERROR(IF(0=LEN(ReferenceData!$AN$102),"",ReferenceData!$AN$102),"")</f>
        <v>2740.23</v>
      </c>
      <c r="AO102">
        <f ca="1">IFERROR(IF(0=LEN(ReferenceData!$AO$102),"",ReferenceData!$AO$102),"")</f>
        <v>2896.1849999999999</v>
      </c>
      <c r="AP102">
        <f ca="1">IFERROR(IF(0=LEN(ReferenceData!$AP$102),"",ReferenceData!$AP$102),"")</f>
        <v>4356.8329999999996</v>
      </c>
      <c r="AQ102">
        <f ca="1">IFERROR(IF(0=LEN(ReferenceData!$AQ$102),"",ReferenceData!$AQ$102),"")</f>
        <v>4071.4209999999998</v>
      </c>
      <c r="AR102">
        <f ca="1">IFERROR(IF(0=LEN(ReferenceData!$AR$102),"",ReferenceData!$AR$102),"")</f>
        <v>6271.1180000000004</v>
      </c>
      <c r="AS102">
        <f ca="1">IFERROR(IF(0=LEN(ReferenceData!$AS$102),"",ReferenceData!$AS$102),"")</f>
        <v>5843.8109999999997</v>
      </c>
      <c r="AT102">
        <f ca="1">IFERROR(IF(0=LEN(ReferenceData!$AT$102),"",ReferenceData!$AT$102),"")</f>
        <v>4704.5209999999997</v>
      </c>
      <c r="AU102">
        <f ca="1">IFERROR(IF(0=LEN(ReferenceData!$AU$102),"",ReferenceData!$AU$102),"")</f>
        <v>9073.0759999999991</v>
      </c>
      <c r="AV102">
        <f ca="1">IFERROR(IF(0=LEN(ReferenceData!$AV$102),"",ReferenceData!$AV$102),"")</f>
        <v>8297.48</v>
      </c>
      <c r="AW102">
        <f ca="1">IFERROR(IF(0=LEN(ReferenceData!$AW$102),"",ReferenceData!$AW$102),"")</f>
        <v>6939.0649999999996</v>
      </c>
      <c r="AX102">
        <f ca="1">IFERROR(IF(0=LEN(ReferenceData!$AX$102),"",ReferenceData!$AX$102),"")</f>
        <v>10063.036</v>
      </c>
      <c r="AY102">
        <f ca="1">IFERROR(IF(0=LEN(ReferenceData!$AY$102),"",ReferenceData!$AY$102),"")</f>
        <v>5253.5889999999999</v>
      </c>
      <c r="AZ102">
        <f ca="1">IFERROR(IF(0=LEN(ReferenceData!$AZ$102),"",ReferenceData!$AZ$102),"")</f>
        <v>6450.7449999999999</v>
      </c>
      <c r="BA102">
        <f ca="1">IFERROR(IF(0=LEN(ReferenceData!$BA$102),"",ReferenceData!$BA$102),"")</f>
        <v>6125.5609999999997</v>
      </c>
      <c r="BB102">
        <f ca="1">IFERROR(IF(0=LEN(ReferenceData!$BB$102),"",ReferenceData!$BB$102),"")</f>
        <v>7788.232</v>
      </c>
      <c r="BC102">
        <f ca="1">IFERROR(IF(0=LEN(ReferenceData!$BC$102),"",ReferenceData!$BC$102),"")</f>
        <v>7265.723</v>
      </c>
      <c r="BD102">
        <f ca="1">IFERROR(IF(0=LEN(ReferenceData!$BD$102),"",ReferenceData!$BD$102),"")</f>
        <v>5454.4430000000002</v>
      </c>
      <c r="BE102">
        <f ca="1">IFERROR(IF(0=LEN(ReferenceData!$BE$102),"",ReferenceData!$BE$102),"")</f>
        <v>3721.431</v>
      </c>
      <c r="BF102">
        <f ca="1">IFERROR(IF(0=LEN(ReferenceData!$BF$102),"",ReferenceData!$BF$102),"")</f>
        <v>4690.8310000000001</v>
      </c>
      <c r="BG102">
        <f ca="1">IFERROR(IF(0=LEN(ReferenceData!$BG$102),"",ReferenceData!$BG$102),"")</f>
        <v>3545.4760000000001</v>
      </c>
      <c r="BH102">
        <f ca="1">IFERROR(IF(0=LEN(ReferenceData!$BH$102),"",ReferenceData!$BH$102),"")</f>
        <v>2724.52</v>
      </c>
      <c r="BI102">
        <f ca="1">IFERROR(IF(0=LEN(ReferenceData!$BI$102),"",ReferenceData!$BI$102),"")</f>
        <v>2015.1010000000001</v>
      </c>
      <c r="BJ102">
        <f ca="1">IFERROR(IF(0=LEN(ReferenceData!$BJ$102),"",ReferenceData!$BJ$102),"")</f>
        <v>1269.8810000000001</v>
      </c>
      <c r="BK102">
        <f ca="1">IFERROR(IF(0=LEN(ReferenceData!$BK$102),"",ReferenceData!$BK$102),"")</f>
        <v>331.16199999999998</v>
      </c>
      <c r="BL102">
        <f ca="1">IFERROR(IF(0=LEN(ReferenceData!$BL$102),"",ReferenceData!$BL$102),"")</f>
        <v>208.88499999999999</v>
      </c>
      <c r="BM102">
        <f ca="1">IFERROR(IF(0=LEN(ReferenceData!$BM$102),"",ReferenceData!$BM$102),"")</f>
        <v>959.71900000000005</v>
      </c>
    </row>
    <row r="103" spans="1:65">
      <c r="A103" t="str">
        <f>IFERROR(IF(0=LEN(ReferenceData!$A$103),"",ReferenceData!$A$103),"")</f>
        <v xml:space="preserve">    Office REITs</v>
      </c>
      <c r="B103" t="str">
        <f>IFERROR(IF(0=LEN(ReferenceData!$B$103),"",ReferenceData!$B$103),"")</f>
        <v>RECFDSOF Index</v>
      </c>
      <c r="C103" t="str">
        <f>IFERROR(IF(0=LEN(ReferenceData!$C$103),"",ReferenceData!$C$103),"")</f>
        <v/>
      </c>
      <c r="D103" t="str">
        <f>IFERROR(IF(0=LEN(ReferenceData!$D$103),"",ReferenceData!$D$103),"")</f>
        <v/>
      </c>
      <c r="E103" t="str">
        <f>IFERROR(IF(0=LEN(ReferenceData!$E$103),"",ReferenceData!$E$103),"")</f>
        <v>Expression</v>
      </c>
      <c r="F103">
        <f ca="1">IFERROR(IF(0=LEN(ReferenceData!$F$103),"",ReferenceData!$F$103),"")</f>
        <v>3481.201</v>
      </c>
      <c r="G103">
        <f ca="1">IFERROR(IF(0=LEN(ReferenceData!$G$103),"",ReferenceData!$G$103),"")</f>
        <v>2442.4810000000002</v>
      </c>
      <c r="H103">
        <f ca="1">IFERROR(IF(0=LEN(ReferenceData!$H$103),"",ReferenceData!$H$103),"")</f>
        <v>1791.797</v>
      </c>
      <c r="I103">
        <f ca="1">IFERROR(IF(0=LEN(ReferenceData!$I$103),"",ReferenceData!$I$103),"")</f>
        <v>1815.7739999999999</v>
      </c>
      <c r="J103">
        <f ca="1">IFERROR(IF(0=LEN(ReferenceData!$J$103),"",ReferenceData!$J$103),"")</f>
        <v>1359.627</v>
      </c>
      <c r="K103">
        <f ca="1">IFERROR(IF(0=LEN(ReferenceData!$K$103),"",ReferenceData!$K$103),"")</f>
        <v>5137.1899999999996</v>
      </c>
      <c r="L103">
        <f ca="1">IFERROR(IF(0=LEN(ReferenceData!$L$103),"",ReferenceData!$L$103),"")</f>
        <v>4196.3590000000004</v>
      </c>
      <c r="M103">
        <f ca="1">IFERROR(IF(0=LEN(ReferenceData!$M$103),"",ReferenceData!$M$103),"")</f>
        <v>4357.4139999999998</v>
      </c>
      <c r="N103">
        <f ca="1">IFERROR(IF(0=LEN(ReferenceData!$N$103),"",ReferenceData!$N$103),"")</f>
        <v>3327.2629999999999</v>
      </c>
      <c r="O103">
        <f ca="1">IFERROR(IF(0=LEN(ReferenceData!$O$103),"",ReferenceData!$O$103),"")</f>
        <v>3079.549</v>
      </c>
      <c r="P103">
        <f ca="1">IFERROR(IF(0=LEN(ReferenceData!$P$103),"",ReferenceData!$P$103),"")</f>
        <v>1945.999</v>
      </c>
      <c r="Q103">
        <f ca="1">IFERROR(IF(0=LEN(ReferenceData!$Q$103),"",ReferenceData!$Q$103),"")</f>
        <v>1094.021</v>
      </c>
      <c r="R103">
        <f ca="1">IFERROR(IF(0=LEN(ReferenceData!$R$103),"",ReferenceData!$R$103),"")</f>
        <v>6330.97</v>
      </c>
      <c r="S103">
        <f ca="1">IFERROR(IF(0=LEN(ReferenceData!$S$103),"",ReferenceData!$S$103),"")</f>
        <v>1727.183</v>
      </c>
      <c r="T103">
        <f ca="1">IFERROR(IF(0=LEN(ReferenceData!$T$103),"",ReferenceData!$T$103),"")</f>
        <v>869.447</v>
      </c>
      <c r="U103">
        <f ca="1">IFERROR(IF(0=LEN(ReferenceData!$U$103),"",ReferenceData!$U$103),"")</f>
        <v>1262.499</v>
      </c>
      <c r="V103">
        <f ca="1">IFERROR(IF(0=LEN(ReferenceData!$V$103),"",ReferenceData!$V$103),"")</f>
        <v>2428.52</v>
      </c>
      <c r="W103">
        <f ca="1">IFERROR(IF(0=LEN(ReferenceData!$W$103),"",ReferenceData!$W$103),"")</f>
        <v>930.94399999999996</v>
      </c>
      <c r="X103">
        <f ca="1">IFERROR(IF(0=LEN(ReferenceData!$X$103),"",ReferenceData!$X$103),"")</f>
        <v>1352.7180000000001</v>
      </c>
      <c r="Y103">
        <f ca="1">IFERROR(IF(0=LEN(ReferenceData!$Y$103),"",ReferenceData!$Y$103),"")</f>
        <v>354.43200000000002</v>
      </c>
      <c r="Z103">
        <f ca="1">IFERROR(IF(0=LEN(ReferenceData!$Z$103),"",ReferenceData!$Z$103),"")</f>
        <v>1434.434</v>
      </c>
      <c r="AA103">
        <f ca="1">IFERROR(IF(0=LEN(ReferenceData!$AA$103),"",ReferenceData!$AA$103),"")</f>
        <v>1384.979</v>
      </c>
      <c r="AB103">
        <f ca="1">IFERROR(IF(0=LEN(ReferenceData!$AB$103),"",ReferenceData!$AB$103),"")</f>
        <v>1189.6189999999999</v>
      </c>
      <c r="AC103">
        <f ca="1">IFERROR(IF(0=LEN(ReferenceData!$AC$103),"",ReferenceData!$AC$103),"")</f>
        <v>987.58900000000006</v>
      </c>
      <c r="AD103">
        <f ca="1">IFERROR(IF(0=LEN(ReferenceData!$AD$103),"",ReferenceData!$AD$103),"")</f>
        <v>1485.605</v>
      </c>
      <c r="AE103">
        <f ca="1">IFERROR(IF(0=LEN(ReferenceData!$AE$103),"",ReferenceData!$AE$103),"")</f>
        <v>798.03200000000004</v>
      </c>
      <c r="AF103">
        <f ca="1">IFERROR(IF(0=LEN(ReferenceData!$AF$103),"",ReferenceData!$AF$103),"")</f>
        <v>872.09199999999998</v>
      </c>
      <c r="AG103">
        <f ca="1">IFERROR(IF(0=LEN(ReferenceData!$AG$103),"",ReferenceData!$AG$103),"")</f>
        <v>187.52699999999999</v>
      </c>
      <c r="AH103">
        <f ca="1">IFERROR(IF(0=LEN(ReferenceData!$AH$103),"",ReferenceData!$AH$103),"")</f>
        <v>786.36900000000003</v>
      </c>
      <c r="AI103">
        <f ca="1">IFERROR(IF(0=LEN(ReferenceData!$AI$103),"",ReferenceData!$AI$103),"")</f>
        <v>450.11</v>
      </c>
      <c r="AJ103">
        <f ca="1">IFERROR(IF(0=LEN(ReferenceData!$AJ$103),"",ReferenceData!$AJ$103),"")</f>
        <v>1556.8879999999999</v>
      </c>
      <c r="AK103">
        <f ca="1">IFERROR(IF(0=LEN(ReferenceData!$AK$103),"",ReferenceData!$AK$103),"")</f>
        <v>143.51</v>
      </c>
      <c r="AL103">
        <f ca="1">IFERROR(IF(0=LEN(ReferenceData!$AL$103),"",ReferenceData!$AL$103),"")</f>
        <v>320.61099999999999</v>
      </c>
      <c r="AM103">
        <f ca="1">IFERROR(IF(0=LEN(ReferenceData!$AM$103),"",ReferenceData!$AM$103),"")</f>
        <v>189.43199999999999</v>
      </c>
      <c r="AN103">
        <f ca="1">IFERROR(IF(0=LEN(ReferenceData!$AN$103),"",ReferenceData!$AN$103),"")</f>
        <v>432.613</v>
      </c>
      <c r="AO103">
        <f ca="1">IFERROR(IF(0=LEN(ReferenceData!$AO$103),"",ReferenceData!$AO$103),"")</f>
        <v>303.71600000000001</v>
      </c>
      <c r="AP103">
        <f ca="1">IFERROR(IF(0=LEN(ReferenceData!$AP$103),"",ReferenceData!$AP$103),"")</f>
        <v>920.08299999999997</v>
      </c>
      <c r="AQ103">
        <f ca="1">IFERROR(IF(0=LEN(ReferenceData!$AQ$103),"",ReferenceData!$AQ$103),"")</f>
        <v>243.37299999999999</v>
      </c>
      <c r="AR103">
        <f ca="1">IFERROR(IF(0=LEN(ReferenceData!$AR$103),"",ReferenceData!$AR$103),"")</f>
        <v>500.10500000000002</v>
      </c>
      <c r="AS103">
        <f ca="1">IFERROR(IF(0=LEN(ReferenceData!$AS$103),"",ReferenceData!$AS$103),"")</f>
        <v>502.1</v>
      </c>
      <c r="AT103">
        <f ca="1">IFERROR(IF(0=LEN(ReferenceData!$AT$103),"",ReferenceData!$AT$103),"")</f>
        <v>715.92399999999998</v>
      </c>
      <c r="AU103">
        <f ca="1">IFERROR(IF(0=LEN(ReferenceData!$AU$103),"",ReferenceData!$AU$103),"")</f>
        <v>956.36099999999999</v>
      </c>
      <c r="AV103">
        <f ca="1">IFERROR(IF(0=LEN(ReferenceData!$AV$103),"",ReferenceData!$AV$103),"")</f>
        <v>1111.5899999999999</v>
      </c>
      <c r="AW103">
        <f ca="1">IFERROR(IF(0=LEN(ReferenceData!$AW$103),"",ReferenceData!$AW$103),"")</f>
        <v>2574.1709999999998</v>
      </c>
      <c r="AX103">
        <f ca="1">IFERROR(IF(0=LEN(ReferenceData!$AX$103),"",ReferenceData!$AX$103),"")</f>
        <v>3407.8449999999998</v>
      </c>
      <c r="AY103">
        <f ca="1">IFERROR(IF(0=LEN(ReferenceData!$AY$103),"",ReferenceData!$AY$103),"")</f>
        <v>1112.4469999999999</v>
      </c>
      <c r="AZ103">
        <f ca="1">IFERROR(IF(0=LEN(ReferenceData!$AZ$103),"",ReferenceData!$AZ$103),"")</f>
        <v>2125.0790000000002</v>
      </c>
      <c r="BA103">
        <f ca="1">IFERROR(IF(0=LEN(ReferenceData!$BA$103),"",ReferenceData!$BA$103),"")</f>
        <v>918.721</v>
      </c>
      <c r="BB103">
        <f ca="1">IFERROR(IF(0=LEN(ReferenceData!$BB$103),"",ReferenceData!$BB$103),"")</f>
        <v>2911.5360000000001</v>
      </c>
      <c r="BC103">
        <f ca="1">IFERROR(IF(0=LEN(ReferenceData!$BC$103),"",ReferenceData!$BC$103),"")</f>
        <v>2049.7849999999999</v>
      </c>
      <c r="BD103">
        <f ca="1">IFERROR(IF(0=LEN(ReferenceData!$BD$103),"",ReferenceData!$BD$103),"")</f>
        <v>2292.0320000000002</v>
      </c>
      <c r="BE103">
        <f ca="1">IFERROR(IF(0=LEN(ReferenceData!$BE$103),"",ReferenceData!$BE$103),"")</f>
        <v>765.63499999999999</v>
      </c>
      <c r="BF103">
        <f ca="1">IFERROR(IF(0=LEN(ReferenceData!$BF$103),"",ReferenceData!$BF$103),"")</f>
        <v>1319.269</v>
      </c>
      <c r="BG103">
        <f ca="1">IFERROR(IF(0=LEN(ReferenceData!$BG$103),"",ReferenceData!$BG$103),"")</f>
        <v>681.99</v>
      </c>
      <c r="BH103">
        <f ca="1">IFERROR(IF(0=LEN(ReferenceData!$BH$103),"",ReferenceData!$BH$103),"")</f>
        <v>695.28599999999994</v>
      </c>
      <c r="BI103">
        <f ca="1">IFERROR(IF(0=LEN(ReferenceData!$BI$103),"",ReferenceData!$BI$103),"")</f>
        <v>404.26299999999998</v>
      </c>
      <c r="BJ103">
        <f ca="1">IFERROR(IF(0=LEN(ReferenceData!$BJ$103),"",ReferenceData!$BJ$103),"")</f>
        <v>569.375</v>
      </c>
      <c r="BK103">
        <f ca="1">IFERROR(IF(0=LEN(ReferenceData!$BK$103),"",ReferenceData!$BK$103),"")</f>
        <v>133.66200000000001</v>
      </c>
      <c r="BL103">
        <f ca="1">IFERROR(IF(0=LEN(ReferenceData!$BL$103),"",ReferenceData!$BL$103),"")</f>
        <v>31.085000000000001</v>
      </c>
      <c r="BM103">
        <f ca="1">IFERROR(IF(0=LEN(ReferenceData!$BM$103),"",ReferenceData!$BM$103),"")</f>
        <v>561.96699999999998</v>
      </c>
    </row>
    <row r="104" spans="1:65">
      <c r="A104" t="str">
        <f>IFERROR(IF(0=LEN(ReferenceData!$A$104),"",ReferenceData!$A$104),"")</f>
        <v xml:space="preserve">    Industrial REITs</v>
      </c>
      <c r="B104" t="str">
        <f>IFERROR(IF(0=LEN(ReferenceData!$B$104),"",ReferenceData!$B$104),"")</f>
        <v>RECFDSIN Index</v>
      </c>
      <c r="C104" t="str">
        <f>IFERROR(IF(0=LEN(ReferenceData!$C$104),"",ReferenceData!$C$104),"")</f>
        <v/>
      </c>
      <c r="D104" t="str">
        <f>IFERROR(IF(0=LEN(ReferenceData!$D$104),"",ReferenceData!$D$104),"")</f>
        <v/>
      </c>
      <c r="E104" t="str">
        <f>IFERROR(IF(0=LEN(ReferenceData!$E$104),"",ReferenceData!$E$104),"")</f>
        <v>Expression</v>
      </c>
      <c r="F104">
        <f ca="1">IFERROR(IF(0=LEN(ReferenceData!$F$104),"",ReferenceData!$F$104),"")</f>
        <v>1687.569</v>
      </c>
      <c r="G104">
        <f ca="1">IFERROR(IF(0=LEN(ReferenceData!$G$104),"",ReferenceData!$G$104),"")</f>
        <v>803.17100000000005</v>
      </c>
      <c r="H104">
        <f ca="1">IFERROR(IF(0=LEN(ReferenceData!$H$104),"",ReferenceData!$H$104),"")</f>
        <v>3293.2460000000001</v>
      </c>
      <c r="I104">
        <f ca="1">IFERROR(IF(0=LEN(ReferenceData!$I$104),"",ReferenceData!$I$104),"")</f>
        <v>364.00799999999998</v>
      </c>
      <c r="J104">
        <f ca="1">IFERROR(IF(0=LEN(ReferenceData!$J$104),"",ReferenceData!$J$104),"")</f>
        <v>1878.9349999999999</v>
      </c>
      <c r="K104">
        <f ca="1">IFERROR(IF(0=LEN(ReferenceData!$K$104),"",ReferenceData!$K$104),"")</f>
        <v>917.43899999999996</v>
      </c>
      <c r="L104">
        <f ca="1">IFERROR(IF(0=LEN(ReferenceData!$L$104),"",ReferenceData!$L$104),"")</f>
        <v>1127.3520000000001</v>
      </c>
      <c r="M104">
        <f ca="1">IFERROR(IF(0=LEN(ReferenceData!$M$104),"",ReferenceData!$M$104),"")</f>
        <v>812.69500000000005</v>
      </c>
      <c r="N104">
        <f ca="1">IFERROR(IF(0=LEN(ReferenceData!$N$104),"",ReferenceData!$N$104),"")</f>
        <v>1502.346</v>
      </c>
      <c r="O104">
        <f ca="1">IFERROR(IF(0=LEN(ReferenceData!$O$104),"",ReferenceData!$O$104),"")</f>
        <v>980.95799999999997</v>
      </c>
      <c r="P104">
        <f ca="1">IFERROR(IF(0=LEN(ReferenceData!$P$104),"",ReferenceData!$P$104),"")</f>
        <v>1807.7750000000001</v>
      </c>
      <c r="Q104">
        <f ca="1">IFERROR(IF(0=LEN(ReferenceData!$Q$104),"",ReferenceData!$Q$104),"")</f>
        <v>824.19500000000005</v>
      </c>
      <c r="R104">
        <f ca="1">IFERROR(IF(0=LEN(ReferenceData!$R$104),"",ReferenceData!$R$104),"")</f>
        <v>1397.99</v>
      </c>
      <c r="S104">
        <f ca="1">IFERROR(IF(0=LEN(ReferenceData!$S$104),"",ReferenceData!$S$104),"")</f>
        <v>721.43299999999999</v>
      </c>
      <c r="T104">
        <f ca="1">IFERROR(IF(0=LEN(ReferenceData!$T$104),"",ReferenceData!$T$104),"")</f>
        <v>996.07399999999996</v>
      </c>
      <c r="U104">
        <f ca="1">IFERROR(IF(0=LEN(ReferenceData!$U$104),"",ReferenceData!$U$104),"")</f>
        <v>565.15200000000004</v>
      </c>
      <c r="V104">
        <f ca="1">IFERROR(IF(0=LEN(ReferenceData!$V$104),"",ReferenceData!$V$104),"")</f>
        <v>1480.3689999999999</v>
      </c>
      <c r="W104">
        <f ca="1">IFERROR(IF(0=LEN(ReferenceData!$W$104),"",ReferenceData!$W$104),"")</f>
        <v>665.17200000000003</v>
      </c>
      <c r="X104">
        <f ca="1">IFERROR(IF(0=LEN(ReferenceData!$X$104),"",ReferenceData!$X$104),"")</f>
        <v>797.47</v>
      </c>
      <c r="Y104">
        <f ca="1">IFERROR(IF(0=LEN(ReferenceData!$Y$104),"",ReferenceData!$Y$104),"")</f>
        <v>508.904</v>
      </c>
      <c r="Z104">
        <f ca="1">IFERROR(IF(0=LEN(ReferenceData!$Z$104),"",ReferenceData!$Z$104),"")</f>
        <v>1033.579</v>
      </c>
      <c r="AA104">
        <f ca="1">IFERROR(IF(0=LEN(ReferenceData!$AA$104),"",ReferenceData!$AA$104),"")</f>
        <v>234.131</v>
      </c>
      <c r="AB104">
        <f ca="1">IFERROR(IF(0=LEN(ReferenceData!$AB$104),"",ReferenceData!$AB$104),"")</f>
        <v>450.608</v>
      </c>
      <c r="AC104">
        <f ca="1">IFERROR(IF(0=LEN(ReferenceData!$AC$104),"",ReferenceData!$AC$104),"")</f>
        <v>1059.0889999999999</v>
      </c>
      <c r="AD104">
        <f ca="1">IFERROR(IF(0=LEN(ReferenceData!$AD$104),"",ReferenceData!$AD$104),"")</f>
        <v>1593.972</v>
      </c>
      <c r="AE104">
        <f ca="1">IFERROR(IF(0=LEN(ReferenceData!$AE$104),"",ReferenceData!$AE$104),"")</f>
        <v>389.565</v>
      </c>
      <c r="AF104">
        <f ca="1">IFERROR(IF(0=LEN(ReferenceData!$AF$104),"",ReferenceData!$AF$104),"")</f>
        <v>473.12200000000001</v>
      </c>
      <c r="AG104">
        <f ca="1">IFERROR(IF(0=LEN(ReferenceData!$AG$104),"",ReferenceData!$AG$104),"")</f>
        <v>943.60400000000004</v>
      </c>
      <c r="AH104">
        <f ca="1">IFERROR(IF(0=LEN(ReferenceData!$AH$104),"",ReferenceData!$AH$104),"")</f>
        <v>1476.59</v>
      </c>
      <c r="AI104">
        <f ca="1">IFERROR(IF(0=LEN(ReferenceData!$AI$104),"",ReferenceData!$AI$104),"")</f>
        <v>443.41399999999999</v>
      </c>
      <c r="AJ104">
        <f ca="1">IFERROR(IF(0=LEN(ReferenceData!$AJ$104),"",ReferenceData!$AJ$104),"")</f>
        <v>146.49100000000001</v>
      </c>
      <c r="AK104">
        <f ca="1">IFERROR(IF(0=LEN(ReferenceData!$AK$104),"",ReferenceData!$AK$104),"")</f>
        <v>276.76</v>
      </c>
      <c r="AL104">
        <f ca="1">IFERROR(IF(0=LEN(ReferenceData!$AL$104),"",ReferenceData!$AL$104),"")</f>
        <v>620.74599999999998</v>
      </c>
      <c r="AM104">
        <f ca="1">IFERROR(IF(0=LEN(ReferenceData!$AM$104),"",ReferenceData!$AM$104),"")</f>
        <v>338.55599999999998</v>
      </c>
      <c r="AN104">
        <f ca="1">IFERROR(IF(0=LEN(ReferenceData!$AN$104),"",ReferenceData!$AN$104),"")</f>
        <v>1039.9760000000001</v>
      </c>
      <c r="AO104">
        <f ca="1">IFERROR(IF(0=LEN(ReferenceData!$AO$104),"",ReferenceData!$AO$104),"")</f>
        <v>1646.4939999999999</v>
      </c>
      <c r="AP104">
        <f ca="1">IFERROR(IF(0=LEN(ReferenceData!$AP$104),"",ReferenceData!$AP$104),"")</f>
        <v>1524.308</v>
      </c>
      <c r="AQ104">
        <f ca="1">IFERROR(IF(0=LEN(ReferenceData!$AQ$104),"",ReferenceData!$AQ$104),"")</f>
        <v>1191.845</v>
      </c>
      <c r="AR104">
        <f ca="1">IFERROR(IF(0=LEN(ReferenceData!$AR$104),"",ReferenceData!$AR$104),"")</f>
        <v>1882.229</v>
      </c>
      <c r="AS104">
        <f ca="1">IFERROR(IF(0=LEN(ReferenceData!$AS$104),"",ReferenceData!$AS$104),"")</f>
        <v>1823.9970000000001</v>
      </c>
      <c r="AT104">
        <f ca="1">IFERROR(IF(0=LEN(ReferenceData!$AT$104),"",ReferenceData!$AT$104),"")</f>
        <v>1320.9369999999999</v>
      </c>
      <c r="AU104">
        <f ca="1">IFERROR(IF(0=LEN(ReferenceData!$AU$104),"",ReferenceData!$AU$104),"")</f>
        <v>4571.308</v>
      </c>
      <c r="AV104">
        <f ca="1">IFERROR(IF(0=LEN(ReferenceData!$AV$104),"",ReferenceData!$AV$104),"")</f>
        <v>2154.3240000000001</v>
      </c>
      <c r="AW104">
        <f ca="1">IFERROR(IF(0=LEN(ReferenceData!$AW$104),"",ReferenceData!$AW$104),"")</f>
        <v>1529.38</v>
      </c>
      <c r="AX104">
        <f ca="1">IFERROR(IF(0=LEN(ReferenceData!$AX$104),"",ReferenceData!$AX$104),"")</f>
        <v>1271.8889999999999</v>
      </c>
      <c r="AY104">
        <f ca="1">IFERROR(IF(0=LEN(ReferenceData!$AY$104),"",ReferenceData!$AY$104),"")</f>
        <v>935.16300000000001</v>
      </c>
      <c r="AZ104">
        <f ca="1">IFERROR(IF(0=LEN(ReferenceData!$AZ$104),"",ReferenceData!$AZ$104),"")</f>
        <v>1056.9090000000001</v>
      </c>
      <c r="BA104">
        <f ca="1">IFERROR(IF(0=LEN(ReferenceData!$BA$104),"",ReferenceData!$BA$104),"")</f>
        <v>1042.473</v>
      </c>
      <c r="BB104">
        <f ca="1">IFERROR(IF(0=LEN(ReferenceData!$BB$104),"",ReferenceData!$BB$104),"")</f>
        <v>1438.579</v>
      </c>
      <c r="BC104">
        <f ca="1">IFERROR(IF(0=LEN(ReferenceData!$BC$104),"",ReferenceData!$BC$104),"")</f>
        <v>2081.627</v>
      </c>
      <c r="BD104">
        <f ca="1">IFERROR(IF(0=LEN(ReferenceData!$BD$104),"",ReferenceData!$BD$104),"")</f>
        <v>833.96600000000001</v>
      </c>
      <c r="BE104">
        <f ca="1">IFERROR(IF(0=LEN(ReferenceData!$BE$104),"",ReferenceData!$BE$104),"")</f>
        <v>761.87199999999996</v>
      </c>
      <c r="BF104">
        <f ca="1">IFERROR(IF(0=LEN(ReferenceData!$BF$104),"",ReferenceData!$BF$104),"")</f>
        <v>506.137</v>
      </c>
      <c r="BG104">
        <f ca="1">IFERROR(IF(0=LEN(ReferenceData!$BG$104),"",ReferenceData!$BG$104),"")</f>
        <v>362.64699999999999</v>
      </c>
      <c r="BH104">
        <f ca="1">IFERROR(IF(0=LEN(ReferenceData!$BH$104),"",ReferenceData!$BH$104),"")</f>
        <v>146.773</v>
      </c>
      <c r="BI104">
        <f ca="1">IFERROR(IF(0=LEN(ReferenceData!$BI$104),"",ReferenceData!$BI$104),"")</f>
        <v>165.58500000000001</v>
      </c>
      <c r="BJ104">
        <f ca="1">IFERROR(IF(0=LEN(ReferenceData!$BJ$104),"",ReferenceData!$BJ$104),"")</f>
        <v>105.9</v>
      </c>
      <c r="BK104">
        <f ca="1">IFERROR(IF(0=LEN(ReferenceData!$BK$104),"",ReferenceData!$BK$104),"")</f>
        <v>138.1</v>
      </c>
      <c r="BL104">
        <f ca="1">IFERROR(IF(0=LEN(ReferenceData!$BL$104),"",ReferenceData!$BL$104),"")</f>
        <v>74.5</v>
      </c>
      <c r="BM104">
        <f ca="1">IFERROR(IF(0=LEN(ReferenceData!$BM$104),"",ReferenceData!$BM$104),"")</f>
        <v>64.400000000000006</v>
      </c>
    </row>
    <row r="105" spans="1:65">
      <c r="A105" t="str">
        <f>IFERROR(IF(0=LEN(ReferenceData!$A$105),"",ReferenceData!$A$105),"")</f>
        <v xml:space="preserve">    Retail REITs</v>
      </c>
      <c r="B105" t="str">
        <f>IFERROR(IF(0=LEN(ReferenceData!$B$105),"",ReferenceData!$B$105),"")</f>
        <v>RECFDSRT Index</v>
      </c>
      <c r="C105" t="str">
        <f>IFERROR(IF(0=LEN(ReferenceData!$C$105),"",ReferenceData!$C$105),"")</f>
        <v/>
      </c>
      <c r="D105" t="str">
        <f>IFERROR(IF(0=LEN(ReferenceData!$D$105),"",ReferenceData!$D$105),"")</f>
        <v/>
      </c>
      <c r="E105" t="str">
        <f>IFERROR(IF(0=LEN(ReferenceData!$E$105),"",ReferenceData!$E$105),"")</f>
        <v>Expression</v>
      </c>
      <c r="F105">
        <f ca="1">IFERROR(IF(0=LEN(ReferenceData!$F$105),"",ReferenceData!$F$105),"")</f>
        <v>2255.9110000000001</v>
      </c>
      <c r="G105">
        <f ca="1">IFERROR(IF(0=LEN(ReferenceData!$G$105),"",ReferenceData!$G$105),"")</f>
        <v>1923.7070000000001</v>
      </c>
      <c r="H105">
        <f ca="1">IFERROR(IF(0=LEN(ReferenceData!$H$105),"",ReferenceData!$H$105),"")</f>
        <v>1979.6479999999999</v>
      </c>
      <c r="I105">
        <f ca="1">IFERROR(IF(0=LEN(ReferenceData!$I$105),"",ReferenceData!$I$105),"")</f>
        <v>1288.7159999999999</v>
      </c>
      <c r="J105">
        <f ca="1">IFERROR(IF(0=LEN(ReferenceData!$J$105),"",ReferenceData!$J$105),"")</f>
        <v>1791.838</v>
      </c>
      <c r="K105">
        <f ca="1">IFERROR(IF(0=LEN(ReferenceData!$K$105),"",ReferenceData!$K$105),"")</f>
        <v>2377.9050000000002</v>
      </c>
      <c r="L105">
        <f ca="1">IFERROR(IF(0=LEN(ReferenceData!$L$105),"",ReferenceData!$L$105),"")</f>
        <v>2066.817</v>
      </c>
      <c r="M105">
        <f ca="1">IFERROR(IF(0=LEN(ReferenceData!$M$105),"",ReferenceData!$M$105),"")</f>
        <v>3378.7080000000001</v>
      </c>
      <c r="N105">
        <f ca="1">IFERROR(IF(0=LEN(ReferenceData!$N$105),"",ReferenceData!$N$105),"")</f>
        <v>3585.2220000000002</v>
      </c>
      <c r="O105">
        <f ca="1">IFERROR(IF(0=LEN(ReferenceData!$O$105),"",ReferenceData!$O$105),"")</f>
        <v>1189.374</v>
      </c>
      <c r="P105">
        <f ca="1">IFERROR(IF(0=LEN(ReferenceData!$P$105),"",ReferenceData!$P$105),"")</f>
        <v>2776.634</v>
      </c>
      <c r="Q105">
        <f ca="1">IFERROR(IF(0=LEN(ReferenceData!$Q$105),"",ReferenceData!$Q$105),"")</f>
        <v>3122.4110000000001</v>
      </c>
      <c r="R105">
        <f ca="1">IFERROR(IF(0=LEN(ReferenceData!$R$105),"",ReferenceData!$R$105),"")</f>
        <v>6081.49</v>
      </c>
      <c r="S105">
        <f ca="1">IFERROR(IF(0=LEN(ReferenceData!$S$105),"",ReferenceData!$S$105),"")</f>
        <v>1784.2929999999999</v>
      </c>
      <c r="T105">
        <f ca="1">IFERROR(IF(0=LEN(ReferenceData!$T$105),"",ReferenceData!$T$105),"")</f>
        <v>1422.4469999999999</v>
      </c>
      <c r="U105">
        <f ca="1">IFERROR(IF(0=LEN(ReferenceData!$U$105),"",ReferenceData!$U$105),"")</f>
        <v>1685.778</v>
      </c>
      <c r="V105">
        <f ca="1">IFERROR(IF(0=LEN(ReferenceData!$V$105),"",ReferenceData!$V$105),"")</f>
        <v>2539.8470000000002</v>
      </c>
      <c r="W105">
        <f ca="1">IFERROR(IF(0=LEN(ReferenceData!$W$105),"",ReferenceData!$W$105),"")</f>
        <v>2415.2060000000001</v>
      </c>
      <c r="X105">
        <f ca="1">IFERROR(IF(0=LEN(ReferenceData!$X$105),"",ReferenceData!$X$105),"")</f>
        <v>2523.922</v>
      </c>
      <c r="Y105">
        <f ca="1">IFERROR(IF(0=LEN(ReferenceData!$Y$105),"",ReferenceData!$Y$105),"")</f>
        <v>664.66600000000005</v>
      </c>
      <c r="Z105">
        <f ca="1">IFERROR(IF(0=LEN(ReferenceData!$Z$105),"",ReferenceData!$Z$105),"")</f>
        <v>2924.7959999999998</v>
      </c>
      <c r="AA105">
        <f ca="1">IFERROR(IF(0=LEN(ReferenceData!$AA$105),"",ReferenceData!$AA$105),"")</f>
        <v>1170.596</v>
      </c>
      <c r="AB105">
        <f ca="1">IFERROR(IF(0=LEN(ReferenceData!$AB$105),"",ReferenceData!$AB$105),"")</f>
        <v>711.745</v>
      </c>
      <c r="AC105">
        <f ca="1">IFERROR(IF(0=LEN(ReferenceData!$AC$105),"",ReferenceData!$AC$105),"")</f>
        <v>679.14700000000005</v>
      </c>
      <c r="AD105">
        <f ca="1">IFERROR(IF(0=LEN(ReferenceData!$AD$105),"",ReferenceData!$AD$105),"")</f>
        <v>1719.163</v>
      </c>
      <c r="AE105">
        <f ca="1">IFERROR(IF(0=LEN(ReferenceData!$AE$105),"",ReferenceData!$AE$105),"")</f>
        <v>679.02599999999995</v>
      </c>
      <c r="AF105">
        <f ca="1">IFERROR(IF(0=LEN(ReferenceData!$AF$105),"",ReferenceData!$AF$105),"")</f>
        <v>721.572</v>
      </c>
      <c r="AG105">
        <f ca="1">IFERROR(IF(0=LEN(ReferenceData!$AG$105),"",ReferenceData!$AG$105),"")</f>
        <v>314.976</v>
      </c>
      <c r="AH105">
        <f ca="1">IFERROR(IF(0=LEN(ReferenceData!$AH$105),"",ReferenceData!$AH$105),"")</f>
        <v>640.31200000000001</v>
      </c>
      <c r="AI105">
        <f ca="1">IFERROR(IF(0=LEN(ReferenceData!$AI$105),"",ReferenceData!$AI$105),"")</f>
        <v>1277.7360000000001</v>
      </c>
      <c r="AJ105">
        <f ca="1">IFERROR(IF(0=LEN(ReferenceData!$AJ$105),"",ReferenceData!$AJ$105),"")</f>
        <v>705.34199999999998</v>
      </c>
      <c r="AK105">
        <f ca="1">IFERROR(IF(0=LEN(ReferenceData!$AK$105),"",ReferenceData!$AK$105),"")</f>
        <v>528.03200000000004</v>
      </c>
      <c r="AL105">
        <f ca="1">IFERROR(IF(0=LEN(ReferenceData!$AL$105),"",ReferenceData!$AL$105),"")</f>
        <v>642.13800000000003</v>
      </c>
      <c r="AM105">
        <f ca="1">IFERROR(IF(0=LEN(ReferenceData!$AM$105),"",ReferenceData!$AM$105),"")</f>
        <v>415.72899999999998</v>
      </c>
      <c r="AN105">
        <f ca="1">IFERROR(IF(0=LEN(ReferenceData!$AN$105),"",ReferenceData!$AN$105),"")</f>
        <v>205.78100000000001</v>
      </c>
      <c r="AO105">
        <f ca="1">IFERROR(IF(0=LEN(ReferenceData!$AO$105),"",ReferenceData!$AO$105),"")</f>
        <v>195.756</v>
      </c>
      <c r="AP105">
        <f ca="1">IFERROR(IF(0=LEN(ReferenceData!$AP$105),"",ReferenceData!$AP$105),"")</f>
        <v>229.28899999999999</v>
      </c>
      <c r="AQ105">
        <f ca="1">IFERROR(IF(0=LEN(ReferenceData!$AQ$105),"",ReferenceData!$AQ$105),"")</f>
        <v>281.99400000000003</v>
      </c>
      <c r="AR105">
        <f ca="1">IFERROR(IF(0=LEN(ReferenceData!$AR$105),"",ReferenceData!$AR$105),"")</f>
        <v>704.96600000000001</v>
      </c>
      <c r="AS105">
        <f ca="1">IFERROR(IF(0=LEN(ReferenceData!$AS$105),"",ReferenceData!$AS$105),"")</f>
        <v>173.98099999999999</v>
      </c>
      <c r="AT105">
        <f ca="1">IFERROR(IF(0=LEN(ReferenceData!$AT$105),"",ReferenceData!$AT$105),"")</f>
        <v>682.33500000000004</v>
      </c>
      <c r="AU105">
        <f ca="1">IFERROR(IF(0=LEN(ReferenceData!$AU$105),"",ReferenceData!$AU$105),"")</f>
        <v>492.38900000000001</v>
      </c>
      <c r="AV105">
        <f ca="1">IFERROR(IF(0=LEN(ReferenceData!$AV$105),"",ReferenceData!$AV$105),"")</f>
        <v>1363.8789999999999</v>
      </c>
      <c r="AW105">
        <f ca="1">IFERROR(IF(0=LEN(ReferenceData!$AW$105),"",ReferenceData!$AW$105),"")</f>
        <v>384.50700000000001</v>
      </c>
      <c r="AX105">
        <f ca="1">IFERROR(IF(0=LEN(ReferenceData!$AX$105),"",ReferenceData!$AX$105),"")</f>
        <v>1031.146</v>
      </c>
      <c r="AY105">
        <f ca="1">IFERROR(IF(0=LEN(ReferenceData!$AY$105),"",ReferenceData!$AY$105),"")</f>
        <v>709.42499999999995</v>
      </c>
      <c r="AZ105">
        <f ca="1">IFERROR(IF(0=LEN(ReferenceData!$AZ$105),"",ReferenceData!$AZ$105),"")</f>
        <v>1318.2449999999999</v>
      </c>
      <c r="BA105">
        <f ca="1">IFERROR(IF(0=LEN(ReferenceData!$BA$105),"",ReferenceData!$BA$105),"")</f>
        <v>667.23699999999997</v>
      </c>
      <c r="BB105">
        <f ca="1">IFERROR(IF(0=LEN(ReferenceData!$BB$105),"",ReferenceData!$BB$105),"")</f>
        <v>664.69600000000003</v>
      </c>
      <c r="BC105">
        <f ca="1">IFERROR(IF(0=LEN(ReferenceData!$BC$105),"",ReferenceData!$BC$105),"")</f>
        <v>590.697</v>
      </c>
      <c r="BD105">
        <f ca="1">IFERROR(IF(0=LEN(ReferenceData!$BD$105),"",ReferenceData!$BD$105),"")</f>
        <v>636.59799999999996</v>
      </c>
      <c r="BE105">
        <f ca="1">IFERROR(IF(0=LEN(ReferenceData!$BE$105),"",ReferenceData!$BE$105),"")</f>
        <v>350.00099999999998</v>
      </c>
      <c r="BF105">
        <f ca="1">IFERROR(IF(0=LEN(ReferenceData!$BF$105),"",ReferenceData!$BF$105),"")</f>
        <v>393.505</v>
      </c>
      <c r="BG105">
        <f ca="1">IFERROR(IF(0=LEN(ReferenceData!$BG$105),"",ReferenceData!$BG$105),"")</f>
        <v>605.346</v>
      </c>
      <c r="BH105">
        <f ca="1">IFERROR(IF(0=LEN(ReferenceData!$BH$105),"",ReferenceData!$BH$105),"")</f>
        <v>281.96100000000001</v>
      </c>
      <c r="BI105">
        <f ca="1">IFERROR(IF(0=LEN(ReferenceData!$BI$105),"",ReferenceData!$BI$105),"")</f>
        <v>258.86399999999998</v>
      </c>
      <c r="BJ105">
        <f ca="1">IFERROR(IF(0=LEN(ReferenceData!$BJ$105),"",ReferenceData!$BJ$105),"")</f>
        <v>104.4</v>
      </c>
      <c r="BK105">
        <f ca="1">IFERROR(IF(0=LEN(ReferenceData!$BK$105),"",ReferenceData!$BK$105),"")</f>
        <v>40</v>
      </c>
      <c r="BL105">
        <f ca="1">IFERROR(IF(0=LEN(ReferenceData!$BL$105),"",ReferenceData!$BL$105),"")</f>
        <v>64</v>
      </c>
      <c r="BM105">
        <f ca="1">IFERROR(IF(0=LEN(ReferenceData!$BM$105),"",ReferenceData!$BM$105),"")</f>
        <v>98.1</v>
      </c>
    </row>
    <row r="106" spans="1:65">
      <c r="A106" t="str">
        <f>IFERROR(IF(0=LEN(ReferenceData!$A$106),"",ReferenceData!$A$106),"")</f>
        <v xml:space="preserve">    Shopping Center REITs</v>
      </c>
      <c r="B106" t="str">
        <f>IFERROR(IF(0=LEN(ReferenceData!$B$106),"",ReferenceData!$B$106),"")</f>
        <v>RECFDSSC Index</v>
      </c>
      <c r="C106" t="str">
        <f>IFERROR(IF(0=LEN(ReferenceData!$C$106),"",ReferenceData!$C$106),"")</f>
        <v/>
      </c>
      <c r="D106" t="str">
        <f>IFERROR(IF(0=LEN(ReferenceData!$D$106),"",ReferenceData!$D$106),"")</f>
        <v/>
      </c>
      <c r="E106" t="str">
        <f>IFERROR(IF(0=LEN(ReferenceData!$E$106),"",ReferenceData!$E$106),"")</f>
        <v>Expression</v>
      </c>
      <c r="F106">
        <f ca="1">IFERROR(IF(0=LEN(ReferenceData!$F$106),"",ReferenceData!$F$106),"")</f>
        <v>1832.684</v>
      </c>
      <c r="G106">
        <f ca="1">IFERROR(IF(0=LEN(ReferenceData!$G$106),"",ReferenceData!$G$106),"")</f>
        <v>1252.345</v>
      </c>
      <c r="H106">
        <f ca="1">IFERROR(IF(0=LEN(ReferenceData!$H$106),"",ReferenceData!$H$106),"")</f>
        <v>1038.826</v>
      </c>
      <c r="I106">
        <f ca="1">IFERROR(IF(0=LEN(ReferenceData!$I$106),"",ReferenceData!$I$106),"")</f>
        <v>557.12199999999996</v>
      </c>
      <c r="J106">
        <f ca="1">IFERROR(IF(0=LEN(ReferenceData!$J$106),"",ReferenceData!$J$106),"")</f>
        <v>1294.8130000000001</v>
      </c>
      <c r="K106">
        <f ca="1">IFERROR(IF(0=LEN(ReferenceData!$K$106),"",ReferenceData!$K$106),"")</f>
        <v>670.68499999999995</v>
      </c>
      <c r="L106">
        <f ca="1">IFERROR(IF(0=LEN(ReferenceData!$L$106),"",ReferenceData!$L$106),"")</f>
        <v>1008.597</v>
      </c>
      <c r="M106">
        <f ca="1">IFERROR(IF(0=LEN(ReferenceData!$M$106),"",ReferenceData!$M$106),"")</f>
        <v>1254.2919999999999</v>
      </c>
      <c r="N106">
        <f ca="1">IFERROR(IF(0=LEN(ReferenceData!$N$106),"",ReferenceData!$N$106),"")</f>
        <v>1940.259</v>
      </c>
      <c r="O106">
        <f ca="1">IFERROR(IF(0=LEN(ReferenceData!$O$106),"",ReferenceData!$O$106),"")</f>
        <v>951.92200000000003</v>
      </c>
      <c r="P106">
        <f ca="1">IFERROR(IF(0=LEN(ReferenceData!$P$106),"",ReferenceData!$P$106),"")</f>
        <v>734.72699999999998</v>
      </c>
      <c r="Q106">
        <f ca="1">IFERROR(IF(0=LEN(ReferenceData!$Q$106),"",ReferenceData!$Q$106),"")</f>
        <v>1140.9770000000001</v>
      </c>
      <c r="R106">
        <f ca="1">IFERROR(IF(0=LEN(ReferenceData!$R$106),"",ReferenceData!$R$106),"")</f>
        <v>1900.3409999999999</v>
      </c>
      <c r="S106">
        <f ca="1">IFERROR(IF(0=LEN(ReferenceData!$S$106),"",ReferenceData!$S$106),"")</f>
        <v>1260.547</v>
      </c>
      <c r="T106">
        <f ca="1">IFERROR(IF(0=LEN(ReferenceData!$T$106),"",ReferenceData!$T$106),"")</f>
        <v>1094.057</v>
      </c>
      <c r="U106">
        <f ca="1">IFERROR(IF(0=LEN(ReferenceData!$U$106),"",ReferenceData!$U$106),"")</f>
        <v>735.85699999999997</v>
      </c>
      <c r="V106">
        <f ca="1">IFERROR(IF(0=LEN(ReferenceData!$V$106),"",ReferenceData!$V$106),"")</f>
        <v>1757.1569999999999</v>
      </c>
      <c r="W106">
        <f ca="1">IFERROR(IF(0=LEN(ReferenceData!$W$106),"",ReferenceData!$W$106),"")</f>
        <v>1027.1130000000001</v>
      </c>
      <c r="X106">
        <f ca="1">IFERROR(IF(0=LEN(ReferenceData!$X$106),"",ReferenceData!$X$106),"")</f>
        <v>712.32600000000002</v>
      </c>
      <c r="Y106">
        <f ca="1">IFERROR(IF(0=LEN(ReferenceData!$Y$106),"",ReferenceData!$Y$106),"")</f>
        <v>314.01299999999998</v>
      </c>
      <c r="Z106">
        <f ca="1">IFERROR(IF(0=LEN(ReferenceData!$Z$106),"",ReferenceData!$Z$106),"")</f>
        <v>2619.8690000000001</v>
      </c>
      <c r="AA106">
        <f ca="1">IFERROR(IF(0=LEN(ReferenceData!$AA$106),"",ReferenceData!$AA$106),"")</f>
        <v>779.4</v>
      </c>
      <c r="AB106">
        <f ca="1">IFERROR(IF(0=LEN(ReferenceData!$AB$106),"",ReferenceData!$AB$106),"")</f>
        <v>431.21800000000002</v>
      </c>
      <c r="AC106">
        <f ca="1">IFERROR(IF(0=LEN(ReferenceData!$AC$106),"",ReferenceData!$AC$106),"")</f>
        <v>438.07400000000001</v>
      </c>
      <c r="AD106">
        <f ca="1">IFERROR(IF(0=LEN(ReferenceData!$AD$106),"",ReferenceData!$AD$106),"")</f>
        <v>1088.07</v>
      </c>
      <c r="AE106">
        <f ca="1">IFERROR(IF(0=LEN(ReferenceData!$AE$106),"",ReferenceData!$AE$106),"")</f>
        <v>417.84399999999999</v>
      </c>
      <c r="AF106">
        <f ca="1">IFERROR(IF(0=LEN(ReferenceData!$AF$106),"",ReferenceData!$AF$106),"")</f>
        <v>319.45999999999998</v>
      </c>
      <c r="AG106">
        <f ca="1">IFERROR(IF(0=LEN(ReferenceData!$AG$106),"",ReferenceData!$AG$106),"")</f>
        <v>101.011</v>
      </c>
      <c r="AH106">
        <f ca="1">IFERROR(IF(0=LEN(ReferenceData!$AH$106),"",ReferenceData!$AH$106),"")</f>
        <v>487.08499999999998</v>
      </c>
      <c r="AI106">
        <f ca="1">IFERROR(IF(0=LEN(ReferenceData!$AI$106),"",ReferenceData!$AI$106),"")</f>
        <v>210.858</v>
      </c>
      <c r="AJ106">
        <f ca="1">IFERROR(IF(0=LEN(ReferenceData!$AJ$106),"",ReferenceData!$AJ$106),"")</f>
        <v>144.50800000000001</v>
      </c>
      <c r="AK106">
        <f ca="1">IFERROR(IF(0=LEN(ReferenceData!$AK$106),"",ReferenceData!$AK$106),"")</f>
        <v>509.65499999999997</v>
      </c>
      <c r="AL106">
        <f ca="1">IFERROR(IF(0=LEN(ReferenceData!$AL$106),"",ReferenceData!$AL$106),"")</f>
        <v>496.83300000000003</v>
      </c>
      <c r="AM106">
        <f ca="1">IFERROR(IF(0=LEN(ReferenceData!$AM$106),"",ReferenceData!$AM$106),"")</f>
        <v>383.71800000000002</v>
      </c>
      <c r="AN106">
        <f ca="1">IFERROR(IF(0=LEN(ReferenceData!$AN$106),"",ReferenceData!$AN$106),"")</f>
        <v>194.89699999999999</v>
      </c>
      <c r="AO106">
        <f ca="1">IFERROR(IF(0=LEN(ReferenceData!$AO$106),"",ReferenceData!$AO$106),"")</f>
        <v>170.035</v>
      </c>
      <c r="AP106">
        <f ca="1">IFERROR(IF(0=LEN(ReferenceData!$AP$106),"",ReferenceData!$AP$106),"")</f>
        <v>194.465</v>
      </c>
      <c r="AQ106">
        <f ca="1">IFERROR(IF(0=LEN(ReferenceData!$AQ$106),"",ReferenceData!$AQ$106),"")</f>
        <v>184.78200000000001</v>
      </c>
      <c r="AR106">
        <f ca="1">IFERROR(IF(0=LEN(ReferenceData!$AR$106),"",ReferenceData!$AR$106),"")</f>
        <v>530.60799999999995</v>
      </c>
      <c r="AS106">
        <f ca="1">IFERROR(IF(0=LEN(ReferenceData!$AS$106),"",ReferenceData!$AS$106),"")</f>
        <v>163.31</v>
      </c>
      <c r="AT106">
        <f ca="1">IFERROR(IF(0=LEN(ReferenceData!$AT$106),"",ReferenceData!$AT$106),"")</f>
        <v>638.25</v>
      </c>
      <c r="AU106">
        <f ca="1">IFERROR(IF(0=LEN(ReferenceData!$AU$106),"",ReferenceData!$AU$106),"")</f>
        <v>400.755</v>
      </c>
      <c r="AV106">
        <f ca="1">IFERROR(IF(0=LEN(ReferenceData!$AV$106),"",ReferenceData!$AV$106),"")</f>
        <v>1304.8579999999999</v>
      </c>
      <c r="AW106">
        <f ca="1">IFERROR(IF(0=LEN(ReferenceData!$AW$106),"",ReferenceData!$AW$106),"")</f>
        <v>358.96</v>
      </c>
      <c r="AX106">
        <f ca="1">IFERROR(IF(0=LEN(ReferenceData!$AX$106),"",ReferenceData!$AX$106),"")</f>
        <v>603.04399999999998</v>
      </c>
      <c r="AY106">
        <f ca="1">IFERROR(IF(0=LEN(ReferenceData!$AY$106),"",ReferenceData!$AY$106),"")</f>
        <v>499.70600000000002</v>
      </c>
      <c r="AZ106">
        <f ca="1">IFERROR(IF(0=LEN(ReferenceData!$AZ$106),"",ReferenceData!$AZ$106),"")</f>
        <v>843.06899999999996</v>
      </c>
      <c r="BA106">
        <f ca="1">IFERROR(IF(0=LEN(ReferenceData!$BA$106),"",ReferenceData!$BA$106),"")</f>
        <v>635.27300000000002</v>
      </c>
      <c r="BB106">
        <f ca="1">IFERROR(IF(0=LEN(ReferenceData!$BB$106),"",ReferenceData!$BB$106),"")</f>
        <v>335.42599999999999</v>
      </c>
      <c r="BC106">
        <f ca="1">IFERROR(IF(0=LEN(ReferenceData!$BC$106),"",ReferenceData!$BC$106),"")</f>
        <v>515.40300000000002</v>
      </c>
      <c r="BD106">
        <f ca="1">IFERROR(IF(0=LEN(ReferenceData!$BD$106),"",ReferenceData!$BD$106),"")</f>
        <v>369.96800000000002</v>
      </c>
      <c r="BE106">
        <f ca="1">IFERROR(IF(0=LEN(ReferenceData!$BE$106),"",ReferenceData!$BE$106),"")</f>
        <v>295.16800000000001</v>
      </c>
      <c r="BF106">
        <f ca="1">IFERROR(IF(0=LEN(ReferenceData!$BF$106),"",ReferenceData!$BF$106),"")</f>
        <v>364.03399999999999</v>
      </c>
      <c r="BG106">
        <f ca="1">IFERROR(IF(0=LEN(ReferenceData!$BG$106),"",ReferenceData!$BG$106),"")</f>
        <v>362.85199999999998</v>
      </c>
      <c r="BH106">
        <f ca="1">IFERROR(IF(0=LEN(ReferenceData!$BH$106),"",ReferenceData!$BH$106),"")</f>
        <v>211.982</v>
      </c>
      <c r="BI106">
        <f ca="1">IFERROR(IF(0=LEN(ReferenceData!$BI$106),"",ReferenceData!$BI$106),"")</f>
        <v>242.76499999999999</v>
      </c>
      <c r="BJ106">
        <f ca="1">IFERROR(IF(0=LEN(ReferenceData!$BJ$106),"",ReferenceData!$BJ$106),"")</f>
        <v>95.9</v>
      </c>
      <c r="BK106">
        <f ca="1">IFERROR(IF(0=LEN(ReferenceData!$BK$106),"",ReferenceData!$BK$106),"")</f>
        <v>40</v>
      </c>
      <c r="BL106">
        <f ca="1">IFERROR(IF(0=LEN(ReferenceData!$BL$106),"",ReferenceData!$BL$106),"")</f>
        <v>64</v>
      </c>
      <c r="BM106">
        <f ca="1">IFERROR(IF(0=LEN(ReferenceData!$BM$106),"",ReferenceData!$BM$106),"")</f>
        <v>98.1</v>
      </c>
    </row>
    <row r="107" spans="1:65">
      <c r="A107" t="str">
        <f>IFERROR(IF(0=LEN(ReferenceData!$A$107),"",ReferenceData!$A$107),"")</f>
        <v xml:space="preserve">    Regional Mall REITs</v>
      </c>
      <c r="B107" t="str">
        <f>IFERROR(IF(0=LEN(ReferenceData!$B$107),"",ReferenceData!$B$107),"")</f>
        <v>RECFDSRM Index</v>
      </c>
      <c r="C107" t="str">
        <f>IFERROR(IF(0=LEN(ReferenceData!$C$107),"",ReferenceData!$C$107),"")</f>
        <v/>
      </c>
      <c r="D107" t="str">
        <f>IFERROR(IF(0=LEN(ReferenceData!$D$107),"",ReferenceData!$D$107),"")</f>
        <v/>
      </c>
      <c r="E107" t="str">
        <f>IFERROR(IF(0=LEN(ReferenceData!$E$107),"",ReferenceData!$E$107),"")</f>
        <v>Expression</v>
      </c>
      <c r="F107">
        <f ca="1">IFERROR(IF(0=LEN(ReferenceData!$F$107),"",ReferenceData!$F$107),"")</f>
        <v>76</v>
      </c>
      <c r="G107">
        <f ca="1">IFERROR(IF(0=LEN(ReferenceData!$G$107),"",ReferenceData!$G$107),"")</f>
        <v>182.88900000000001</v>
      </c>
      <c r="H107">
        <f ca="1">IFERROR(IF(0=LEN(ReferenceData!$H$107),"",ReferenceData!$H$107),"")</f>
        <v>653.5</v>
      </c>
      <c r="I107">
        <f ca="1">IFERROR(IF(0=LEN(ReferenceData!$I$107),"",ReferenceData!$I$107),"")</f>
        <v>461.40300000000002</v>
      </c>
      <c r="J107">
        <f ca="1">IFERROR(IF(0=LEN(ReferenceData!$J$107),"",ReferenceData!$J$107),"")</f>
        <v>121.95</v>
      </c>
      <c r="K107">
        <f ca="1">IFERROR(IF(0=LEN(ReferenceData!$K$107),"",ReferenceData!$K$107),"")</f>
        <v>1554.8</v>
      </c>
      <c r="L107">
        <f ca="1">IFERROR(IF(0=LEN(ReferenceData!$L$107),"",ReferenceData!$L$107),"")</f>
        <v>851.91</v>
      </c>
      <c r="M107">
        <f ca="1">IFERROR(IF(0=LEN(ReferenceData!$M$107),"",ReferenceData!$M$107),"")</f>
        <v>1951.652</v>
      </c>
      <c r="N107">
        <f ca="1">IFERROR(IF(0=LEN(ReferenceData!$N$107),"",ReferenceData!$N$107),"")</f>
        <v>1506.126</v>
      </c>
      <c r="O107">
        <f ca="1">IFERROR(IF(0=LEN(ReferenceData!$O$107),"",ReferenceData!$O$107),"")</f>
        <v>71.400000000000006</v>
      </c>
      <c r="P107">
        <f ca="1">IFERROR(IF(0=LEN(ReferenceData!$P$107),"",ReferenceData!$P$107),"")</f>
        <v>1725.9349999999999</v>
      </c>
      <c r="Q107">
        <f ca="1">IFERROR(IF(0=LEN(ReferenceData!$Q$107),"",ReferenceData!$Q$107),"")</f>
        <v>1584.1590000000001</v>
      </c>
      <c r="R107">
        <f ca="1">IFERROR(IF(0=LEN(ReferenceData!$R$107),"",ReferenceData!$R$107),"")</f>
        <v>2125.5630000000001</v>
      </c>
      <c r="S107">
        <f ca="1">IFERROR(IF(0=LEN(ReferenceData!$S$107),"",ReferenceData!$S$107),"")</f>
        <v>369.7</v>
      </c>
      <c r="T107">
        <f ca="1">IFERROR(IF(0=LEN(ReferenceData!$T$107),"",ReferenceData!$T$107),"")</f>
        <v>257.77600000000001</v>
      </c>
      <c r="U107">
        <f ca="1">IFERROR(IF(0=LEN(ReferenceData!$U$107),"",ReferenceData!$U$107),"")</f>
        <v>844.28599999999994</v>
      </c>
      <c r="V107">
        <f ca="1">IFERROR(IF(0=LEN(ReferenceData!$V$107),"",ReferenceData!$V$107),"")</f>
        <v>611.37599999999998</v>
      </c>
      <c r="W107">
        <f ca="1">IFERROR(IF(0=LEN(ReferenceData!$W$107),"",ReferenceData!$W$107),"")</f>
        <v>1008.622</v>
      </c>
      <c r="X107">
        <f ca="1">IFERROR(IF(0=LEN(ReferenceData!$X$107),"",ReferenceData!$X$107),"")</f>
        <v>1736.45</v>
      </c>
      <c r="Y107">
        <f ca="1">IFERROR(IF(0=LEN(ReferenceData!$Y$107),"",ReferenceData!$Y$107),"")</f>
        <v>256.22500000000002</v>
      </c>
      <c r="Z107">
        <f ca="1">IFERROR(IF(0=LEN(ReferenceData!$Z$107),"",ReferenceData!$Z$107),"")</f>
        <v>239.595</v>
      </c>
      <c r="AA107">
        <f ca="1">IFERROR(IF(0=LEN(ReferenceData!$AA$107),"",ReferenceData!$AA$107),"")</f>
        <v>345.91699999999997</v>
      </c>
      <c r="AB107">
        <f ca="1">IFERROR(IF(0=LEN(ReferenceData!$AB$107),"",ReferenceData!$AB$107),"")</f>
        <v>252.69800000000001</v>
      </c>
      <c r="AC107">
        <f ca="1">IFERROR(IF(0=LEN(ReferenceData!$AC$107),"",ReferenceData!$AC$107),"")</f>
        <v>222.53800000000001</v>
      </c>
      <c r="AD107">
        <f ca="1">IFERROR(IF(0=LEN(ReferenceData!$AD$107),"",ReferenceData!$AD$107),"")</f>
        <v>613.24099999999999</v>
      </c>
      <c r="AE107">
        <f ca="1">IFERROR(IF(0=LEN(ReferenceData!$AE$107),"",ReferenceData!$AE$107),"")</f>
        <v>246.57499999999999</v>
      </c>
      <c r="AF107">
        <f ca="1">IFERROR(IF(0=LEN(ReferenceData!$AF$107),"",ReferenceData!$AF$107),"")</f>
        <v>398.81200000000001</v>
      </c>
      <c r="AG107">
        <f ca="1">IFERROR(IF(0=LEN(ReferenceData!$AG$107),"",ReferenceData!$AG$107),"")</f>
        <v>205.393</v>
      </c>
      <c r="AH107">
        <f ca="1">IFERROR(IF(0=LEN(ReferenceData!$AH$107),"",ReferenceData!$AH$107),"")</f>
        <v>134.69800000000001</v>
      </c>
      <c r="AI107">
        <f ca="1">IFERROR(IF(0=LEN(ReferenceData!$AI$107),"",ReferenceData!$AI$107),"")</f>
        <v>1056.578</v>
      </c>
      <c r="AJ107">
        <f ca="1">IFERROR(IF(0=LEN(ReferenceData!$AJ$107),"",ReferenceData!$AJ$107),"")</f>
        <v>556.24</v>
      </c>
      <c r="AK107">
        <f ca="1">IFERROR(IF(0=LEN(ReferenceData!$AK$107),"",ReferenceData!$AK$107),"")</f>
        <v>0</v>
      </c>
      <c r="AL107">
        <f ca="1">IFERROR(IF(0=LEN(ReferenceData!$AL$107),"",ReferenceData!$AL$107),"")</f>
        <v>129.88900000000001</v>
      </c>
      <c r="AM107">
        <f ca="1">IFERROR(IF(0=LEN(ReferenceData!$AM$107),"",ReferenceData!$AM$107),"")</f>
        <v>27.611000000000001</v>
      </c>
      <c r="AN107">
        <f ca="1">IFERROR(IF(0=LEN(ReferenceData!$AN$107),"",ReferenceData!$AN$107),"")</f>
        <v>0</v>
      </c>
      <c r="AO107">
        <f ca="1">IFERROR(IF(0=LEN(ReferenceData!$AO$107),"",ReferenceData!$AO$107),"")</f>
        <v>20.5</v>
      </c>
      <c r="AP107">
        <f ca="1">IFERROR(IF(0=LEN(ReferenceData!$AP$107),"",ReferenceData!$AP$107),"")</f>
        <v>22.9</v>
      </c>
      <c r="AQ107">
        <f ca="1">IFERROR(IF(0=LEN(ReferenceData!$AQ$107),"",ReferenceData!$AQ$107),"")</f>
        <v>66.5</v>
      </c>
      <c r="AR107">
        <f ca="1">IFERROR(IF(0=LEN(ReferenceData!$AR$107),"",ReferenceData!$AR$107),"")</f>
        <v>140.5</v>
      </c>
      <c r="AS107">
        <f ca="1">IFERROR(IF(0=LEN(ReferenceData!$AS$107),"",ReferenceData!$AS$107),"")</f>
        <v>0</v>
      </c>
      <c r="AT107">
        <f ca="1">IFERROR(IF(0=LEN(ReferenceData!$AT$107),"",ReferenceData!$AT$107),"")</f>
        <v>11.6</v>
      </c>
      <c r="AU107">
        <f ca="1">IFERROR(IF(0=LEN(ReferenceData!$AU$107),"",ReferenceData!$AU$107),"")</f>
        <v>33.6</v>
      </c>
      <c r="AV107">
        <f ca="1">IFERROR(IF(0=LEN(ReferenceData!$AV$107),"",ReferenceData!$AV$107),"")</f>
        <v>4.5</v>
      </c>
      <c r="AW107">
        <f ca="1">IFERROR(IF(0=LEN(ReferenceData!$AW$107),"",ReferenceData!$AW$107),"")</f>
        <v>17.600000000000001</v>
      </c>
      <c r="AX107">
        <f ca="1">IFERROR(IF(0=LEN(ReferenceData!$AX$107),"",ReferenceData!$AX$107),"")</f>
        <v>373.8</v>
      </c>
      <c r="AY107">
        <f ca="1">IFERROR(IF(0=LEN(ReferenceData!$AY$107),"",ReferenceData!$AY$107),"")</f>
        <v>185.4</v>
      </c>
      <c r="AZ107">
        <f ca="1">IFERROR(IF(0=LEN(ReferenceData!$AZ$107),"",ReferenceData!$AZ$107),"")</f>
        <v>242.7</v>
      </c>
      <c r="BA107">
        <f ca="1">IFERROR(IF(0=LEN(ReferenceData!$BA$107),"",ReferenceData!$BA$107),"")</f>
        <v>13</v>
      </c>
      <c r="BB107">
        <f ca="1">IFERROR(IF(0=LEN(ReferenceData!$BB$107),"",ReferenceData!$BB$107),"")</f>
        <v>206.3</v>
      </c>
      <c r="BC107">
        <f ca="1">IFERROR(IF(0=LEN(ReferenceData!$BC$107),"",ReferenceData!$BC$107),"")</f>
        <v>68.55</v>
      </c>
      <c r="BD107">
        <f ca="1">IFERROR(IF(0=LEN(ReferenceData!$BD$107),"",ReferenceData!$BD$107),"")</f>
        <v>257.3</v>
      </c>
      <c r="BE107">
        <f ca="1">IFERROR(IF(0=LEN(ReferenceData!$BE$107),"",ReferenceData!$BE$107),"")</f>
        <v>16.399999999999999</v>
      </c>
      <c r="BF107">
        <f ca="1">IFERROR(IF(0=LEN(ReferenceData!$BF$107),"",ReferenceData!$BF$107),"")</f>
        <v>1.9</v>
      </c>
      <c r="BG107">
        <f ca="1">IFERROR(IF(0=LEN(ReferenceData!$BG$107),"",ReferenceData!$BG$107),"")</f>
        <v>225.72399999999999</v>
      </c>
      <c r="BH107">
        <f ca="1">IFERROR(IF(0=LEN(ReferenceData!$BH$107),"",ReferenceData!$BH$107),"")</f>
        <v>52</v>
      </c>
      <c r="BI107">
        <f ca="1">IFERROR(IF(0=LEN(ReferenceData!$BI$107),"",ReferenceData!$BI$107),"")</f>
        <v>8.2750000000000004</v>
      </c>
      <c r="BJ107">
        <f ca="1">IFERROR(IF(0=LEN(ReferenceData!$BJ$107),"",ReferenceData!$BJ$107),"")</f>
        <v>0</v>
      </c>
      <c r="BK107">
        <f ca="1">IFERROR(IF(0=LEN(ReferenceData!$BK$107),"",ReferenceData!$BK$107),"")</f>
        <v>0</v>
      </c>
      <c r="BL107">
        <f ca="1">IFERROR(IF(0=LEN(ReferenceData!$BL$107),"",ReferenceData!$BL$107),"")</f>
        <v>0</v>
      </c>
      <c r="BM107">
        <f ca="1">IFERROR(IF(0=LEN(ReferenceData!$BM$107),"",ReferenceData!$BM$107),"")</f>
        <v>0</v>
      </c>
    </row>
    <row r="108" spans="1:65">
      <c r="A108" t="str">
        <f>IFERROR(IF(0=LEN(ReferenceData!$A$108),"",ReferenceData!$A$108),"")</f>
        <v xml:space="preserve">    Free Standing Retail REITs</v>
      </c>
      <c r="B108" t="str">
        <f>IFERROR(IF(0=LEN(ReferenceData!$B$108),"",ReferenceData!$B$108),"")</f>
        <v>RECFDSFS Index</v>
      </c>
      <c r="C108" t="str">
        <f>IFERROR(IF(0=LEN(ReferenceData!$C$108),"",ReferenceData!$C$108),"")</f>
        <v/>
      </c>
      <c r="D108" t="str">
        <f>IFERROR(IF(0=LEN(ReferenceData!$D$108),"",ReferenceData!$D$108),"")</f>
        <v/>
      </c>
      <c r="E108" t="str">
        <f>IFERROR(IF(0=LEN(ReferenceData!$E$108),"",ReferenceData!$E$108),"")</f>
        <v>Expression</v>
      </c>
      <c r="F108">
        <f ca="1">IFERROR(IF(0=LEN(ReferenceData!$F$108),"",ReferenceData!$F$108),"")</f>
        <v>347.22699999999998</v>
      </c>
      <c r="G108">
        <f ca="1">IFERROR(IF(0=LEN(ReferenceData!$G$108),"",ReferenceData!$G$108),"")</f>
        <v>488.47300000000001</v>
      </c>
      <c r="H108">
        <f ca="1">IFERROR(IF(0=LEN(ReferenceData!$H$108),"",ReferenceData!$H$108),"")</f>
        <v>287.322</v>
      </c>
      <c r="I108">
        <f ca="1">IFERROR(IF(0=LEN(ReferenceData!$I$108),"",ReferenceData!$I$108),"")</f>
        <v>270.19099999999997</v>
      </c>
      <c r="J108">
        <f ca="1">IFERROR(IF(0=LEN(ReferenceData!$J$108),"",ReferenceData!$J$108),"")</f>
        <v>375.07499999999999</v>
      </c>
      <c r="K108">
        <f ca="1">IFERROR(IF(0=LEN(ReferenceData!$K$108),"",ReferenceData!$K$108),"")</f>
        <v>152.41999999999999</v>
      </c>
      <c r="L108">
        <f ca="1">IFERROR(IF(0=LEN(ReferenceData!$L$108),"",ReferenceData!$L$108),"")</f>
        <v>206.31</v>
      </c>
      <c r="M108">
        <f ca="1">IFERROR(IF(0=LEN(ReferenceData!$M$108),"",ReferenceData!$M$108),"")</f>
        <v>172.76400000000001</v>
      </c>
      <c r="N108">
        <f ca="1">IFERROR(IF(0=LEN(ReferenceData!$N$108),"",ReferenceData!$N$108),"")</f>
        <v>138.83699999999999</v>
      </c>
      <c r="O108">
        <f ca="1">IFERROR(IF(0=LEN(ReferenceData!$O$108),"",ReferenceData!$O$108),"")</f>
        <v>166.05199999999999</v>
      </c>
      <c r="P108">
        <f ca="1">IFERROR(IF(0=LEN(ReferenceData!$P$108),"",ReferenceData!$P$108),"")</f>
        <v>315.97199999999998</v>
      </c>
      <c r="Q108">
        <f ca="1">IFERROR(IF(0=LEN(ReferenceData!$Q$108),"",ReferenceData!$Q$108),"")</f>
        <v>397.27499999999998</v>
      </c>
      <c r="R108">
        <f ca="1">IFERROR(IF(0=LEN(ReferenceData!$R$108),"",ReferenceData!$R$108),"")</f>
        <v>2055.5859999999998</v>
      </c>
      <c r="S108">
        <f ca="1">IFERROR(IF(0=LEN(ReferenceData!$S$108),"",ReferenceData!$S$108),"")</f>
        <v>154.04599999999999</v>
      </c>
      <c r="T108">
        <f ca="1">IFERROR(IF(0=LEN(ReferenceData!$T$108),"",ReferenceData!$T$108),"")</f>
        <v>70.614000000000004</v>
      </c>
      <c r="U108">
        <f ca="1">IFERROR(IF(0=LEN(ReferenceData!$U$108),"",ReferenceData!$U$108),"")</f>
        <v>105.63500000000001</v>
      </c>
      <c r="V108">
        <f ca="1">IFERROR(IF(0=LEN(ReferenceData!$V$108),"",ReferenceData!$V$108),"")</f>
        <v>171.31399999999999</v>
      </c>
      <c r="W108">
        <f ca="1">IFERROR(IF(0=LEN(ReferenceData!$W$108),"",ReferenceData!$W$108),"")</f>
        <v>379.471</v>
      </c>
      <c r="X108">
        <f ca="1">IFERROR(IF(0=LEN(ReferenceData!$X$108),"",ReferenceData!$X$108),"")</f>
        <v>75.146000000000001</v>
      </c>
      <c r="Y108">
        <f ca="1">IFERROR(IF(0=LEN(ReferenceData!$Y$108),"",ReferenceData!$Y$108),"")</f>
        <v>94.427999999999997</v>
      </c>
      <c r="Z108">
        <f ca="1">IFERROR(IF(0=LEN(ReferenceData!$Z$108),"",ReferenceData!$Z$108),"")</f>
        <v>65.331999999999994</v>
      </c>
      <c r="AA108">
        <f ca="1">IFERROR(IF(0=LEN(ReferenceData!$AA$108),"",ReferenceData!$AA$108),"")</f>
        <v>45.279000000000003</v>
      </c>
      <c r="AB108">
        <f ca="1">IFERROR(IF(0=LEN(ReferenceData!$AB$108),"",ReferenceData!$AB$108),"")</f>
        <v>27.829000000000001</v>
      </c>
      <c r="AC108">
        <f ca="1">IFERROR(IF(0=LEN(ReferenceData!$AC$108),"",ReferenceData!$AC$108),"")</f>
        <v>18.535</v>
      </c>
      <c r="AD108">
        <f ca="1">IFERROR(IF(0=LEN(ReferenceData!$AD$108),"",ReferenceData!$AD$108),"")</f>
        <v>17.852</v>
      </c>
      <c r="AE108">
        <f ca="1">IFERROR(IF(0=LEN(ReferenceData!$AE$108),"",ReferenceData!$AE$108),"")</f>
        <v>14.606999999999999</v>
      </c>
      <c r="AF108">
        <f ca="1">IFERROR(IF(0=LEN(ReferenceData!$AF$108),"",ReferenceData!$AF$108),"")</f>
        <v>3.3</v>
      </c>
      <c r="AG108">
        <f ca="1">IFERROR(IF(0=LEN(ReferenceData!$AG$108),"",ReferenceData!$AG$108),"")</f>
        <v>8.5719999999999992</v>
      </c>
      <c r="AH108">
        <f ca="1">IFERROR(IF(0=LEN(ReferenceData!$AH$108),"",ReferenceData!$AH$108),"")</f>
        <v>18.529</v>
      </c>
      <c r="AI108">
        <f ca="1">IFERROR(IF(0=LEN(ReferenceData!$AI$108),"",ReferenceData!$AI$108),"")</f>
        <v>10.3</v>
      </c>
      <c r="AJ108">
        <f ca="1">IFERROR(IF(0=LEN(ReferenceData!$AJ$108),"",ReferenceData!$AJ$108),"")</f>
        <v>4.5940000000000003</v>
      </c>
      <c r="AK108">
        <f ca="1">IFERROR(IF(0=LEN(ReferenceData!$AK$108),"",ReferenceData!$AK$108),"")</f>
        <v>18.376999999999999</v>
      </c>
      <c r="AL108">
        <f ca="1">IFERROR(IF(0=LEN(ReferenceData!$AL$108),"",ReferenceData!$AL$108),"")</f>
        <v>15.416</v>
      </c>
      <c r="AM108">
        <f ca="1">IFERROR(IF(0=LEN(ReferenceData!$AM$108),"",ReferenceData!$AM$108),"")</f>
        <v>4.4000000000000004</v>
      </c>
      <c r="AN108">
        <f ca="1">IFERROR(IF(0=LEN(ReferenceData!$AN$108),"",ReferenceData!$AN$108),"")</f>
        <v>10.884</v>
      </c>
      <c r="AO108">
        <f ca="1">IFERROR(IF(0=LEN(ReferenceData!$AO$108),"",ReferenceData!$AO$108),"")</f>
        <v>5.2210000000000001</v>
      </c>
      <c r="AP108">
        <f ca="1">IFERROR(IF(0=LEN(ReferenceData!$AP$108),"",ReferenceData!$AP$108),"")</f>
        <v>11.923999999999999</v>
      </c>
      <c r="AQ108">
        <f ca="1">IFERROR(IF(0=LEN(ReferenceData!$AQ$108),"",ReferenceData!$AQ$108),"")</f>
        <v>30.712</v>
      </c>
      <c r="AR108">
        <f ca="1">IFERROR(IF(0=LEN(ReferenceData!$AR$108),"",ReferenceData!$AR$108),"")</f>
        <v>33.857999999999997</v>
      </c>
      <c r="AS108">
        <f ca="1">IFERROR(IF(0=LEN(ReferenceData!$AS$108),"",ReferenceData!$AS$108),"")</f>
        <v>10.670999999999999</v>
      </c>
      <c r="AT108">
        <f ca="1">IFERROR(IF(0=LEN(ReferenceData!$AT$108),"",ReferenceData!$AT$108),"")</f>
        <v>32.484999999999999</v>
      </c>
      <c r="AU108">
        <f ca="1">IFERROR(IF(0=LEN(ReferenceData!$AU$108),"",ReferenceData!$AU$108),"")</f>
        <v>58.033999999999999</v>
      </c>
      <c r="AV108">
        <f ca="1">IFERROR(IF(0=LEN(ReferenceData!$AV$108),"",ReferenceData!$AV$108),"")</f>
        <v>54.521000000000001</v>
      </c>
      <c r="AW108">
        <f ca="1">IFERROR(IF(0=LEN(ReferenceData!$AW$108),"",ReferenceData!$AW$108),"")</f>
        <v>7.9470000000000001</v>
      </c>
      <c r="AX108">
        <f ca="1">IFERROR(IF(0=LEN(ReferenceData!$AX$108),"",ReferenceData!$AX$108),"")</f>
        <v>54.302</v>
      </c>
      <c r="AY108">
        <f ca="1">IFERROR(IF(0=LEN(ReferenceData!$AY$108),"",ReferenceData!$AY$108),"")</f>
        <v>24.318999999999999</v>
      </c>
      <c r="AZ108">
        <f ca="1">IFERROR(IF(0=LEN(ReferenceData!$AZ$108),"",ReferenceData!$AZ$108),"")</f>
        <v>232.476</v>
      </c>
      <c r="BA108">
        <f ca="1">IFERROR(IF(0=LEN(ReferenceData!$BA$108),"",ReferenceData!$BA$108),"")</f>
        <v>18.963999999999999</v>
      </c>
      <c r="BB108">
        <f ca="1">IFERROR(IF(0=LEN(ReferenceData!$BB$108),"",ReferenceData!$BB$108),"")</f>
        <v>122.97</v>
      </c>
      <c r="BC108">
        <f ca="1">IFERROR(IF(0=LEN(ReferenceData!$BC$108),"",ReferenceData!$BC$108),"")</f>
        <v>6.7439999999999998</v>
      </c>
      <c r="BD108">
        <f ca="1">IFERROR(IF(0=LEN(ReferenceData!$BD$108),"",ReferenceData!$BD$108),"")</f>
        <v>9.33</v>
      </c>
      <c r="BE108">
        <f ca="1">IFERROR(IF(0=LEN(ReferenceData!$BE$108),"",ReferenceData!$BE$108),"")</f>
        <v>38.433</v>
      </c>
      <c r="BF108">
        <f ca="1">IFERROR(IF(0=LEN(ReferenceData!$BF$108),"",ReferenceData!$BF$108),"")</f>
        <v>27.571000000000002</v>
      </c>
      <c r="BG108">
        <f ca="1">IFERROR(IF(0=LEN(ReferenceData!$BG$108),"",ReferenceData!$BG$108),"")</f>
        <v>16.77</v>
      </c>
      <c r="BH108">
        <f ca="1">IFERROR(IF(0=LEN(ReferenceData!$BH$108),"",ReferenceData!$BH$108),"")</f>
        <v>17.978999999999999</v>
      </c>
      <c r="BI108">
        <f ca="1">IFERROR(IF(0=LEN(ReferenceData!$BI$108),"",ReferenceData!$BI$108),"")</f>
        <v>7.8239999999999998</v>
      </c>
      <c r="BJ108">
        <f ca="1">IFERROR(IF(0=LEN(ReferenceData!$BJ$108),"",ReferenceData!$BJ$108),"")</f>
        <v>8.5</v>
      </c>
      <c r="BK108">
        <f ca="1">IFERROR(IF(0=LEN(ReferenceData!$BK$108),"",ReferenceData!$BK$108),"")</f>
        <v>0</v>
      </c>
      <c r="BL108">
        <f ca="1">IFERROR(IF(0=LEN(ReferenceData!$BL$108),"",ReferenceData!$BL$108),"")</f>
        <v>0</v>
      </c>
      <c r="BM108">
        <f ca="1">IFERROR(IF(0=LEN(ReferenceData!$BM$108),"",ReferenceData!$BM$108),"")</f>
        <v>0</v>
      </c>
    </row>
    <row r="109" spans="1:65">
      <c r="A109" t="str">
        <f>IFERROR(IF(0=LEN(ReferenceData!$A$109),"",ReferenceData!$A$109),"")</f>
        <v xml:space="preserve">    Residential REITs</v>
      </c>
      <c r="B109" t="str">
        <f>IFERROR(IF(0=LEN(ReferenceData!$B$109),"",ReferenceData!$B$109),"")</f>
        <v>RECFDSRS Index</v>
      </c>
      <c r="C109" t="str">
        <f>IFERROR(IF(0=LEN(ReferenceData!$C$109),"",ReferenceData!$C$109),"")</f>
        <v/>
      </c>
      <c r="D109" t="str">
        <f>IFERROR(IF(0=LEN(ReferenceData!$D$109),"",ReferenceData!$D$109),"")</f>
        <v/>
      </c>
      <c r="E109" t="str">
        <f>IFERROR(IF(0=LEN(ReferenceData!$E$109),"",ReferenceData!$E$109),"")</f>
        <v>Expression</v>
      </c>
      <c r="F109">
        <f ca="1">IFERROR(IF(0=LEN(ReferenceData!$F$109),"",ReferenceData!$F$109),"")</f>
        <v>1104.7570000000001</v>
      </c>
      <c r="G109">
        <f ca="1">IFERROR(IF(0=LEN(ReferenceData!$G$109),"",ReferenceData!$G$109),"")</f>
        <v>776.05</v>
      </c>
      <c r="H109">
        <f ca="1">IFERROR(IF(0=LEN(ReferenceData!$H$109),"",ReferenceData!$H$109),"")</f>
        <v>1001.9829999999999</v>
      </c>
      <c r="I109">
        <f ca="1">IFERROR(IF(0=LEN(ReferenceData!$I$109),"",ReferenceData!$I$109),"")</f>
        <v>991.52599999999995</v>
      </c>
      <c r="J109">
        <f ca="1">IFERROR(IF(0=LEN(ReferenceData!$J$109),"",ReferenceData!$J$109),"")</f>
        <v>1902.3</v>
      </c>
      <c r="K109">
        <f ca="1">IFERROR(IF(0=LEN(ReferenceData!$K$109),"",ReferenceData!$K$109),"")</f>
        <v>1496.7249999999999</v>
      </c>
      <c r="L109">
        <f ca="1">IFERROR(IF(0=LEN(ReferenceData!$L$109),"",ReferenceData!$L$109),"")</f>
        <v>1667.308</v>
      </c>
      <c r="M109">
        <f ca="1">IFERROR(IF(0=LEN(ReferenceData!$M$109),"",ReferenceData!$M$109),"")</f>
        <v>7147.5950000000003</v>
      </c>
      <c r="N109">
        <f ca="1">IFERROR(IF(0=LEN(ReferenceData!$N$109),"",ReferenceData!$N$109),"")</f>
        <v>1416.16</v>
      </c>
      <c r="O109">
        <f ca="1">IFERROR(IF(0=LEN(ReferenceData!$O$109),"",ReferenceData!$O$109),"")</f>
        <v>556.274</v>
      </c>
      <c r="P109">
        <f ca="1">IFERROR(IF(0=LEN(ReferenceData!$P$109),"",ReferenceData!$P$109),"")</f>
        <v>821.86900000000003</v>
      </c>
      <c r="Q109">
        <f ca="1">IFERROR(IF(0=LEN(ReferenceData!$Q$109),"",ReferenceData!$Q$109),"")</f>
        <v>1554.14</v>
      </c>
      <c r="R109">
        <f ca="1">IFERROR(IF(0=LEN(ReferenceData!$R$109),"",ReferenceData!$R$109),"")</f>
        <v>1327.5709999999999</v>
      </c>
      <c r="S109">
        <f ca="1">IFERROR(IF(0=LEN(ReferenceData!$S$109),"",ReferenceData!$S$109),"")</f>
        <v>1718.0070000000001</v>
      </c>
      <c r="T109">
        <f ca="1">IFERROR(IF(0=LEN(ReferenceData!$T$109),"",ReferenceData!$T$109),"")</f>
        <v>798.875</v>
      </c>
      <c r="U109">
        <f ca="1">IFERROR(IF(0=LEN(ReferenceData!$U$109),"",ReferenceData!$U$109),"")</f>
        <v>746.62900000000002</v>
      </c>
      <c r="V109">
        <f ca="1">IFERROR(IF(0=LEN(ReferenceData!$V$109),"",ReferenceData!$V$109),"")</f>
        <v>1725.3109999999999</v>
      </c>
      <c r="W109">
        <f ca="1">IFERROR(IF(0=LEN(ReferenceData!$W$109),"",ReferenceData!$W$109),"")</f>
        <v>1627.702</v>
      </c>
      <c r="X109">
        <f ca="1">IFERROR(IF(0=LEN(ReferenceData!$X$109),"",ReferenceData!$X$109),"")</f>
        <v>2090.3229999999999</v>
      </c>
      <c r="Y109">
        <f ca="1">IFERROR(IF(0=LEN(ReferenceData!$Y$109),"",ReferenceData!$Y$109),"")</f>
        <v>3837.7249999999999</v>
      </c>
      <c r="Z109">
        <f ca="1">IFERROR(IF(0=LEN(ReferenceData!$Z$109),"",ReferenceData!$Z$109),"")</f>
        <v>2486.0439999999999</v>
      </c>
      <c r="AA109">
        <f ca="1">IFERROR(IF(0=LEN(ReferenceData!$AA$109),"",ReferenceData!$AA$109),"")</f>
        <v>819.61599999999999</v>
      </c>
      <c r="AB109">
        <f ca="1">IFERROR(IF(0=LEN(ReferenceData!$AB$109),"",ReferenceData!$AB$109),"")</f>
        <v>1173.4000000000001</v>
      </c>
      <c r="AC109">
        <f ca="1">IFERROR(IF(0=LEN(ReferenceData!$AC$109),"",ReferenceData!$AC$109),"")</f>
        <v>739.82899999999995</v>
      </c>
      <c r="AD109">
        <f ca="1">IFERROR(IF(0=LEN(ReferenceData!$AD$109),"",ReferenceData!$AD$109),"")</f>
        <v>1159.5150000000001</v>
      </c>
      <c r="AE109">
        <f ca="1">IFERROR(IF(0=LEN(ReferenceData!$AE$109),"",ReferenceData!$AE$109),"")</f>
        <v>600</v>
      </c>
      <c r="AF109">
        <f ca="1">IFERROR(IF(0=LEN(ReferenceData!$AF$109),"",ReferenceData!$AF$109),"")</f>
        <v>1678.443</v>
      </c>
      <c r="AG109">
        <f ca="1">IFERROR(IF(0=LEN(ReferenceData!$AG$109),"",ReferenceData!$AG$109),"")</f>
        <v>356.07100000000003</v>
      </c>
      <c r="AH109">
        <f ca="1">IFERROR(IF(0=LEN(ReferenceData!$AH$109),"",ReferenceData!$AH$109),"")</f>
        <v>890.08500000000004</v>
      </c>
      <c r="AI109">
        <f ca="1">IFERROR(IF(0=LEN(ReferenceData!$AI$109),"",ReferenceData!$AI$109),"")</f>
        <v>656.06700000000001</v>
      </c>
      <c r="AJ109">
        <f ca="1">IFERROR(IF(0=LEN(ReferenceData!$AJ$109),"",ReferenceData!$AJ$109),"")</f>
        <v>281.45</v>
      </c>
      <c r="AK109">
        <f ca="1">IFERROR(IF(0=LEN(ReferenceData!$AK$109),"",ReferenceData!$AK$109),"")</f>
        <v>360.57799999999997</v>
      </c>
      <c r="AL109">
        <f ca="1">IFERROR(IF(0=LEN(ReferenceData!$AL$109),"",ReferenceData!$AL$109),"")</f>
        <v>990.03800000000001</v>
      </c>
      <c r="AM109">
        <f ca="1">IFERROR(IF(0=LEN(ReferenceData!$AM$109),"",ReferenceData!$AM$109),"")</f>
        <v>1016.101</v>
      </c>
      <c r="AN109">
        <f ca="1">IFERROR(IF(0=LEN(ReferenceData!$AN$109),"",ReferenceData!$AN$109),"")</f>
        <v>687.12199999999996</v>
      </c>
      <c r="AO109">
        <f ca="1">IFERROR(IF(0=LEN(ReferenceData!$AO$109),"",ReferenceData!$AO$109),"")</f>
        <v>369.47699999999998</v>
      </c>
      <c r="AP109">
        <f ca="1">IFERROR(IF(0=LEN(ReferenceData!$AP$109),"",ReferenceData!$AP$109),"")</f>
        <v>1224.4069999999999</v>
      </c>
      <c r="AQ109">
        <f ca="1">IFERROR(IF(0=LEN(ReferenceData!$AQ$109),"",ReferenceData!$AQ$109),"")</f>
        <v>1968.896</v>
      </c>
      <c r="AR109">
        <f ca="1">IFERROR(IF(0=LEN(ReferenceData!$AR$109),"",ReferenceData!$AR$109),"")</f>
        <v>1533.4590000000001</v>
      </c>
      <c r="AS109">
        <f ca="1">IFERROR(IF(0=LEN(ReferenceData!$AS$109),"",ReferenceData!$AS$109),"")</f>
        <v>2264.3380000000002</v>
      </c>
      <c r="AT109">
        <f ca="1">IFERROR(IF(0=LEN(ReferenceData!$AT$109),"",ReferenceData!$AT$109),"")</f>
        <v>1254.201</v>
      </c>
      <c r="AU109">
        <f ca="1">IFERROR(IF(0=LEN(ReferenceData!$AU$109),"",ReferenceData!$AU$109),"")</f>
        <v>2004.2339999999999</v>
      </c>
      <c r="AV109">
        <f ca="1">IFERROR(IF(0=LEN(ReferenceData!$AV$109),"",ReferenceData!$AV$109),"")</f>
        <v>1239.174</v>
      </c>
      <c r="AW109">
        <f ca="1">IFERROR(IF(0=LEN(ReferenceData!$AW$109),"",ReferenceData!$AW$109),"")</f>
        <v>1249.76</v>
      </c>
      <c r="AX109">
        <f ca="1">IFERROR(IF(0=LEN(ReferenceData!$AX$109),"",ReferenceData!$AX$109),"")</f>
        <v>3001.4349999999999</v>
      </c>
      <c r="AY109">
        <f ca="1">IFERROR(IF(0=LEN(ReferenceData!$AY$109),"",ReferenceData!$AY$109),"")</f>
        <v>881.32500000000005</v>
      </c>
      <c r="AZ109">
        <f ca="1">IFERROR(IF(0=LEN(ReferenceData!$AZ$109),"",ReferenceData!$AZ$109),"")</f>
        <v>1395.633</v>
      </c>
      <c r="BA109">
        <f ca="1">IFERROR(IF(0=LEN(ReferenceData!$BA$109),"",ReferenceData!$BA$109),"")</f>
        <v>1639.4059999999999</v>
      </c>
      <c r="BB109">
        <f ca="1">IFERROR(IF(0=LEN(ReferenceData!$BB$109),"",ReferenceData!$BB$109),"")</f>
        <v>1915.4090000000001</v>
      </c>
      <c r="BC109">
        <f ca="1">IFERROR(IF(0=LEN(ReferenceData!$BC$109),"",ReferenceData!$BC$109),"")</f>
        <v>1908.319</v>
      </c>
      <c r="BD109">
        <f ca="1">IFERROR(IF(0=LEN(ReferenceData!$BD$109),"",ReferenceData!$BD$109),"")</f>
        <v>969.78499999999997</v>
      </c>
      <c r="BE109">
        <f ca="1">IFERROR(IF(0=LEN(ReferenceData!$BE$109),"",ReferenceData!$BE$109),"")</f>
        <v>1034.604</v>
      </c>
      <c r="BF109">
        <f ca="1">IFERROR(IF(0=LEN(ReferenceData!$BF$109),"",ReferenceData!$BF$109),"")</f>
        <v>1845.5</v>
      </c>
      <c r="BG109">
        <f ca="1">IFERROR(IF(0=LEN(ReferenceData!$BG$109),"",ReferenceData!$BG$109),"")</f>
        <v>1615.1479999999999</v>
      </c>
      <c r="BH109">
        <f ca="1">IFERROR(IF(0=LEN(ReferenceData!$BH$109),"",ReferenceData!$BH$109),"")</f>
        <v>1027.9849999999999</v>
      </c>
      <c r="BI109">
        <f ca="1">IFERROR(IF(0=LEN(ReferenceData!$BI$109),"",ReferenceData!$BI$109),"")</f>
        <v>664.08699999999999</v>
      </c>
      <c r="BJ109">
        <f ca="1">IFERROR(IF(0=LEN(ReferenceData!$BJ$109),"",ReferenceData!$BJ$109),"")</f>
        <v>18.8</v>
      </c>
      <c r="BK109">
        <f ca="1">IFERROR(IF(0=LEN(ReferenceData!$BK$109),"",ReferenceData!$BK$109),"")</f>
        <v>19.399999999999999</v>
      </c>
      <c r="BL109">
        <f ca="1">IFERROR(IF(0=LEN(ReferenceData!$BL$109),"",ReferenceData!$BL$109),"")</f>
        <v>39.299999999999997</v>
      </c>
      <c r="BM109">
        <f ca="1">IFERROR(IF(0=LEN(ReferenceData!$BM$109),"",ReferenceData!$BM$109),"")</f>
        <v>8</v>
      </c>
    </row>
    <row r="110" spans="1:65">
      <c r="A110" t="str">
        <f>IFERROR(IF(0=LEN(ReferenceData!$A$110),"",ReferenceData!$A$110),"")</f>
        <v xml:space="preserve">    Apartment REITs</v>
      </c>
      <c r="B110" t="str">
        <f>IFERROR(IF(0=LEN(ReferenceData!$B$110),"",ReferenceData!$B$110),"")</f>
        <v>RECFDSAP Index</v>
      </c>
      <c r="C110" t="str">
        <f>IFERROR(IF(0=LEN(ReferenceData!$C$110),"",ReferenceData!$C$110),"")</f>
        <v/>
      </c>
      <c r="D110" t="str">
        <f>IFERROR(IF(0=LEN(ReferenceData!$D$110),"",ReferenceData!$D$110),"")</f>
        <v/>
      </c>
      <c r="E110" t="str">
        <f>IFERROR(IF(0=LEN(ReferenceData!$E$110),"",ReferenceData!$E$110),"")</f>
        <v>Expression</v>
      </c>
      <c r="F110">
        <f ca="1">IFERROR(IF(0=LEN(ReferenceData!$F$110),"",ReferenceData!$F$110),"")</f>
        <v>1046.9000000000001</v>
      </c>
      <c r="G110">
        <f ca="1">IFERROR(IF(0=LEN(ReferenceData!$G$110),"",ReferenceData!$G$110),"")</f>
        <v>682.65</v>
      </c>
      <c r="H110">
        <f ca="1">IFERROR(IF(0=LEN(ReferenceData!$H$110),"",ReferenceData!$H$110),"")</f>
        <v>826.98800000000006</v>
      </c>
      <c r="I110">
        <f ca="1">IFERROR(IF(0=LEN(ReferenceData!$I$110),"",ReferenceData!$I$110),"")</f>
        <v>871</v>
      </c>
      <c r="J110">
        <f ca="1">IFERROR(IF(0=LEN(ReferenceData!$J$110),"",ReferenceData!$J$110),"")</f>
        <v>1818</v>
      </c>
      <c r="K110">
        <f ca="1">IFERROR(IF(0=LEN(ReferenceData!$K$110),"",ReferenceData!$K$110),"")</f>
        <v>1402.4639999999999</v>
      </c>
      <c r="L110">
        <f ca="1">IFERROR(IF(0=LEN(ReferenceData!$L$110),"",ReferenceData!$L$110),"")</f>
        <v>1567.6</v>
      </c>
      <c r="M110">
        <f ca="1">IFERROR(IF(0=LEN(ReferenceData!$M$110),"",ReferenceData!$M$110),"")</f>
        <v>7086.3530000000001</v>
      </c>
      <c r="N110">
        <f ca="1">IFERROR(IF(0=LEN(ReferenceData!$N$110),"",ReferenceData!$N$110),"")</f>
        <v>1171.3</v>
      </c>
      <c r="O110">
        <f ca="1">IFERROR(IF(0=LEN(ReferenceData!$O$110),"",ReferenceData!$O$110),"")</f>
        <v>504.21800000000002</v>
      </c>
      <c r="P110">
        <f ca="1">IFERROR(IF(0=LEN(ReferenceData!$P$110),"",ReferenceData!$P$110),"")</f>
        <v>810.202</v>
      </c>
      <c r="Q110">
        <f ca="1">IFERROR(IF(0=LEN(ReferenceData!$Q$110),"",ReferenceData!$Q$110),"")</f>
        <v>1534.9</v>
      </c>
      <c r="R110">
        <f ca="1">IFERROR(IF(0=LEN(ReferenceData!$R$110),"",ReferenceData!$R$110),"")</f>
        <v>1326.998</v>
      </c>
      <c r="S110">
        <f ca="1">IFERROR(IF(0=LEN(ReferenceData!$S$110),"",ReferenceData!$S$110),"")</f>
        <v>1671.4349999999999</v>
      </c>
      <c r="T110">
        <f ca="1">IFERROR(IF(0=LEN(ReferenceData!$T$110),"",ReferenceData!$T$110),"")</f>
        <v>781.375</v>
      </c>
      <c r="U110">
        <f ca="1">IFERROR(IF(0=LEN(ReferenceData!$U$110),"",ReferenceData!$U$110),"")</f>
        <v>745.39700000000005</v>
      </c>
      <c r="V110">
        <f ca="1">IFERROR(IF(0=LEN(ReferenceData!$V$110),"",ReferenceData!$V$110),"")</f>
        <v>1723.567</v>
      </c>
      <c r="W110">
        <f ca="1">IFERROR(IF(0=LEN(ReferenceData!$W$110),"",ReferenceData!$W$110),"")</f>
        <v>1458.5070000000001</v>
      </c>
      <c r="X110">
        <f ca="1">IFERROR(IF(0=LEN(ReferenceData!$X$110),"",ReferenceData!$X$110),"")</f>
        <v>2090.3229999999999</v>
      </c>
      <c r="Y110">
        <f ca="1">IFERROR(IF(0=LEN(ReferenceData!$Y$110),"",ReferenceData!$Y$110),"")</f>
        <v>3837.7249999999999</v>
      </c>
      <c r="Z110">
        <f ca="1">IFERROR(IF(0=LEN(ReferenceData!$Z$110),"",ReferenceData!$Z$110),"")</f>
        <v>2477.3440000000001</v>
      </c>
      <c r="AA110">
        <f ca="1">IFERROR(IF(0=LEN(ReferenceData!$AA$110),"",ReferenceData!$AA$110),"")</f>
        <v>819.61599999999999</v>
      </c>
      <c r="AB110">
        <f ca="1">IFERROR(IF(0=LEN(ReferenceData!$AB$110),"",ReferenceData!$AB$110),"")</f>
        <v>1173.4000000000001</v>
      </c>
      <c r="AC110">
        <f ca="1">IFERROR(IF(0=LEN(ReferenceData!$AC$110),"",ReferenceData!$AC$110),"")</f>
        <v>739.82899999999995</v>
      </c>
      <c r="AD110">
        <f ca="1">IFERROR(IF(0=LEN(ReferenceData!$AD$110),"",ReferenceData!$AD$110),"")</f>
        <v>1159.5150000000001</v>
      </c>
      <c r="AE110">
        <f ca="1">IFERROR(IF(0=LEN(ReferenceData!$AE$110),"",ReferenceData!$AE$110),"")</f>
        <v>600</v>
      </c>
      <c r="AF110">
        <f ca="1">IFERROR(IF(0=LEN(ReferenceData!$AF$110),"",ReferenceData!$AF$110),"")</f>
        <v>1678.443</v>
      </c>
      <c r="AG110">
        <f ca="1">IFERROR(IF(0=LEN(ReferenceData!$AG$110),"",ReferenceData!$AG$110),"")</f>
        <v>356.07100000000003</v>
      </c>
      <c r="AH110">
        <f ca="1">IFERROR(IF(0=LEN(ReferenceData!$AH$110),"",ReferenceData!$AH$110),"")</f>
        <v>890.08500000000004</v>
      </c>
      <c r="AI110">
        <f ca="1">IFERROR(IF(0=LEN(ReferenceData!$AI$110),"",ReferenceData!$AI$110),"")</f>
        <v>656.06700000000001</v>
      </c>
      <c r="AJ110">
        <f ca="1">IFERROR(IF(0=LEN(ReferenceData!$AJ$110),"",ReferenceData!$AJ$110),"")</f>
        <v>281.45</v>
      </c>
      <c r="AK110">
        <f ca="1">IFERROR(IF(0=LEN(ReferenceData!$AK$110),"",ReferenceData!$AK$110),"")</f>
        <v>356.95</v>
      </c>
      <c r="AL110">
        <f ca="1">IFERROR(IF(0=LEN(ReferenceData!$AL$110),"",ReferenceData!$AL$110),"")</f>
        <v>990.03800000000001</v>
      </c>
      <c r="AM110">
        <f ca="1">IFERROR(IF(0=LEN(ReferenceData!$AM$110),"",ReferenceData!$AM$110),"")</f>
        <v>1003.701</v>
      </c>
      <c r="AN110">
        <f ca="1">IFERROR(IF(0=LEN(ReferenceData!$AN$110),"",ReferenceData!$AN$110),"")</f>
        <v>684.92200000000003</v>
      </c>
      <c r="AO110">
        <f ca="1">IFERROR(IF(0=LEN(ReferenceData!$AO$110),"",ReferenceData!$AO$110),"")</f>
        <v>369.47699999999998</v>
      </c>
      <c r="AP110">
        <f ca="1">IFERROR(IF(0=LEN(ReferenceData!$AP$110),"",ReferenceData!$AP$110),"")</f>
        <v>1224.4069999999999</v>
      </c>
      <c r="AQ110">
        <f ca="1">IFERROR(IF(0=LEN(ReferenceData!$AQ$110),"",ReferenceData!$AQ$110),"")</f>
        <v>1968.896</v>
      </c>
      <c r="AR110">
        <f ca="1">IFERROR(IF(0=LEN(ReferenceData!$AR$110),"",ReferenceData!$AR$110),"")</f>
        <v>1531.3589999999999</v>
      </c>
      <c r="AS110">
        <f ca="1">IFERROR(IF(0=LEN(ReferenceData!$AS$110),"",ReferenceData!$AS$110),"")</f>
        <v>2264.3380000000002</v>
      </c>
      <c r="AT110">
        <f ca="1">IFERROR(IF(0=LEN(ReferenceData!$AT$110),"",ReferenceData!$AT$110),"")</f>
        <v>1251.6010000000001</v>
      </c>
      <c r="AU110">
        <f ca="1">IFERROR(IF(0=LEN(ReferenceData!$AU$110),"",ReferenceData!$AU$110),"")</f>
        <v>1973.634</v>
      </c>
      <c r="AV110">
        <f ca="1">IFERROR(IF(0=LEN(ReferenceData!$AV$110),"",ReferenceData!$AV$110),"")</f>
        <v>1239.174</v>
      </c>
      <c r="AW110">
        <f ca="1">IFERROR(IF(0=LEN(ReferenceData!$AW$110),"",ReferenceData!$AW$110),"")</f>
        <v>1242.06</v>
      </c>
      <c r="AX110">
        <f ca="1">IFERROR(IF(0=LEN(ReferenceData!$AX$110),"",ReferenceData!$AX$110),"")</f>
        <v>2996.335</v>
      </c>
      <c r="AY110">
        <f ca="1">IFERROR(IF(0=LEN(ReferenceData!$AY$110),"",ReferenceData!$AY$110),"")</f>
        <v>881.32500000000005</v>
      </c>
      <c r="AZ110">
        <f ca="1">IFERROR(IF(0=LEN(ReferenceData!$AZ$110),"",ReferenceData!$AZ$110),"")</f>
        <v>1395.633</v>
      </c>
      <c r="BA110">
        <f ca="1">IFERROR(IF(0=LEN(ReferenceData!$BA$110),"",ReferenceData!$BA$110),"")</f>
        <v>1584.4059999999999</v>
      </c>
      <c r="BB110">
        <f ca="1">IFERROR(IF(0=LEN(ReferenceData!$BB$110),"",ReferenceData!$BB$110),"")</f>
        <v>1908.7090000000001</v>
      </c>
      <c r="BC110">
        <f ca="1">IFERROR(IF(0=LEN(ReferenceData!$BC$110),"",ReferenceData!$BC$110),"")</f>
        <v>1768.8019999999999</v>
      </c>
      <c r="BD110">
        <f ca="1">IFERROR(IF(0=LEN(ReferenceData!$BD$110),"",ReferenceData!$BD$110),"")</f>
        <v>964.08500000000004</v>
      </c>
      <c r="BE110">
        <f ca="1">IFERROR(IF(0=LEN(ReferenceData!$BE$110),"",ReferenceData!$BE$110),"")</f>
        <v>1034.604</v>
      </c>
      <c r="BF110">
        <f ca="1">IFERROR(IF(0=LEN(ReferenceData!$BF$110),"",ReferenceData!$BF$110),"")</f>
        <v>1820.893</v>
      </c>
      <c r="BG110">
        <f ca="1">IFERROR(IF(0=LEN(ReferenceData!$BG$110),"",ReferenceData!$BG$110),"")</f>
        <v>1587.136</v>
      </c>
      <c r="BH110">
        <f ca="1">IFERROR(IF(0=LEN(ReferenceData!$BH$110),"",ReferenceData!$BH$110),"")</f>
        <v>1024.585</v>
      </c>
      <c r="BI110">
        <f ca="1">IFERROR(IF(0=LEN(ReferenceData!$BI$110),"",ReferenceData!$BI$110),"")</f>
        <v>664.08699999999999</v>
      </c>
      <c r="BJ110">
        <f ca="1">IFERROR(IF(0=LEN(ReferenceData!$BJ$110),"",ReferenceData!$BJ$110),"")</f>
        <v>18.8</v>
      </c>
      <c r="BK110">
        <f ca="1">IFERROR(IF(0=LEN(ReferenceData!$BK$110),"",ReferenceData!$BK$110),"")</f>
        <v>19.399999999999999</v>
      </c>
      <c r="BL110">
        <f ca="1">IFERROR(IF(0=LEN(ReferenceData!$BL$110),"",ReferenceData!$BL$110),"")</f>
        <v>12.2</v>
      </c>
      <c r="BM110">
        <f ca="1">IFERROR(IF(0=LEN(ReferenceData!$BM$110),"",ReferenceData!$BM$110),"")</f>
        <v>8</v>
      </c>
    </row>
    <row r="111" spans="1:65">
      <c r="A111" t="str">
        <f>IFERROR(IF(0=LEN(ReferenceData!$A$111),"",ReferenceData!$A$111),"")</f>
        <v xml:space="preserve">    Manufactured Home REITs</v>
      </c>
      <c r="B111" t="str">
        <f>IFERROR(IF(0=LEN(ReferenceData!$B$111),"",ReferenceData!$B$111),"")</f>
        <v>RECFDSMH Index</v>
      </c>
      <c r="C111" t="str">
        <f>IFERROR(IF(0=LEN(ReferenceData!$C$111),"",ReferenceData!$C$111),"")</f>
        <v/>
      </c>
      <c r="D111" t="str">
        <f>IFERROR(IF(0=LEN(ReferenceData!$D$111),"",ReferenceData!$D$111),"")</f>
        <v/>
      </c>
      <c r="E111" t="str">
        <f>IFERROR(IF(0=LEN(ReferenceData!$E$111),"",ReferenceData!$E$111),"")</f>
        <v>Expression</v>
      </c>
      <c r="F111">
        <f ca="1">IFERROR(IF(0=LEN(ReferenceData!$F$111),"",ReferenceData!$F$111),"")</f>
        <v>0</v>
      </c>
      <c r="G111">
        <f ca="1">IFERROR(IF(0=LEN(ReferenceData!$G$111),"",ReferenceData!$G$111),"")</f>
        <v>0</v>
      </c>
      <c r="H111">
        <f ca="1">IFERROR(IF(0=LEN(ReferenceData!$H$111),"",ReferenceData!$H$111),"")</f>
        <v>0</v>
      </c>
      <c r="I111">
        <f ca="1">IFERROR(IF(0=LEN(ReferenceData!$I$111),"",ReferenceData!$I$111),"")</f>
        <v>0</v>
      </c>
      <c r="J111">
        <f ca="1">IFERROR(IF(0=LEN(ReferenceData!$J$111),"",ReferenceData!$J$111),"")</f>
        <v>0</v>
      </c>
      <c r="K111">
        <f ca="1">IFERROR(IF(0=LEN(ReferenceData!$K$111),"",ReferenceData!$K$111),"")</f>
        <v>0</v>
      </c>
      <c r="L111">
        <f ca="1">IFERROR(IF(0=LEN(ReferenceData!$L$111),"",ReferenceData!$L$111),"")</f>
        <v>0</v>
      </c>
      <c r="M111">
        <f ca="1">IFERROR(IF(0=LEN(ReferenceData!$M$111),"",ReferenceData!$M$111),"")</f>
        <v>0</v>
      </c>
      <c r="N111">
        <f ca="1">IFERROR(IF(0=LEN(ReferenceData!$N$111),"",ReferenceData!$N$111),"")</f>
        <v>174</v>
      </c>
      <c r="O111">
        <f ca="1">IFERROR(IF(0=LEN(ReferenceData!$O$111),"",ReferenceData!$O$111),"")</f>
        <v>32.5</v>
      </c>
      <c r="P111">
        <f ca="1">IFERROR(IF(0=LEN(ReferenceData!$P$111),"",ReferenceData!$P$111),"")</f>
        <v>0</v>
      </c>
      <c r="Q111">
        <f ca="1">IFERROR(IF(0=LEN(ReferenceData!$Q$111),"",ReferenceData!$Q$111),"")</f>
        <v>18</v>
      </c>
      <c r="R111">
        <f ca="1">IFERROR(IF(0=LEN(ReferenceData!$R$111),"",ReferenceData!$R$111),"")</f>
        <v>0</v>
      </c>
      <c r="S111">
        <f ca="1">IFERROR(IF(0=LEN(ReferenceData!$S$111),"",ReferenceData!$S$111),"")</f>
        <v>44.6</v>
      </c>
      <c r="T111">
        <f ca="1">IFERROR(IF(0=LEN(ReferenceData!$T$111),"",ReferenceData!$T$111),"")</f>
        <v>15.298</v>
      </c>
      <c r="U111">
        <f ca="1">IFERROR(IF(0=LEN(ReferenceData!$U$111),"",ReferenceData!$U$111),"")</f>
        <v>0</v>
      </c>
      <c r="V111">
        <f ca="1">IFERROR(IF(0=LEN(ReferenceData!$V$111),"",ReferenceData!$V$111),"")</f>
        <v>0</v>
      </c>
      <c r="W111">
        <f ca="1">IFERROR(IF(0=LEN(ReferenceData!$W$111),"",ReferenceData!$W$111),"")</f>
        <v>165</v>
      </c>
      <c r="X111">
        <f ca="1">IFERROR(IF(0=LEN(ReferenceData!$X$111),"",ReferenceData!$X$111),"")</f>
        <v>0</v>
      </c>
      <c r="Y111">
        <f ca="1">IFERROR(IF(0=LEN(ReferenceData!$Y$111),"",ReferenceData!$Y$111),"")</f>
        <v>0</v>
      </c>
      <c r="Z111">
        <f ca="1">IFERROR(IF(0=LEN(ReferenceData!$Z$111),"",ReferenceData!$Z$111),"")</f>
        <v>8.6999999999999993</v>
      </c>
      <c r="AA111">
        <f ca="1">IFERROR(IF(0=LEN(ReferenceData!$AA$111),"",ReferenceData!$AA$111),"")</f>
        <v>0</v>
      </c>
      <c r="AB111">
        <f ca="1">IFERROR(IF(0=LEN(ReferenceData!$AB$111),"",ReferenceData!$AB$111),"")</f>
        <v>0</v>
      </c>
      <c r="AC111">
        <f ca="1">IFERROR(IF(0=LEN(ReferenceData!$AC$111),"",ReferenceData!$AC$111),"")</f>
        <v>0</v>
      </c>
      <c r="AD111">
        <f ca="1">IFERROR(IF(0=LEN(ReferenceData!$AD$111),"",ReferenceData!$AD$111),"")</f>
        <v>0</v>
      </c>
      <c r="AE111">
        <f ca="1">IFERROR(IF(0=LEN(ReferenceData!$AE$111),"",ReferenceData!$AE$111),"")</f>
        <v>0</v>
      </c>
      <c r="AF111">
        <f ca="1">IFERROR(IF(0=LEN(ReferenceData!$AF$111),"",ReferenceData!$AF$111),"")</f>
        <v>0</v>
      </c>
      <c r="AG111">
        <f ca="1">IFERROR(IF(0=LEN(ReferenceData!$AG$111),"",ReferenceData!$AG$111),"")</f>
        <v>0</v>
      </c>
      <c r="AH111">
        <f ca="1">IFERROR(IF(0=LEN(ReferenceData!$AH$111),"",ReferenceData!$AH$111),"")</f>
        <v>0</v>
      </c>
      <c r="AI111">
        <f ca="1">IFERROR(IF(0=LEN(ReferenceData!$AI$111),"",ReferenceData!$AI$111),"")</f>
        <v>0</v>
      </c>
      <c r="AJ111">
        <f ca="1">IFERROR(IF(0=LEN(ReferenceData!$AJ$111),"",ReferenceData!$AJ$111),"")</f>
        <v>0</v>
      </c>
      <c r="AK111">
        <f ca="1">IFERROR(IF(0=LEN(ReferenceData!$AK$111),"",ReferenceData!$AK$111),"")</f>
        <v>3.6280000000000001</v>
      </c>
      <c r="AL111">
        <f ca="1">IFERROR(IF(0=LEN(ReferenceData!$AL$111),"",ReferenceData!$AL$111),"")</f>
        <v>0</v>
      </c>
      <c r="AM111">
        <f ca="1">IFERROR(IF(0=LEN(ReferenceData!$AM$111),"",ReferenceData!$AM$111),"")</f>
        <v>12.4</v>
      </c>
      <c r="AN111">
        <f ca="1">IFERROR(IF(0=LEN(ReferenceData!$AN$111),"",ReferenceData!$AN$111),"")</f>
        <v>2.2000000000000002</v>
      </c>
      <c r="AO111">
        <f ca="1">IFERROR(IF(0=LEN(ReferenceData!$AO$111),"",ReferenceData!$AO$111),"")</f>
        <v>0</v>
      </c>
      <c r="AP111">
        <f ca="1">IFERROR(IF(0=LEN(ReferenceData!$AP$111),"",ReferenceData!$AP$111),"")</f>
        <v>0</v>
      </c>
      <c r="AQ111">
        <f ca="1">IFERROR(IF(0=LEN(ReferenceData!$AQ$111),"",ReferenceData!$AQ$111),"")</f>
        <v>0</v>
      </c>
      <c r="AR111">
        <f ca="1">IFERROR(IF(0=LEN(ReferenceData!$AR$111),"",ReferenceData!$AR$111),"")</f>
        <v>2.1</v>
      </c>
      <c r="AS111">
        <f ca="1">IFERROR(IF(0=LEN(ReferenceData!$AS$111),"",ReferenceData!$AS$111),"")</f>
        <v>0</v>
      </c>
      <c r="AT111">
        <f ca="1">IFERROR(IF(0=LEN(ReferenceData!$AT$111),"",ReferenceData!$AT$111),"")</f>
        <v>2.6</v>
      </c>
      <c r="AU111">
        <f ca="1">IFERROR(IF(0=LEN(ReferenceData!$AU$111),"",ReferenceData!$AU$111),"")</f>
        <v>30.6</v>
      </c>
      <c r="AV111">
        <f ca="1">IFERROR(IF(0=LEN(ReferenceData!$AV$111),"",ReferenceData!$AV$111),"")</f>
        <v>0</v>
      </c>
      <c r="AW111">
        <f ca="1">IFERROR(IF(0=LEN(ReferenceData!$AW$111),"",ReferenceData!$AW$111),"")</f>
        <v>7.7</v>
      </c>
      <c r="AX111">
        <f ca="1">IFERROR(IF(0=LEN(ReferenceData!$AX$111),"",ReferenceData!$AX$111),"")</f>
        <v>5.0999999999999996</v>
      </c>
      <c r="AY111">
        <f ca="1">IFERROR(IF(0=LEN(ReferenceData!$AY$111),"",ReferenceData!$AY$111),"")</f>
        <v>0</v>
      </c>
      <c r="AZ111">
        <f ca="1">IFERROR(IF(0=LEN(ReferenceData!$AZ$111),"",ReferenceData!$AZ$111),"")</f>
        <v>0</v>
      </c>
      <c r="BA111">
        <f ca="1">IFERROR(IF(0=LEN(ReferenceData!$BA$111),"",ReferenceData!$BA$111),"")</f>
        <v>55</v>
      </c>
      <c r="BB111">
        <f ca="1">IFERROR(IF(0=LEN(ReferenceData!$BB$111),"",ReferenceData!$BB$111),"")</f>
        <v>6.7</v>
      </c>
      <c r="BC111">
        <f ca="1">IFERROR(IF(0=LEN(ReferenceData!$BC$111),"",ReferenceData!$BC$111),"")</f>
        <v>139.517</v>
      </c>
      <c r="BD111">
        <f ca="1">IFERROR(IF(0=LEN(ReferenceData!$BD$111),"",ReferenceData!$BD$111),"")</f>
        <v>5.7</v>
      </c>
      <c r="BE111">
        <f ca="1">IFERROR(IF(0=LEN(ReferenceData!$BE$111),"",ReferenceData!$BE$111),"")</f>
        <v>0</v>
      </c>
      <c r="BF111">
        <f ca="1">IFERROR(IF(0=LEN(ReferenceData!$BF$111),"",ReferenceData!$BF$111),"")</f>
        <v>24.606999999999999</v>
      </c>
      <c r="BG111">
        <f ca="1">IFERROR(IF(0=LEN(ReferenceData!$BG$111),"",ReferenceData!$BG$111),"")</f>
        <v>28.012</v>
      </c>
      <c r="BH111">
        <f ca="1">IFERROR(IF(0=LEN(ReferenceData!$BH$111),"",ReferenceData!$BH$111),"")</f>
        <v>3.4</v>
      </c>
      <c r="BI111">
        <f ca="1">IFERROR(IF(0=LEN(ReferenceData!$BI$111),"",ReferenceData!$BI$111),"")</f>
        <v>0</v>
      </c>
      <c r="BJ111">
        <f ca="1">IFERROR(IF(0=LEN(ReferenceData!$BJ$111),"",ReferenceData!$BJ$111),"")</f>
        <v>0</v>
      </c>
      <c r="BK111">
        <f ca="1">IFERROR(IF(0=LEN(ReferenceData!$BK$111),"",ReferenceData!$BK$111),"")</f>
        <v>0</v>
      </c>
      <c r="BL111">
        <f ca="1">IFERROR(IF(0=LEN(ReferenceData!$BL$111),"",ReferenceData!$BL$111),"")</f>
        <v>27.1</v>
      </c>
      <c r="BM111">
        <f ca="1">IFERROR(IF(0=LEN(ReferenceData!$BM$111),"",ReferenceData!$BM$111),"")</f>
        <v>0</v>
      </c>
    </row>
    <row r="112" spans="1:65">
      <c r="A112" t="str">
        <f>IFERROR(IF(0=LEN(ReferenceData!$A$112),"",ReferenceData!$A$112),"")</f>
        <v xml:space="preserve">    Single Family Rental REITs</v>
      </c>
      <c r="B112" t="str">
        <f>IFERROR(IF(0=LEN(ReferenceData!$B$112),"",ReferenceData!$B$112),"")</f>
        <v>RECFDSSF Index</v>
      </c>
      <c r="C112" t="str">
        <f>IFERROR(IF(0=LEN(ReferenceData!$C$112),"",ReferenceData!$C$112),"")</f>
        <v/>
      </c>
      <c r="D112" t="str">
        <f>IFERROR(IF(0=LEN(ReferenceData!$D$112),"",ReferenceData!$D$112),"")</f>
        <v/>
      </c>
      <c r="E112" t="str">
        <f>IFERROR(IF(0=LEN(ReferenceData!$E$112),"",ReferenceData!$E$112),"")</f>
        <v>Expression</v>
      </c>
      <c r="F112">
        <f ca="1">IFERROR(IF(0=LEN(ReferenceData!$F$112),"",ReferenceData!$F$112),"")</f>
        <v>57.856999999999999</v>
      </c>
      <c r="G112">
        <f ca="1">IFERROR(IF(0=LEN(ReferenceData!$G$112),"",ReferenceData!$G$112),"")</f>
        <v>93.4</v>
      </c>
      <c r="H112">
        <f ca="1">IFERROR(IF(0=LEN(ReferenceData!$H$112),"",ReferenceData!$H$112),"")</f>
        <v>174.995</v>
      </c>
      <c r="I112">
        <f ca="1">IFERROR(IF(0=LEN(ReferenceData!$I$112),"",ReferenceData!$I$112),"")</f>
        <v>120.526</v>
      </c>
      <c r="J112">
        <f ca="1">IFERROR(IF(0=LEN(ReferenceData!$J$112),"",ReferenceData!$J$112),"")</f>
        <v>84.3</v>
      </c>
      <c r="K112">
        <f ca="1">IFERROR(IF(0=LEN(ReferenceData!$K$112),"",ReferenceData!$K$112),"")</f>
        <v>94.260999999999996</v>
      </c>
      <c r="L112">
        <f ca="1">IFERROR(IF(0=LEN(ReferenceData!$L$112),"",ReferenceData!$L$112),"")</f>
        <v>99.707999999999998</v>
      </c>
      <c r="M112">
        <f ca="1">IFERROR(IF(0=LEN(ReferenceData!$M$112),"",ReferenceData!$M$112),"")</f>
        <v>61.241999999999997</v>
      </c>
      <c r="N112">
        <f ca="1">IFERROR(IF(0=LEN(ReferenceData!$N$112),"",ReferenceData!$N$112),"")</f>
        <v>70.86</v>
      </c>
      <c r="O112">
        <f ca="1">IFERROR(IF(0=LEN(ReferenceData!$O$112),"",ReferenceData!$O$112),"")</f>
        <v>19.556000000000001</v>
      </c>
      <c r="P112">
        <f ca="1">IFERROR(IF(0=LEN(ReferenceData!$P$112),"",ReferenceData!$P$112),"")</f>
        <v>11.667</v>
      </c>
      <c r="Q112">
        <f ca="1">IFERROR(IF(0=LEN(ReferenceData!$Q$112),"",ReferenceData!$Q$112),"")</f>
        <v>1.24</v>
      </c>
      <c r="R112">
        <f ca="1">IFERROR(IF(0=LEN(ReferenceData!$R$112),"",ReferenceData!$R$112),"")</f>
        <v>0.57299999999999995</v>
      </c>
      <c r="S112">
        <f ca="1">IFERROR(IF(0=LEN(ReferenceData!$S$112),"",ReferenceData!$S$112),"")</f>
        <v>1.972</v>
      </c>
      <c r="T112">
        <f ca="1">IFERROR(IF(0=LEN(ReferenceData!$T$112),"",ReferenceData!$T$112),"")</f>
        <v>2.202</v>
      </c>
      <c r="U112">
        <f ca="1">IFERROR(IF(0=LEN(ReferenceData!$U$112),"",ReferenceData!$U$112),"")</f>
        <v>1.232</v>
      </c>
      <c r="V112">
        <f ca="1">IFERROR(IF(0=LEN(ReferenceData!$V$112),"",ReferenceData!$V$112),"")</f>
        <v>1.744</v>
      </c>
      <c r="W112">
        <f ca="1">IFERROR(IF(0=LEN(ReferenceData!$W$112),"",ReferenceData!$W$112),"")</f>
        <v>4.1950000000000003</v>
      </c>
      <c r="X112">
        <f ca="1">IFERROR(IF(0=LEN(ReferenceData!$X$112),"",ReferenceData!$X$112),"")</f>
        <v>0</v>
      </c>
      <c r="Y112">
        <f ca="1">IFERROR(IF(0=LEN(ReferenceData!$Y$112),"",ReferenceData!$Y$112),"")</f>
        <v>0</v>
      </c>
      <c r="Z112">
        <f ca="1">IFERROR(IF(0=LEN(ReferenceData!$Z$112),"",ReferenceData!$Z$112),"")</f>
        <v>0</v>
      </c>
      <c r="AA112">
        <f ca="1">IFERROR(IF(0=LEN(ReferenceData!$AA$112),"",ReferenceData!$AA$112),"")</f>
        <v>0</v>
      </c>
      <c r="AB112">
        <f ca="1">IFERROR(IF(0=LEN(ReferenceData!$AB$112),"",ReferenceData!$AB$112),"")</f>
        <v>0</v>
      </c>
      <c r="AC112">
        <f ca="1">IFERROR(IF(0=LEN(ReferenceData!$AC$112),"",ReferenceData!$AC$112),"")</f>
        <v>0</v>
      </c>
      <c r="AD112">
        <f ca="1">IFERROR(IF(0=LEN(ReferenceData!$AD$112),"",ReferenceData!$AD$112),"")</f>
        <v>0</v>
      </c>
      <c r="AE112">
        <f ca="1">IFERROR(IF(0=LEN(ReferenceData!$AE$112),"",ReferenceData!$AE$112),"")</f>
        <v>0</v>
      </c>
      <c r="AF112">
        <f ca="1">IFERROR(IF(0=LEN(ReferenceData!$AF$112),"",ReferenceData!$AF$112),"")</f>
        <v>0</v>
      </c>
      <c r="AG112">
        <f ca="1">IFERROR(IF(0=LEN(ReferenceData!$AG$112),"",ReferenceData!$AG$112),"")</f>
        <v>0</v>
      </c>
      <c r="AH112">
        <f ca="1">IFERROR(IF(0=LEN(ReferenceData!$AH$112),"",ReferenceData!$AH$112),"")</f>
        <v>0</v>
      </c>
      <c r="AI112">
        <f ca="1">IFERROR(IF(0=LEN(ReferenceData!$AI$112),"",ReferenceData!$AI$112),"")</f>
        <v>0</v>
      </c>
      <c r="AJ112">
        <f ca="1">IFERROR(IF(0=LEN(ReferenceData!$AJ$112),"",ReferenceData!$AJ$112),"")</f>
        <v>0</v>
      </c>
      <c r="AK112">
        <f ca="1">IFERROR(IF(0=LEN(ReferenceData!$AK$112),"",ReferenceData!$AK$112),"")</f>
        <v>0</v>
      </c>
      <c r="AL112">
        <f ca="1">IFERROR(IF(0=LEN(ReferenceData!$AL$112),"",ReferenceData!$AL$112),"")</f>
        <v>0</v>
      </c>
      <c r="AM112">
        <f ca="1">IFERROR(IF(0=LEN(ReferenceData!$AM$112),"",ReferenceData!$AM$112),"")</f>
        <v>0</v>
      </c>
      <c r="AN112">
        <f ca="1">IFERROR(IF(0=LEN(ReferenceData!$AN$112),"",ReferenceData!$AN$112),"")</f>
        <v>0</v>
      </c>
      <c r="AO112">
        <f ca="1">IFERROR(IF(0=LEN(ReferenceData!$AO$112),"",ReferenceData!$AO$112),"")</f>
        <v>0</v>
      </c>
      <c r="AP112">
        <f ca="1">IFERROR(IF(0=LEN(ReferenceData!$AP$112),"",ReferenceData!$AP$112),"")</f>
        <v>0</v>
      </c>
      <c r="AQ112">
        <f ca="1">IFERROR(IF(0=LEN(ReferenceData!$AQ$112),"",ReferenceData!$AQ$112),"")</f>
        <v>0</v>
      </c>
      <c r="AR112">
        <f ca="1">IFERROR(IF(0=LEN(ReferenceData!$AR$112),"",ReferenceData!$AR$112),"")</f>
        <v>0</v>
      </c>
      <c r="AS112">
        <f ca="1">IFERROR(IF(0=LEN(ReferenceData!$AS$112),"",ReferenceData!$AS$112),"")</f>
        <v>0</v>
      </c>
      <c r="AT112">
        <f ca="1">IFERROR(IF(0=LEN(ReferenceData!$AT$112),"",ReferenceData!$AT$112),"")</f>
        <v>0</v>
      </c>
      <c r="AU112">
        <f ca="1">IFERROR(IF(0=LEN(ReferenceData!$AU$112),"",ReferenceData!$AU$112),"")</f>
        <v>0</v>
      </c>
      <c r="AV112">
        <f ca="1">IFERROR(IF(0=LEN(ReferenceData!$AV$112),"",ReferenceData!$AV$112),"")</f>
        <v>0</v>
      </c>
      <c r="AW112">
        <f ca="1">IFERROR(IF(0=LEN(ReferenceData!$AW$112),"",ReferenceData!$AW$112),"")</f>
        <v>0</v>
      </c>
      <c r="AX112">
        <f ca="1">IFERROR(IF(0=LEN(ReferenceData!$AX$112),"",ReferenceData!$AX$112),"")</f>
        <v>0</v>
      </c>
      <c r="AY112">
        <f ca="1">IFERROR(IF(0=LEN(ReferenceData!$AY$112),"",ReferenceData!$AY$112),"")</f>
        <v>0</v>
      </c>
      <c r="AZ112">
        <f ca="1">IFERROR(IF(0=LEN(ReferenceData!$AZ$112),"",ReferenceData!$AZ$112),"")</f>
        <v>0</v>
      </c>
      <c r="BA112">
        <f ca="1">IFERROR(IF(0=LEN(ReferenceData!$BA$112),"",ReferenceData!$BA$112),"")</f>
        <v>0</v>
      </c>
      <c r="BB112">
        <f ca="1">IFERROR(IF(0=LEN(ReferenceData!$BB$112),"",ReferenceData!$BB$112),"")</f>
        <v>0</v>
      </c>
      <c r="BC112">
        <f ca="1">IFERROR(IF(0=LEN(ReferenceData!$BC$112),"",ReferenceData!$BC$112),"")</f>
        <v>0</v>
      </c>
      <c r="BD112">
        <f ca="1">IFERROR(IF(0=LEN(ReferenceData!$BD$112),"",ReferenceData!$BD$112),"")</f>
        <v>0</v>
      </c>
      <c r="BE112">
        <f ca="1">IFERROR(IF(0=LEN(ReferenceData!$BE$112),"",ReferenceData!$BE$112),"")</f>
        <v>0</v>
      </c>
      <c r="BF112">
        <f ca="1">IFERROR(IF(0=LEN(ReferenceData!$BF$112),"",ReferenceData!$BF$112),"")</f>
        <v>0</v>
      </c>
      <c r="BG112">
        <f ca="1">IFERROR(IF(0=LEN(ReferenceData!$BG$112),"",ReferenceData!$BG$112),"")</f>
        <v>0</v>
      </c>
      <c r="BH112">
        <f ca="1">IFERROR(IF(0=LEN(ReferenceData!$BH$112),"",ReferenceData!$BH$112),"")</f>
        <v>0</v>
      </c>
      <c r="BI112">
        <f ca="1">IFERROR(IF(0=LEN(ReferenceData!$BI$112),"",ReferenceData!$BI$112),"")</f>
        <v>0</v>
      </c>
      <c r="BJ112">
        <f ca="1">IFERROR(IF(0=LEN(ReferenceData!$BJ$112),"",ReferenceData!$BJ$112),"")</f>
        <v>0</v>
      </c>
      <c r="BK112">
        <f ca="1">IFERROR(IF(0=LEN(ReferenceData!$BK$112),"",ReferenceData!$BK$112),"")</f>
        <v>0</v>
      </c>
      <c r="BL112">
        <f ca="1">IFERROR(IF(0=LEN(ReferenceData!$BL$112),"",ReferenceData!$BL$112),"")</f>
        <v>0</v>
      </c>
      <c r="BM112">
        <f ca="1">IFERROR(IF(0=LEN(ReferenceData!$BM$112),"",ReferenceData!$BM$112),"")</f>
        <v>0</v>
      </c>
    </row>
    <row r="113" spans="1:65">
      <c r="A113" t="str">
        <f>IFERROR(IF(0=LEN(ReferenceData!$A$113),"",ReferenceData!$A$113),"")</f>
        <v xml:space="preserve">    Diversified REITs</v>
      </c>
      <c r="B113" t="str">
        <f>IFERROR(IF(0=LEN(ReferenceData!$B$113),"",ReferenceData!$B$113),"")</f>
        <v>RECFDSDV Index</v>
      </c>
      <c r="C113" t="str">
        <f>IFERROR(IF(0=LEN(ReferenceData!$C$113),"",ReferenceData!$C$113),"")</f>
        <v/>
      </c>
      <c r="D113" t="str">
        <f>IFERROR(IF(0=LEN(ReferenceData!$D$113),"",ReferenceData!$D$113),"")</f>
        <v/>
      </c>
      <c r="E113" t="str">
        <f>IFERROR(IF(0=LEN(ReferenceData!$E$113),"",ReferenceData!$E$113),"")</f>
        <v>Expression</v>
      </c>
      <c r="F113">
        <f ca="1">IFERROR(IF(0=LEN(ReferenceData!$F$113),"",ReferenceData!$F$113),"")</f>
        <v>178.05099999999999</v>
      </c>
      <c r="G113">
        <f ca="1">IFERROR(IF(0=LEN(ReferenceData!$G$113),"",ReferenceData!$G$113),"")</f>
        <v>6629.6220000000003</v>
      </c>
      <c r="H113">
        <f ca="1">IFERROR(IF(0=LEN(ReferenceData!$H$113),"",ReferenceData!$H$113),"")</f>
        <v>701.33600000000001</v>
      </c>
      <c r="I113">
        <f ca="1">IFERROR(IF(0=LEN(ReferenceData!$I$113),"",ReferenceData!$I$113),"")</f>
        <v>2552.5360000000001</v>
      </c>
      <c r="J113">
        <f ca="1">IFERROR(IF(0=LEN(ReferenceData!$J$113),"",ReferenceData!$J$113),"")</f>
        <v>1123.931</v>
      </c>
      <c r="K113">
        <f ca="1">IFERROR(IF(0=LEN(ReferenceData!$K$113),"",ReferenceData!$K$113),"")</f>
        <v>2052.2750000000001</v>
      </c>
      <c r="L113">
        <f ca="1">IFERROR(IF(0=LEN(ReferenceData!$L$113),"",ReferenceData!$L$113),"")</f>
        <v>1055.9760000000001</v>
      </c>
      <c r="M113">
        <f ca="1">IFERROR(IF(0=LEN(ReferenceData!$M$113),"",ReferenceData!$M$113),"")</f>
        <v>1676.077</v>
      </c>
      <c r="N113">
        <f ca="1">IFERROR(IF(0=LEN(ReferenceData!$N$113),"",ReferenceData!$N$113),"")</f>
        <v>1445.57</v>
      </c>
      <c r="O113">
        <f ca="1">IFERROR(IF(0=LEN(ReferenceData!$O$113),"",ReferenceData!$O$113),"")</f>
        <v>884.30200000000002</v>
      </c>
      <c r="P113">
        <f ca="1">IFERROR(IF(0=LEN(ReferenceData!$P$113),"",ReferenceData!$P$113),"")</f>
        <v>418.87900000000002</v>
      </c>
      <c r="Q113">
        <f ca="1">IFERROR(IF(0=LEN(ReferenceData!$Q$113),"",ReferenceData!$Q$113),"")</f>
        <v>737.476</v>
      </c>
      <c r="R113">
        <f ca="1">IFERROR(IF(0=LEN(ReferenceData!$R$113),"",ReferenceData!$R$113),"")</f>
        <v>1069.7280000000001</v>
      </c>
      <c r="S113">
        <f ca="1">IFERROR(IF(0=LEN(ReferenceData!$S$113),"",ReferenceData!$S$113),"")</f>
        <v>614.928</v>
      </c>
      <c r="T113">
        <f ca="1">IFERROR(IF(0=LEN(ReferenceData!$T$113),"",ReferenceData!$T$113),"")</f>
        <v>901.62900000000002</v>
      </c>
      <c r="U113">
        <f ca="1">IFERROR(IF(0=LEN(ReferenceData!$U$113),"",ReferenceData!$U$113),"")</f>
        <v>468.45</v>
      </c>
      <c r="V113">
        <f ca="1">IFERROR(IF(0=LEN(ReferenceData!$V$113),"",ReferenceData!$V$113),"")</f>
        <v>786.274</v>
      </c>
      <c r="W113">
        <f ca="1">IFERROR(IF(0=LEN(ReferenceData!$W$113),"",ReferenceData!$W$113),"")</f>
        <v>317.589</v>
      </c>
      <c r="X113">
        <f ca="1">IFERROR(IF(0=LEN(ReferenceData!$X$113),"",ReferenceData!$X$113),"")</f>
        <v>1608.694</v>
      </c>
      <c r="Y113">
        <f ca="1">IFERROR(IF(0=LEN(ReferenceData!$Y$113),"",ReferenceData!$Y$113),"")</f>
        <v>804.26199999999994</v>
      </c>
      <c r="Z113">
        <f ca="1">IFERROR(IF(0=LEN(ReferenceData!$Z$113),"",ReferenceData!$Z$113),"")</f>
        <v>694.24699999999996</v>
      </c>
      <c r="AA113">
        <f ca="1">IFERROR(IF(0=LEN(ReferenceData!$AA$113),"",ReferenceData!$AA$113),"")</f>
        <v>383.96699999999998</v>
      </c>
      <c r="AB113">
        <f ca="1">IFERROR(IF(0=LEN(ReferenceData!$AB$113),"",ReferenceData!$AB$113),"")</f>
        <v>339.291</v>
      </c>
      <c r="AC113">
        <f ca="1">IFERROR(IF(0=LEN(ReferenceData!$AC$113),"",ReferenceData!$AC$113),"")</f>
        <v>321.53899999999999</v>
      </c>
      <c r="AD113">
        <f ca="1">IFERROR(IF(0=LEN(ReferenceData!$AD$113),"",ReferenceData!$AD$113),"")</f>
        <v>213.61</v>
      </c>
      <c r="AE113">
        <f ca="1">IFERROR(IF(0=LEN(ReferenceData!$AE$113),"",ReferenceData!$AE$113),"")</f>
        <v>352.93599999999998</v>
      </c>
      <c r="AF113">
        <f ca="1">IFERROR(IF(0=LEN(ReferenceData!$AF$113),"",ReferenceData!$AF$113),"")</f>
        <v>110.63</v>
      </c>
      <c r="AG113">
        <f ca="1">IFERROR(IF(0=LEN(ReferenceData!$AG$113),"",ReferenceData!$AG$113),"")</f>
        <v>574.71799999999996</v>
      </c>
      <c r="AH113">
        <f ca="1">IFERROR(IF(0=LEN(ReferenceData!$AH$113),"",ReferenceData!$AH$113),"")</f>
        <v>99.53</v>
      </c>
      <c r="AI113">
        <f ca="1">IFERROR(IF(0=LEN(ReferenceData!$AI$113),"",ReferenceData!$AI$113),"")</f>
        <v>157.779</v>
      </c>
      <c r="AJ113">
        <f ca="1">IFERROR(IF(0=LEN(ReferenceData!$AJ$113),"",ReferenceData!$AJ$113),"")</f>
        <v>66.03</v>
      </c>
      <c r="AK113">
        <f ca="1">IFERROR(IF(0=LEN(ReferenceData!$AK$113),"",ReferenceData!$AK$113),"")</f>
        <v>39.902000000000001</v>
      </c>
      <c r="AL113">
        <f ca="1">IFERROR(IF(0=LEN(ReferenceData!$AL$113),"",ReferenceData!$AL$113),"")</f>
        <v>82.006</v>
      </c>
      <c r="AM113">
        <f ca="1">IFERROR(IF(0=LEN(ReferenceData!$AM$113),"",ReferenceData!$AM$113),"")</f>
        <v>22.74</v>
      </c>
      <c r="AN113">
        <f ca="1">IFERROR(IF(0=LEN(ReferenceData!$AN$113),"",ReferenceData!$AN$113),"")</f>
        <v>119.72799999999999</v>
      </c>
      <c r="AO113">
        <f ca="1">IFERROR(IF(0=LEN(ReferenceData!$AO$113),"",ReferenceData!$AO$113),"")</f>
        <v>13.286</v>
      </c>
      <c r="AP113">
        <f ca="1">IFERROR(IF(0=LEN(ReferenceData!$AP$113),"",ReferenceData!$AP$113),"")</f>
        <v>185.642</v>
      </c>
      <c r="AQ113">
        <f ca="1">IFERROR(IF(0=LEN(ReferenceData!$AQ$113),"",ReferenceData!$AQ$113),"")</f>
        <v>22.6</v>
      </c>
      <c r="AR113">
        <f ca="1">IFERROR(IF(0=LEN(ReferenceData!$AR$113),"",ReferenceData!$AR$113),"")</f>
        <v>240.93299999999999</v>
      </c>
      <c r="AS113">
        <f ca="1">IFERROR(IF(0=LEN(ReferenceData!$AS$113),"",ReferenceData!$AS$113),"")</f>
        <v>344.14299999999997</v>
      </c>
      <c r="AT113">
        <f ca="1">IFERROR(IF(0=LEN(ReferenceData!$AT$113),"",ReferenceData!$AT$113),"")</f>
        <v>315.75900000000001</v>
      </c>
      <c r="AU113">
        <f ca="1">IFERROR(IF(0=LEN(ReferenceData!$AU$113),"",ReferenceData!$AU$113),"")</f>
        <v>277.11200000000002</v>
      </c>
      <c r="AV113">
        <f ca="1">IFERROR(IF(0=LEN(ReferenceData!$AV$113),"",ReferenceData!$AV$113),"")</f>
        <v>1640.2380000000001</v>
      </c>
      <c r="AW113">
        <f ca="1">IFERROR(IF(0=LEN(ReferenceData!$AW$113),"",ReferenceData!$AW$113),"")</f>
        <v>241.12</v>
      </c>
      <c r="AX113">
        <f ca="1">IFERROR(IF(0=LEN(ReferenceData!$AX$113),"",ReferenceData!$AX$113),"")</f>
        <v>693.60299999999995</v>
      </c>
      <c r="AY113">
        <f ca="1">IFERROR(IF(0=LEN(ReferenceData!$AY$113),"",ReferenceData!$AY$113),"")</f>
        <v>839.07500000000005</v>
      </c>
      <c r="AZ113">
        <f ca="1">IFERROR(IF(0=LEN(ReferenceData!$AZ$113),"",ReferenceData!$AZ$113),"")</f>
        <v>335.65199999999999</v>
      </c>
      <c r="BA113">
        <f ca="1">IFERROR(IF(0=LEN(ReferenceData!$BA$113),"",ReferenceData!$BA$113),"")</f>
        <v>426.661</v>
      </c>
      <c r="BB113">
        <f ca="1">IFERROR(IF(0=LEN(ReferenceData!$BB$113),"",ReferenceData!$BB$113),"")</f>
        <v>695.28399999999999</v>
      </c>
      <c r="BC113">
        <f ca="1">IFERROR(IF(0=LEN(ReferenceData!$BC$113),"",ReferenceData!$BC$113),"")</f>
        <v>399.303</v>
      </c>
      <c r="BD113">
        <f ca="1">IFERROR(IF(0=LEN(ReferenceData!$BD$113),"",ReferenceData!$BD$113),"")</f>
        <v>544.17600000000004</v>
      </c>
      <c r="BE113">
        <f ca="1">IFERROR(IF(0=LEN(ReferenceData!$BE$113),"",ReferenceData!$BE$113),"")</f>
        <v>371.197</v>
      </c>
      <c r="BF113">
        <f ca="1">IFERROR(IF(0=LEN(ReferenceData!$BF$113),"",ReferenceData!$BF$113),"")</f>
        <v>200.69200000000001</v>
      </c>
      <c r="BG113">
        <f ca="1">IFERROR(IF(0=LEN(ReferenceData!$BG$113),"",ReferenceData!$BG$113),"")</f>
        <v>74.186000000000007</v>
      </c>
      <c r="BH113">
        <f ca="1">IFERROR(IF(0=LEN(ReferenceData!$BH$113),"",ReferenceData!$BH$113),"")</f>
        <v>362.31700000000001</v>
      </c>
      <c r="BI113">
        <f ca="1">IFERROR(IF(0=LEN(ReferenceData!$BI$113),"",ReferenceData!$BI$113),"")</f>
        <v>93.346000000000004</v>
      </c>
      <c r="BJ113">
        <f ca="1">IFERROR(IF(0=LEN(ReferenceData!$BJ$113),"",ReferenceData!$BJ$113),"")</f>
        <v>296.70100000000002</v>
      </c>
      <c r="BK113">
        <f ca="1">IFERROR(IF(0=LEN(ReferenceData!$BK$113),"",ReferenceData!$BK$113),"")</f>
        <v>0</v>
      </c>
      <c r="BL113">
        <f ca="1">IFERROR(IF(0=LEN(ReferenceData!$BL$113),"",ReferenceData!$BL$113),"")</f>
        <v>0</v>
      </c>
      <c r="BM113">
        <f ca="1">IFERROR(IF(0=LEN(ReferenceData!$BM$113),"",ReferenceData!$BM$113),"")</f>
        <v>227.25200000000001</v>
      </c>
    </row>
    <row r="114" spans="1:65">
      <c r="A114" t="str">
        <f>IFERROR(IF(0=LEN(ReferenceData!$A$114),"",ReferenceData!$A$114),"")</f>
        <v xml:space="preserve">    Lodging/Resort REITs</v>
      </c>
      <c r="B114" t="str">
        <f>IFERROR(IF(0=LEN(ReferenceData!$B$114),"",ReferenceData!$B$114),"")</f>
        <v>RECFDSLR Index</v>
      </c>
      <c r="C114" t="str">
        <f>IFERROR(IF(0=LEN(ReferenceData!$C$114),"",ReferenceData!$C$114),"")</f>
        <v/>
      </c>
      <c r="D114" t="str">
        <f>IFERROR(IF(0=LEN(ReferenceData!$D$114),"",ReferenceData!$D$114),"")</f>
        <v/>
      </c>
      <c r="E114" t="str">
        <f>IFERROR(IF(0=LEN(ReferenceData!$E$114),"",ReferenceData!$E$114),"")</f>
        <v>Expression</v>
      </c>
      <c r="F114">
        <f ca="1">IFERROR(IF(0=LEN(ReferenceData!$F$114),"",ReferenceData!$F$114),"")</f>
        <v>299.39999999999998</v>
      </c>
      <c r="G114">
        <f ca="1">IFERROR(IF(0=LEN(ReferenceData!$G$114),"",ReferenceData!$G$114),"")</f>
        <v>331.87700000000001</v>
      </c>
      <c r="H114">
        <f ca="1">IFERROR(IF(0=LEN(ReferenceData!$H$114),"",ReferenceData!$H$114),"")</f>
        <v>1015.885</v>
      </c>
      <c r="I114">
        <f ca="1">IFERROR(IF(0=LEN(ReferenceData!$I$114),"",ReferenceData!$I$114),"")</f>
        <v>675.14800000000002</v>
      </c>
      <c r="J114">
        <f ca="1">IFERROR(IF(0=LEN(ReferenceData!$J$114),"",ReferenceData!$J$114),"")</f>
        <v>549.93499999999995</v>
      </c>
      <c r="K114">
        <f ca="1">IFERROR(IF(0=LEN(ReferenceData!$K$114),"",ReferenceData!$K$114),"")</f>
        <v>511.65800000000002</v>
      </c>
      <c r="L114">
        <f ca="1">IFERROR(IF(0=LEN(ReferenceData!$L$114),"",ReferenceData!$L$114),"")</f>
        <v>1579.5740000000001</v>
      </c>
      <c r="M114">
        <f ca="1">IFERROR(IF(0=LEN(ReferenceData!$M$114),"",ReferenceData!$M$114),"")</f>
        <v>277.58300000000003</v>
      </c>
      <c r="N114">
        <f ca="1">IFERROR(IF(0=LEN(ReferenceData!$N$114),"",ReferenceData!$N$114),"")</f>
        <v>1545.604</v>
      </c>
      <c r="O114">
        <f ca="1">IFERROR(IF(0=LEN(ReferenceData!$O$114),"",ReferenceData!$O$114),"")</f>
        <v>80.239999999999995</v>
      </c>
      <c r="P114">
        <f ca="1">IFERROR(IF(0=LEN(ReferenceData!$P$114),"",ReferenceData!$P$114),"")</f>
        <v>528.16</v>
      </c>
      <c r="Q114">
        <f ca="1">IFERROR(IF(0=LEN(ReferenceData!$Q$114),"",ReferenceData!$Q$114),"")</f>
        <v>371.78899999999999</v>
      </c>
      <c r="R114">
        <f ca="1">IFERROR(IF(0=LEN(ReferenceData!$R$114),"",ReferenceData!$R$114),"")</f>
        <v>516.5</v>
      </c>
      <c r="S114">
        <f ca="1">IFERROR(IF(0=LEN(ReferenceData!$S$114),"",ReferenceData!$S$114),"")</f>
        <v>160.30000000000001</v>
      </c>
      <c r="T114">
        <f ca="1">IFERROR(IF(0=LEN(ReferenceData!$T$114),"",ReferenceData!$T$114),"")</f>
        <v>1541.68</v>
      </c>
      <c r="U114">
        <f ca="1">IFERROR(IF(0=LEN(ReferenceData!$U$114),"",ReferenceData!$U$114),"")</f>
        <v>1040.2539999999999</v>
      </c>
      <c r="V114">
        <f ca="1">IFERROR(IF(0=LEN(ReferenceData!$V$114),"",ReferenceData!$V$114),"")</f>
        <v>509.12099999999998</v>
      </c>
      <c r="W114">
        <f ca="1">IFERROR(IF(0=LEN(ReferenceData!$W$114),"",ReferenceData!$W$114),"")</f>
        <v>91.775000000000006</v>
      </c>
      <c r="X114">
        <f ca="1">IFERROR(IF(0=LEN(ReferenceData!$X$114),"",ReferenceData!$X$114),"")</f>
        <v>215.905</v>
      </c>
      <c r="Y114">
        <f ca="1">IFERROR(IF(0=LEN(ReferenceData!$Y$114),"",ReferenceData!$Y$114),"")</f>
        <v>545.13499999999999</v>
      </c>
      <c r="Z114">
        <f ca="1">IFERROR(IF(0=LEN(ReferenceData!$Z$114),"",ReferenceData!$Z$114),"")</f>
        <v>196.86500000000001</v>
      </c>
      <c r="AA114">
        <f ca="1">IFERROR(IF(0=LEN(ReferenceData!$AA$114),"",ReferenceData!$AA$114),"")</f>
        <v>242.67</v>
      </c>
      <c r="AB114">
        <f ca="1">IFERROR(IF(0=LEN(ReferenceData!$AB$114),"",ReferenceData!$AB$114),"")</f>
        <v>180.47499999999999</v>
      </c>
      <c r="AC114">
        <f ca="1">IFERROR(IF(0=LEN(ReferenceData!$AC$114),"",ReferenceData!$AC$114),"")</f>
        <v>481.36</v>
      </c>
      <c r="AD114">
        <f ca="1">IFERROR(IF(0=LEN(ReferenceData!$AD$114),"",ReferenceData!$AD$114),"")</f>
        <v>55.42</v>
      </c>
      <c r="AE114">
        <f ca="1">IFERROR(IF(0=LEN(ReferenceData!$AE$114),"",ReferenceData!$AE$114),"")</f>
        <v>166.655</v>
      </c>
      <c r="AF114">
        <f ca="1">IFERROR(IF(0=LEN(ReferenceData!$AF$114),"",ReferenceData!$AF$114),"")</f>
        <v>245.262</v>
      </c>
      <c r="AG114">
        <f ca="1">IFERROR(IF(0=LEN(ReferenceData!$AG$114),"",ReferenceData!$AG$114),"")</f>
        <v>174.2</v>
      </c>
      <c r="AH114">
        <f ca="1">IFERROR(IF(0=LEN(ReferenceData!$AH$114),"",ReferenceData!$AH$114),"")</f>
        <v>544</v>
      </c>
      <c r="AI114">
        <f ca="1">IFERROR(IF(0=LEN(ReferenceData!$AI$114),"",ReferenceData!$AI$114),"")</f>
        <v>180.2</v>
      </c>
      <c r="AJ114">
        <f ca="1">IFERROR(IF(0=LEN(ReferenceData!$AJ$114),"",ReferenceData!$AJ$114),"")</f>
        <v>34.200000000000003</v>
      </c>
      <c r="AK114">
        <f ca="1">IFERROR(IF(0=LEN(ReferenceData!$AK$114),"",ReferenceData!$AK$114),"")</f>
        <v>32.947000000000003</v>
      </c>
      <c r="AL114">
        <f ca="1">IFERROR(IF(0=LEN(ReferenceData!$AL$114),"",ReferenceData!$AL$114),"")</f>
        <v>141.12700000000001</v>
      </c>
      <c r="AM114">
        <f ca="1">IFERROR(IF(0=LEN(ReferenceData!$AM$114),"",ReferenceData!$AM$114),"")</f>
        <v>140.55000000000001</v>
      </c>
      <c r="AN114">
        <f ca="1">IFERROR(IF(0=LEN(ReferenceData!$AN$114),"",ReferenceData!$AN$114),"")</f>
        <v>58.6</v>
      </c>
      <c r="AO114">
        <f ca="1">IFERROR(IF(0=LEN(ReferenceData!$AO$114),"",ReferenceData!$AO$114),"")</f>
        <v>116.9</v>
      </c>
      <c r="AP114">
        <f ca="1">IFERROR(IF(0=LEN(ReferenceData!$AP$114),"",ReferenceData!$AP$114),"")</f>
        <v>137.19999999999999</v>
      </c>
      <c r="AQ114">
        <f ca="1">IFERROR(IF(0=LEN(ReferenceData!$AQ$114),"",ReferenceData!$AQ$114),"")</f>
        <v>147.19999999999999</v>
      </c>
      <c r="AR114">
        <f ca="1">IFERROR(IF(0=LEN(ReferenceData!$AR$114),"",ReferenceData!$AR$114),"")</f>
        <v>604.85</v>
      </c>
      <c r="AS114">
        <f ca="1">IFERROR(IF(0=LEN(ReferenceData!$AS$114),"",ReferenceData!$AS$114),"")</f>
        <v>89</v>
      </c>
      <c r="AT114">
        <f ca="1">IFERROR(IF(0=LEN(ReferenceData!$AT$114),"",ReferenceData!$AT$114),"")</f>
        <v>358.1</v>
      </c>
      <c r="AU114">
        <f ca="1">IFERROR(IF(0=LEN(ReferenceData!$AU$114),"",ReferenceData!$AU$114),"")</f>
        <v>215.35</v>
      </c>
      <c r="AV114">
        <f ca="1">IFERROR(IF(0=LEN(ReferenceData!$AV$114),"",ReferenceData!$AV$114),"")</f>
        <v>392.6</v>
      </c>
      <c r="AW114">
        <f ca="1">IFERROR(IF(0=LEN(ReferenceData!$AW$114),"",ReferenceData!$AW$114),"")</f>
        <v>517.84400000000005</v>
      </c>
      <c r="AX114">
        <f ca="1">IFERROR(IF(0=LEN(ReferenceData!$AX$114),"",ReferenceData!$AX$114),"")</f>
        <v>206.95</v>
      </c>
      <c r="AY114">
        <f ca="1">IFERROR(IF(0=LEN(ReferenceData!$AY$114),"",ReferenceData!$AY$114),"")</f>
        <v>589.44200000000001</v>
      </c>
      <c r="AZ114">
        <f ca="1">IFERROR(IF(0=LEN(ReferenceData!$AZ$114),"",ReferenceData!$AZ$114),"")</f>
        <v>145.721</v>
      </c>
      <c r="BA114">
        <f ca="1">IFERROR(IF(0=LEN(ReferenceData!$BA$114),"",ReferenceData!$BA$114),"")</f>
        <v>1308.461</v>
      </c>
      <c r="BB114">
        <f ca="1">IFERROR(IF(0=LEN(ReferenceData!$BB$114),"",ReferenceData!$BB$114),"")</f>
        <v>125.77800000000001</v>
      </c>
      <c r="BC114">
        <f ca="1">IFERROR(IF(0=LEN(ReferenceData!$BC$114),"",ReferenceData!$BC$114),"")</f>
        <v>83.206999999999994</v>
      </c>
      <c r="BD114">
        <f ca="1">IFERROR(IF(0=LEN(ReferenceData!$BD$114),"",ReferenceData!$BD$114),"")</f>
        <v>129.303</v>
      </c>
      <c r="BE114">
        <f ca="1">IFERROR(IF(0=LEN(ReferenceData!$BE$114),"",ReferenceData!$BE$114),"")</f>
        <v>264.93900000000002</v>
      </c>
      <c r="BF114">
        <f ca="1">IFERROR(IF(0=LEN(ReferenceData!$BF$114),"",ReferenceData!$BF$114),"")</f>
        <v>228.97499999999999</v>
      </c>
      <c r="BG114">
        <f ca="1">IFERROR(IF(0=LEN(ReferenceData!$BG$114),"",ReferenceData!$BG$114),"")</f>
        <v>146.11699999999999</v>
      </c>
      <c r="BH114">
        <f ca="1">IFERROR(IF(0=LEN(ReferenceData!$BH$114),"",ReferenceData!$BH$114),"")</f>
        <v>110.759</v>
      </c>
      <c r="BI114">
        <f ca="1">IFERROR(IF(0=LEN(ReferenceData!$BI$114),"",ReferenceData!$BI$114),"")</f>
        <v>252.68700000000001</v>
      </c>
      <c r="BJ114">
        <f ca="1">IFERROR(IF(0=LEN(ReferenceData!$BJ$114),"",ReferenceData!$BJ$114),"")</f>
        <v>96.905000000000001</v>
      </c>
      <c r="BK114">
        <f ca="1">IFERROR(IF(0=LEN(ReferenceData!$BK$114),"",ReferenceData!$BK$114),"")</f>
        <v>0</v>
      </c>
      <c r="BL114">
        <f ca="1">IFERROR(IF(0=LEN(ReferenceData!$BL$114),"",ReferenceData!$BL$114),"")</f>
        <v>0</v>
      </c>
      <c r="BM114">
        <f ca="1">IFERROR(IF(0=LEN(ReferenceData!$BM$114),"",ReferenceData!$BM$114),"")</f>
        <v>0</v>
      </c>
    </row>
    <row r="115" spans="1:65">
      <c r="A115" t="str">
        <f>IFERROR(IF(0=LEN(ReferenceData!$A$115),"",ReferenceData!$A$115),"")</f>
        <v xml:space="preserve">    Self Storage REITs</v>
      </c>
      <c r="B115" t="str">
        <f>IFERROR(IF(0=LEN(ReferenceData!$B$115),"",ReferenceData!$B$115),"")</f>
        <v>RECFDSSS Index</v>
      </c>
      <c r="C115" t="str">
        <f>IFERROR(IF(0=LEN(ReferenceData!$C$115),"",ReferenceData!$C$115),"")</f>
        <v/>
      </c>
      <c r="D115" t="str">
        <f>IFERROR(IF(0=LEN(ReferenceData!$D$115),"",ReferenceData!$D$115),"")</f>
        <v/>
      </c>
      <c r="E115" t="str">
        <f>IFERROR(IF(0=LEN(ReferenceData!$E$115),"",ReferenceData!$E$115),"")</f>
        <v>Expression</v>
      </c>
      <c r="F115">
        <f ca="1">IFERROR(IF(0=LEN(ReferenceData!$F$115),"",ReferenceData!$F$115),"")</f>
        <v>304.39999999999998</v>
      </c>
      <c r="G115">
        <f ca="1">IFERROR(IF(0=LEN(ReferenceData!$G$115),"",ReferenceData!$G$115),"")</f>
        <v>0</v>
      </c>
      <c r="H115">
        <f ca="1">IFERROR(IF(0=LEN(ReferenceData!$H$115),"",ReferenceData!$H$115),"")</f>
        <v>12.35</v>
      </c>
      <c r="I115">
        <f ca="1">IFERROR(IF(0=LEN(ReferenceData!$I$115),"",ReferenceData!$I$115),"")</f>
        <v>5.3</v>
      </c>
      <c r="J115">
        <f ca="1">IFERROR(IF(0=LEN(ReferenceData!$J$115),"",ReferenceData!$J$115),"")</f>
        <v>4.91</v>
      </c>
      <c r="K115">
        <f ca="1">IFERROR(IF(0=LEN(ReferenceData!$K$115),"",ReferenceData!$K$115),"")</f>
        <v>39.457999999999998</v>
      </c>
      <c r="L115">
        <f ca="1">IFERROR(IF(0=LEN(ReferenceData!$L$115),"",ReferenceData!$L$115),"")</f>
        <v>59.8</v>
      </c>
      <c r="M115">
        <f ca="1">IFERROR(IF(0=LEN(ReferenceData!$M$115),"",ReferenceData!$M$115),"")</f>
        <v>0</v>
      </c>
      <c r="N115">
        <f ca="1">IFERROR(IF(0=LEN(ReferenceData!$N$115),"",ReferenceData!$N$115),"")</f>
        <v>51.7</v>
      </c>
      <c r="O115">
        <f ca="1">IFERROR(IF(0=LEN(ReferenceData!$O$115),"",ReferenceData!$O$115),"")</f>
        <v>30.6</v>
      </c>
      <c r="P115">
        <f ca="1">IFERROR(IF(0=LEN(ReferenceData!$P$115),"",ReferenceData!$P$115),"")</f>
        <v>20.5</v>
      </c>
      <c r="Q115">
        <f ca="1">IFERROR(IF(0=LEN(ReferenceData!$Q$115),"",ReferenceData!$Q$115),"")</f>
        <v>34.481000000000002</v>
      </c>
      <c r="R115">
        <f ca="1">IFERROR(IF(0=LEN(ReferenceData!$R$115),"",ReferenceData!$R$115),"")</f>
        <v>58.3</v>
      </c>
      <c r="S115">
        <f ca="1">IFERROR(IF(0=LEN(ReferenceData!$S$115),"",ReferenceData!$S$115),"")</f>
        <v>4.9000000000000004</v>
      </c>
      <c r="T115">
        <f ca="1">IFERROR(IF(0=LEN(ReferenceData!$T$115),"",ReferenceData!$T$115),"")</f>
        <v>7</v>
      </c>
      <c r="U115">
        <f ca="1">IFERROR(IF(0=LEN(ReferenceData!$U$115),"",ReferenceData!$U$115),"")</f>
        <v>0</v>
      </c>
      <c r="V115">
        <f ca="1">IFERROR(IF(0=LEN(ReferenceData!$V$115),"",ReferenceData!$V$115),"")</f>
        <v>104.991</v>
      </c>
      <c r="W115">
        <f ca="1">IFERROR(IF(0=LEN(ReferenceData!$W$115),"",ReferenceData!$W$115),"")</f>
        <v>25</v>
      </c>
      <c r="X115">
        <f ca="1">IFERROR(IF(0=LEN(ReferenceData!$X$115),"",ReferenceData!$X$115),"")</f>
        <v>0.95</v>
      </c>
      <c r="Y115">
        <f ca="1">IFERROR(IF(0=LEN(ReferenceData!$Y$115),"",ReferenceData!$Y$115),"")</f>
        <v>15.766999999999999</v>
      </c>
      <c r="Z115">
        <f ca="1">IFERROR(IF(0=LEN(ReferenceData!$Z$115),"",ReferenceData!$Z$115),"")</f>
        <v>26.6</v>
      </c>
      <c r="AA115">
        <f ca="1">IFERROR(IF(0=LEN(ReferenceData!$AA$115),"",ReferenceData!$AA$115),"")</f>
        <v>60.198</v>
      </c>
      <c r="AB115">
        <f ca="1">IFERROR(IF(0=LEN(ReferenceData!$AB$115),"",ReferenceData!$AB$115),"")</f>
        <v>23.161999999999999</v>
      </c>
      <c r="AC115">
        <f ca="1">IFERROR(IF(0=LEN(ReferenceData!$AC$115),"",ReferenceData!$AC$115),"")</f>
        <v>0</v>
      </c>
      <c r="AD115">
        <f ca="1">IFERROR(IF(0=LEN(ReferenceData!$AD$115),"",ReferenceData!$AD$115),"")</f>
        <v>5.96</v>
      </c>
      <c r="AE115">
        <f ca="1">IFERROR(IF(0=LEN(ReferenceData!$AE$115),"",ReferenceData!$AE$115),"")</f>
        <v>53.3</v>
      </c>
      <c r="AF115">
        <f ca="1">IFERROR(IF(0=LEN(ReferenceData!$AF$115),"",ReferenceData!$AF$115),"")</f>
        <v>0</v>
      </c>
      <c r="AG115">
        <f ca="1">IFERROR(IF(0=LEN(ReferenceData!$AG$115),"",ReferenceData!$AG$115),"")</f>
        <v>0.45100000000000001</v>
      </c>
      <c r="AH115">
        <f ca="1">IFERROR(IF(0=LEN(ReferenceData!$AH$115),"",ReferenceData!$AH$115),"")</f>
        <v>38.1</v>
      </c>
      <c r="AI115">
        <f ca="1">IFERROR(IF(0=LEN(ReferenceData!$AI$115),"",ReferenceData!$AI$115),"")</f>
        <v>0</v>
      </c>
      <c r="AJ115">
        <f ca="1">IFERROR(IF(0=LEN(ReferenceData!$AJ$115),"",ReferenceData!$AJ$115),"")</f>
        <v>24.5</v>
      </c>
      <c r="AK115">
        <f ca="1">IFERROR(IF(0=LEN(ReferenceData!$AK$115),"",ReferenceData!$AK$115),"")</f>
        <v>10</v>
      </c>
      <c r="AL115">
        <f ca="1">IFERROR(IF(0=LEN(ReferenceData!$AL$115),"",ReferenceData!$AL$115),"")</f>
        <v>15.3</v>
      </c>
      <c r="AM115">
        <f ca="1">IFERROR(IF(0=LEN(ReferenceData!$AM$115),"",ReferenceData!$AM$115),"")</f>
        <v>80.143000000000001</v>
      </c>
      <c r="AN115">
        <f ca="1">IFERROR(IF(0=LEN(ReferenceData!$AN$115),"",ReferenceData!$AN$115),"")</f>
        <v>8.75</v>
      </c>
      <c r="AO115">
        <f ca="1">IFERROR(IF(0=LEN(ReferenceData!$AO$115),"",ReferenceData!$AO$115),"")</f>
        <v>2.9729999999999999</v>
      </c>
      <c r="AP115">
        <f ca="1">IFERROR(IF(0=LEN(ReferenceData!$AP$115),"",ReferenceData!$AP$115),"")</f>
        <v>16.844999999999999</v>
      </c>
      <c r="AQ115">
        <f ca="1">IFERROR(IF(0=LEN(ReferenceData!$AQ$115),"",ReferenceData!$AQ$115),"")</f>
        <v>28.013000000000002</v>
      </c>
      <c r="AR115">
        <f ca="1">IFERROR(IF(0=LEN(ReferenceData!$AR$115),"",ReferenceData!$AR$115),"")</f>
        <v>19.925000000000001</v>
      </c>
      <c r="AS115">
        <f ca="1">IFERROR(IF(0=LEN(ReferenceData!$AS$115),"",ReferenceData!$AS$115),"")</f>
        <v>610.202</v>
      </c>
      <c r="AT115">
        <f ca="1">IFERROR(IF(0=LEN(ReferenceData!$AT$115),"",ReferenceData!$AT$115),"")</f>
        <v>6.44</v>
      </c>
      <c r="AU115">
        <f ca="1">IFERROR(IF(0=LEN(ReferenceData!$AU$115),"",ReferenceData!$AU$115),"")</f>
        <v>0</v>
      </c>
      <c r="AV115">
        <f ca="1">IFERROR(IF(0=LEN(ReferenceData!$AV$115),"",ReferenceData!$AV$115),"")</f>
        <v>12.75</v>
      </c>
      <c r="AW115">
        <f ca="1">IFERROR(IF(0=LEN(ReferenceData!$AW$115),"",ReferenceData!$AW$115),"")</f>
        <v>0</v>
      </c>
      <c r="AX115">
        <f ca="1">IFERROR(IF(0=LEN(ReferenceData!$AX$115),"",ReferenceData!$AX$115),"")</f>
        <v>14.545</v>
      </c>
      <c r="AY115">
        <f ca="1">IFERROR(IF(0=LEN(ReferenceData!$AY$115),"",ReferenceData!$AY$115),"")</f>
        <v>0</v>
      </c>
      <c r="AZ115">
        <f ca="1">IFERROR(IF(0=LEN(ReferenceData!$AZ$115),"",ReferenceData!$AZ$115),"")</f>
        <v>5.2149999999999999</v>
      </c>
      <c r="BA115">
        <f ca="1">IFERROR(IF(0=LEN(ReferenceData!$BA$115),"",ReferenceData!$BA$115),"")</f>
        <v>2.9</v>
      </c>
      <c r="BB115">
        <f ca="1">IFERROR(IF(0=LEN(ReferenceData!$BB$115),"",ReferenceData!$BB$115),"")</f>
        <v>5.6</v>
      </c>
      <c r="BC115">
        <f ca="1">IFERROR(IF(0=LEN(ReferenceData!$BC$115),"",ReferenceData!$BC$115),"")</f>
        <v>75.95</v>
      </c>
      <c r="BD115">
        <f ca="1">IFERROR(IF(0=LEN(ReferenceData!$BD$115),"",ReferenceData!$BD$115),"")</f>
        <v>0.6</v>
      </c>
      <c r="BE115">
        <f ca="1">IFERROR(IF(0=LEN(ReferenceData!$BE$115),"",ReferenceData!$BE$115),"")</f>
        <v>26.14</v>
      </c>
      <c r="BF115">
        <f ca="1">IFERROR(IF(0=LEN(ReferenceData!$BF$115),"",ReferenceData!$BF$115),"")</f>
        <v>0</v>
      </c>
      <c r="BG115">
        <f ca="1">IFERROR(IF(0=LEN(ReferenceData!$BG$115),"",ReferenceData!$BG$115),"")</f>
        <v>11.226000000000001</v>
      </c>
      <c r="BH115">
        <f ca="1">IFERROR(IF(0=LEN(ReferenceData!$BH$115),"",ReferenceData!$BH$115),"")</f>
        <v>23.835999999999999</v>
      </c>
      <c r="BI115">
        <f ca="1">IFERROR(IF(0=LEN(ReferenceData!$BI$115),"",ReferenceData!$BI$115),"")</f>
        <v>6.1070000000000002</v>
      </c>
      <c r="BJ115">
        <f ca="1">IFERROR(IF(0=LEN(ReferenceData!$BJ$115),"",ReferenceData!$BJ$115),"")</f>
        <v>0</v>
      </c>
      <c r="BK115">
        <f ca="1">IFERROR(IF(0=LEN(ReferenceData!$BK$115),"",ReferenceData!$BK$115),"")</f>
        <v>0</v>
      </c>
      <c r="BL115">
        <f ca="1">IFERROR(IF(0=LEN(ReferenceData!$BL$115),"",ReferenceData!$BL$115),"")</f>
        <v>0</v>
      </c>
      <c r="BM115">
        <f ca="1">IFERROR(IF(0=LEN(ReferenceData!$BM$115),"",ReferenceData!$BM$115),"")</f>
        <v>0</v>
      </c>
    </row>
    <row r="116" spans="1:65">
      <c r="A116" t="str">
        <f>IFERROR(IF(0=LEN(ReferenceData!$A$116),"",ReferenceData!$A$116),"")</f>
        <v xml:space="preserve">    Health Care REITs</v>
      </c>
      <c r="B116" t="str">
        <f>IFERROR(IF(0=LEN(ReferenceData!$B$116),"",ReferenceData!$B$116),"")</f>
        <v>RECFDSHC Index</v>
      </c>
      <c r="C116" t="str">
        <f>IFERROR(IF(0=LEN(ReferenceData!$C$116),"",ReferenceData!$C$116),"")</f>
        <v/>
      </c>
      <c r="D116" t="str">
        <f>IFERROR(IF(0=LEN(ReferenceData!$D$116),"",ReferenceData!$D$116),"")</f>
        <v/>
      </c>
      <c r="E116" t="str">
        <f>IFERROR(IF(0=LEN(ReferenceData!$E$116),"",ReferenceData!$E$116),"")</f>
        <v>Expression</v>
      </c>
      <c r="F116">
        <f ca="1">IFERROR(IF(0=LEN(ReferenceData!$F$116),"",ReferenceData!$F$116),"")</f>
        <v>879.32600000000002</v>
      </c>
      <c r="G116">
        <f ca="1">IFERROR(IF(0=LEN(ReferenceData!$G$116),"",ReferenceData!$G$116),"")</f>
        <v>618.63599999999997</v>
      </c>
      <c r="H116">
        <f ca="1">IFERROR(IF(0=LEN(ReferenceData!$H$116),"",ReferenceData!$H$116),"")</f>
        <v>399.37599999999998</v>
      </c>
      <c r="I116">
        <f ca="1">IFERROR(IF(0=LEN(ReferenceData!$I$116),"",ReferenceData!$I$116),"")</f>
        <v>3521.2</v>
      </c>
      <c r="J116">
        <f ca="1">IFERROR(IF(0=LEN(ReferenceData!$J$116),"",ReferenceData!$J$116),"")</f>
        <v>2296.5920000000001</v>
      </c>
      <c r="K116">
        <f ca="1">IFERROR(IF(0=LEN(ReferenceData!$K$116),"",ReferenceData!$K$116),"")</f>
        <v>619.44799999999998</v>
      </c>
      <c r="L116">
        <f ca="1">IFERROR(IF(0=LEN(ReferenceData!$L$116),"",ReferenceData!$L$116),"")</f>
        <v>749.92</v>
      </c>
      <c r="M116">
        <f ca="1">IFERROR(IF(0=LEN(ReferenceData!$M$116),"",ReferenceData!$M$116),"")</f>
        <v>206.03899999999999</v>
      </c>
      <c r="N116">
        <f ca="1">IFERROR(IF(0=LEN(ReferenceData!$N$116),"",ReferenceData!$N$116),"")</f>
        <v>752.05200000000002</v>
      </c>
      <c r="O116">
        <f ca="1">IFERROR(IF(0=LEN(ReferenceData!$O$116),"",ReferenceData!$O$116),"")</f>
        <v>279.37900000000002</v>
      </c>
      <c r="P116">
        <f ca="1">IFERROR(IF(0=LEN(ReferenceData!$P$116),"",ReferenceData!$P$116),"")</f>
        <v>809.64300000000003</v>
      </c>
      <c r="Q116">
        <f ca="1">IFERROR(IF(0=LEN(ReferenceData!$Q$116),"",ReferenceData!$Q$116),"")</f>
        <v>571.80600000000004</v>
      </c>
      <c r="R116">
        <f ca="1">IFERROR(IF(0=LEN(ReferenceData!$R$116),"",ReferenceData!$R$116),"")</f>
        <v>573.81600000000003</v>
      </c>
      <c r="S116">
        <f ca="1">IFERROR(IF(0=LEN(ReferenceData!$S$116),"",ReferenceData!$S$116),"")</f>
        <v>393.267</v>
      </c>
      <c r="T116">
        <f ca="1">IFERROR(IF(0=LEN(ReferenceData!$T$116),"",ReferenceData!$T$116),"")</f>
        <v>183.74799999999999</v>
      </c>
      <c r="U116">
        <f ca="1">IFERROR(IF(0=LEN(ReferenceData!$U$116),"",ReferenceData!$U$116),"")</f>
        <v>71.132000000000005</v>
      </c>
      <c r="V116">
        <f ca="1">IFERROR(IF(0=LEN(ReferenceData!$V$116),"",ReferenceData!$V$116),"")</f>
        <v>360.45499999999998</v>
      </c>
      <c r="W116">
        <f ca="1">IFERROR(IF(0=LEN(ReferenceData!$W$116),"",ReferenceData!$W$116),"")</f>
        <v>267.49099999999999</v>
      </c>
      <c r="X116">
        <f ca="1">IFERROR(IF(0=LEN(ReferenceData!$X$116),"",ReferenceData!$X$116),"")</f>
        <v>183.49600000000001</v>
      </c>
      <c r="Y116">
        <f ca="1">IFERROR(IF(0=LEN(ReferenceData!$Y$116),"",ReferenceData!$Y$116),"")</f>
        <v>370.32299999999998</v>
      </c>
      <c r="Z116">
        <f ca="1">IFERROR(IF(0=LEN(ReferenceData!$Z$116),"",ReferenceData!$Z$116),"")</f>
        <v>562.16700000000003</v>
      </c>
      <c r="AA116">
        <f ca="1">IFERROR(IF(0=LEN(ReferenceData!$AA$116),"",ReferenceData!$AA$116),"")</f>
        <v>254.56200000000001</v>
      </c>
      <c r="AB116">
        <f ca="1">IFERROR(IF(0=LEN(ReferenceData!$AB$116),"",ReferenceData!$AB$116),"")</f>
        <v>271.69200000000001</v>
      </c>
      <c r="AC116">
        <f ca="1">IFERROR(IF(0=LEN(ReferenceData!$AC$116),"",ReferenceData!$AC$116),"")</f>
        <v>199.85499999999999</v>
      </c>
      <c r="AD116">
        <f ca="1">IFERROR(IF(0=LEN(ReferenceData!$AD$116),"",ReferenceData!$AD$116),"")</f>
        <v>163.72300000000001</v>
      </c>
      <c r="AE116">
        <f ca="1">IFERROR(IF(0=LEN(ReferenceData!$AE$116),"",ReferenceData!$AE$116),"")</f>
        <v>21.22</v>
      </c>
      <c r="AF116">
        <f ca="1">IFERROR(IF(0=LEN(ReferenceData!$AF$116),"",ReferenceData!$AF$116),"")</f>
        <v>173.93799999999999</v>
      </c>
      <c r="AG116">
        <f ca="1">IFERROR(IF(0=LEN(ReferenceData!$AG$116),"",ReferenceData!$AG$116),"")</f>
        <v>35.177999999999997</v>
      </c>
      <c r="AH116">
        <f ca="1">IFERROR(IF(0=LEN(ReferenceData!$AH$116),"",ReferenceData!$AH$116),"")</f>
        <v>162.71700000000001</v>
      </c>
      <c r="AI116">
        <f ca="1">IFERROR(IF(0=LEN(ReferenceData!$AI$116),"",ReferenceData!$AI$116),"")</f>
        <v>101.914</v>
      </c>
      <c r="AJ116">
        <f ca="1">IFERROR(IF(0=LEN(ReferenceData!$AJ$116),"",ReferenceData!$AJ$116),"")</f>
        <v>145.452</v>
      </c>
      <c r="AK116">
        <f ca="1">IFERROR(IF(0=LEN(ReferenceData!$AK$116),"",ReferenceData!$AK$116),"")</f>
        <v>53.441000000000003</v>
      </c>
      <c r="AL116">
        <f ca="1">IFERROR(IF(0=LEN(ReferenceData!$AL$116),"",ReferenceData!$AL$116),"")</f>
        <v>92.388999999999996</v>
      </c>
      <c r="AM116">
        <f ca="1">IFERROR(IF(0=LEN(ReferenceData!$AM$116),"",ReferenceData!$AM$116),"")</f>
        <v>34.593000000000004</v>
      </c>
      <c r="AN116">
        <f ca="1">IFERROR(IF(0=LEN(ReferenceData!$AN$116),"",ReferenceData!$AN$116),"")</f>
        <v>187.66</v>
      </c>
      <c r="AO116">
        <f ca="1">IFERROR(IF(0=LEN(ReferenceData!$AO$116),"",ReferenceData!$AO$116),"")</f>
        <v>247.583</v>
      </c>
      <c r="AP116">
        <f ca="1">IFERROR(IF(0=LEN(ReferenceData!$AP$116),"",ReferenceData!$AP$116),"")</f>
        <v>119.059</v>
      </c>
      <c r="AQ116">
        <f ca="1">IFERROR(IF(0=LEN(ReferenceData!$AQ$116),"",ReferenceData!$AQ$116),"")</f>
        <v>187.5</v>
      </c>
      <c r="AR116">
        <f ca="1">IFERROR(IF(0=LEN(ReferenceData!$AR$116),"",ReferenceData!$AR$116),"")</f>
        <v>784.65099999999995</v>
      </c>
      <c r="AS116">
        <f ca="1">IFERROR(IF(0=LEN(ReferenceData!$AS$116),"",ReferenceData!$AS$116),"")</f>
        <v>36.049999999999997</v>
      </c>
      <c r="AT116">
        <f ca="1">IFERROR(IF(0=LEN(ReferenceData!$AT$116),"",ReferenceData!$AT$116),"")</f>
        <v>50.825000000000003</v>
      </c>
      <c r="AU116">
        <f ca="1">IFERROR(IF(0=LEN(ReferenceData!$AU$116),"",ReferenceData!$AU$116),"")</f>
        <v>556.322</v>
      </c>
      <c r="AV116">
        <f ca="1">IFERROR(IF(0=LEN(ReferenceData!$AV$116),"",ReferenceData!$AV$116),"")</f>
        <v>375.22500000000002</v>
      </c>
      <c r="AW116">
        <f ca="1">IFERROR(IF(0=LEN(ReferenceData!$AW$116),"",ReferenceData!$AW$116),"")</f>
        <v>363.78300000000002</v>
      </c>
      <c r="AX116">
        <f ca="1">IFERROR(IF(0=LEN(ReferenceData!$AX$116),"",ReferenceData!$AX$116),"")</f>
        <v>435.62299999999999</v>
      </c>
      <c r="AY116">
        <f ca="1">IFERROR(IF(0=LEN(ReferenceData!$AY$116),"",ReferenceData!$AY$116),"")</f>
        <v>126.312</v>
      </c>
      <c r="AZ116">
        <f ca="1">IFERROR(IF(0=LEN(ReferenceData!$AZ$116),"",ReferenceData!$AZ$116),"")</f>
        <v>68.290999999999997</v>
      </c>
      <c r="BA116">
        <f ca="1">IFERROR(IF(0=LEN(ReferenceData!$BA$116),"",ReferenceData!$BA$116),"")</f>
        <v>119.702</v>
      </c>
      <c r="BB116">
        <f ca="1">IFERROR(IF(0=LEN(ReferenceData!$BB$116),"",ReferenceData!$BB$116),"")</f>
        <v>31.35</v>
      </c>
      <c r="BC116">
        <f ca="1">IFERROR(IF(0=LEN(ReferenceData!$BC$116),"",ReferenceData!$BC$116),"")</f>
        <v>74.834999999999994</v>
      </c>
      <c r="BD116">
        <f ca="1">IFERROR(IF(0=LEN(ReferenceData!$BD$116),"",ReferenceData!$BD$116),"")</f>
        <v>38.683</v>
      </c>
      <c r="BE116">
        <f ca="1">IFERROR(IF(0=LEN(ReferenceData!$BE$116),"",ReferenceData!$BE$116),"")</f>
        <v>140.643</v>
      </c>
      <c r="BF116">
        <f ca="1">IFERROR(IF(0=LEN(ReferenceData!$BF$116),"",ReferenceData!$BF$116),"")</f>
        <v>38.020000000000003</v>
      </c>
      <c r="BG116">
        <f ca="1">IFERROR(IF(0=LEN(ReferenceData!$BG$116),"",ReferenceData!$BG$116),"")</f>
        <v>4.5519999999999996</v>
      </c>
      <c r="BH116">
        <f ca="1">IFERROR(IF(0=LEN(ReferenceData!$BH$116),"",ReferenceData!$BH$116),"")</f>
        <v>14.005000000000001</v>
      </c>
      <c r="BI116">
        <f ca="1">IFERROR(IF(0=LEN(ReferenceData!$BI$116),"",ReferenceData!$BI$116),"")</f>
        <v>131.81399999999999</v>
      </c>
      <c r="BJ116">
        <f ca="1">IFERROR(IF(0=LEN(ReferenceData!$BJ$116),"",ReferenceData!$BJ$116),"")</f>
        <v>77.8</v>
      </c>
      <c r="BK116">
        <f ca="1">IFERROR(IF(0=LEN(ReferenceData!$BK$116),"",ReferenceData!$BK$116),"")</f>
        <v>0</v>
      </c>
      <c r="BL116">
        <f ca="1">IFERROR(IF(0=LEN(ReferenceData!$BL$116),"",ReferenceData!$BL$116),"")</f>
        <v>0</v>
      </c>
      <c r="BM116">
        <f ca="1">IFERROR(IF(0=LEN(ReferenceData!$BM$116),"",ReferenceData!$BM$116),"")</f>
        <v>0</v>
      </c>
    </row>
    <row r="117" spans="1:65">
      <c r="A117" t="str">
        <f>IFERROR(IF(0=LEN(ReferenceData!$A$117),"",ReferenceData!$A$117),"")</f>
        <v xml:space="preserve">    Data Center REITs</v>
      </c>
      <c r="B117" t="str">
        <f>IFERROR(IF(0=LEN(ReferenceData!$B$117),"",ReferenceData!$B$117),"")</f>
        <v>RECFDSDC Index</v>
      </c>
      <c r="C117" t="str">
        <f>IFERROR(IF(0=LEN(ReferenceData!$C$117),"",ReferenceData!$C$117),"")</f>
        <v/>
      </c>
      <c r="D117" t="str">
        <f>IFERROR(IF(0=LEN(ReferenceData!$D$117),"",ReferenceData!$D$117),"")</f>
        <v/>
      </c>
      <c r="E117" t="str">
        <f>IFERROR(IF(0=LEN(ReferenceData!$E$117),"",ReferenceData!$E$117),"")</f>
        <v>Expression</v>
      </c>
      <c r="F117">
        <f ca="1">IFERROR(IF(0=LEN(ReferenceData!$F$117),"",ReferenceData!$F$117),"")</f>
        <v>0</v>
      </c>
      <c r="G117">
        <f ca="1">IFERROR(IF(0=LEN(ReferenceData!$G$117),"",ReferenceData!$G$117),"")</f>
        <v>20.2</v>
      </c>
      <c r="H117">
        <f ca="1">IFERROR(IF(0=LEN(ReferenceData!$H$117),"",ReferenceData!$H$117),"")</f>
        <v>0</v>
      </c>
      <c r="I117">
        <f ca="1">IFERROR(IF(0=LEN(ReferenceData!$I$117),"",ReferenceData!$I$117),"")</f>
        <v>0</v>
      </c>
      <c r="J117">
        <f ca="1">IFERROR(IF(0=LEN(ReferenceData!$J$117),"",ReferenceData!$J$117),"")</f>
        <v>0</v>
      </c>
      <c r="K117">
        <f ca="1">IFERROR(IF(0=LEN(ReferenceData!$K$117),"",ReferenceData!$K$117),"")</f>
        <v>1153.8140000000001</v>
      </c>
      <c r="L117">
        <f ca="1">IFERROR(IF(0=LEN(ReferenceData!$L$117),"",ReferenceData!$L$117),"")</f>
        <v>125</v>
      </c>
      <c r="M117">
        <f ca="1">IFERROR(IF(0=LEN(ReferenceData!$M$117),"",ReferenceData!$M$117),"")</f>
        <v>37.5</v>
      </c>
      <c r="N117">
        <f ca="1">IFERROR(IF(0=LEN(ReferenceData!$N$117),"",ReferenceData!$N$117),"")</f>
        <v>9.85</v>
      </c>
      <c r="O117">
        <f ca="1">IFERROR(IF(0=LEN(ReferenceData!$O$117),"",ReferenceData!$O$117),"")</f>
        <v>0</v>
      </c>
      <c r="P117">
        <f ca="1">IFERROR(IF(0=LEN(ReferenceData!$P$117),"",ReferenceData!$P$117),"")</f>
        <v>160.75</v>
      </c>
      <c r="Q117">
        <f ca="1">IFERROR(IF(0=LEN(ReferenceData!$Q$117),"",ReferenceData!$Q$117),"")</f>
        <v>45.25</v>
      </c>
      <c r="R117">
        <f ca="1">IFERROR(IF(0=LEN(ReferenceData!$R$117),"",ReferenceData!$R$117),"")</f>
        <v>0</v>
      </c>
      <c r="S117">
        <f ca="1">IFERROR(IF(0=LEN(ReferenceData!$S$117),"",ReferenceData!$S$117),"")</f>
        <v>187.6</v>
      </c>
      <c r="T117">
        <f ca="1">IFERROR(IF(0=LEN(ReferenceData!$T$117),"",ReferenceData!$T$117),"")</f>
        <v>41.5</v>
      </c>
      <c r="U117">
        <f ca="1">IFERROR(IF(0=LEN(ReferenceData!$U$117),"",ReferenceData!$U$117),"")</f>
        <v>40.4</v>
      </c>
      <c r="V117">
        <f ca="1">IFERROR(IF(0=LEN(ReferenceData!$V$117),"",ReferenceData!$V$117),"")</f>
        <v>0</v>
      </c>
      <c r="W117">
        <f ca="1">IFERROR(IF(0=LEN(ReferenceData!$W$117),"",ReferenceData!$W$117),"")</f>
        <v>328.56900000000002</v>
      </c>
      <c r="X117">
        <f ca="1">IFERROR(IF(0=LEN(ReferenceData!$X$117),"",ReferenceData!$X$117),"")</f>
        <v>0</v>
      </c>
      <c r="Y117">
        <f ca="1">IFERROR(IF(0=LEN(ReferenceData!$Y$117),"",ReferenceData!$Y$117),"")</f>
        <v>0</v>
      </c>
      <c r="Z117">
        <f ca="1">IFERROR(IF(0=LEN(ReferenceData!$Z$117),"",ReferenceData!$Z$117),"")</f>
        <v>0</v>
      </c>
      <c r="AA117">
        <f ca="1">IFERROR(IF(0=LEN(ReferenceData!$AA$117),"",ReferenceData!$AA$117),"")</f>
        <v>0</v>
      </c>
      <c r="AB117">
        <f ca="1">IFERROR(IF(0=LEN(ReferenceData!$AB$117),"",ReferenceData!$AB$117),"")</f>
        <v>47.8</v>
      </c>
      <c r="AC117">
        <f ca="1">IFERROR(IF(0=LEN(ReferenceData!$AC$117),"",ReferenceData!$AC$117),"")</f>
        <v>0</v>
      </c>
      <c r="AD117">
        <f ca="1">IFERROR(IF(0=LEN(ReferenceData!$AD$117),"",ReferenceData!$AD$117),"")</f>
        <v>0</v>
      </c>
      <c r="AE117">
        <f ca="1">IFERROR(IF(0=LEN(ReferenceData!$AE$117),"",ReferenceData!$AE$117),"")</f>
        <v>0</v>
      </c>
      <c r="AF117">
        <f ca="1">IFERROR(IF(0=LEN(ReferenceData!$AF$117),"",ReferenceData!$AF$117),"")</f>
        <v>0</v>
      </c>
      <c r="AG117">
        <f ca="1">IFERROR(IF(0=LEN(ReferenceData!$AG$117),"",ReferenceData!$AG$117),"")</f>
        <v>0</v>
      </c>
      <c r="AH117">
        <f ca="1">IFERROR(IF(0=LEN(ReferenceData!$AH$117),"",ReferenceData!$AH$117),"")</f>
        <v>0</v>
      </c>
      <c r="AI117">
        <f ca="1">IFERROR(IF(0=LEN(ReferenceData!$AI$117),"",ReferenceData!$AI$117),"")</f>
        <v>0</v>
      </c>
      <c r="AJ117">
        <f ca="1">IFERROR(IF(0=LEN(ReferenceData!$AJ$117),"",ReferenceData!$AJ$117),"")</f>
        <v>0</v>
      </c>
      <c r="AK117">
        <f ca="1">IFERROR(IF(0=LEN(ReferenceData!$AK$117),"",ReferenceData!$AK$117),"")</f>
        <v>0</v>
      </c>
      <c r="AL117">
        <f ca="1">IFERROR(IF(0=LEN(ReferenceData!$AL$117),"",ReferenceData!$AL$117),"")</f>
        <v>0</v>
      </c>
      <c r="AM117">
        <f ca="1">IFERROR(IF(0=LEN(ReferenceData!$AM$117),"",ReferenceData!$AM$117),"")</f>
        <v>0</v>
      </c>
      <c r="AN117">
        <f ca="1">IFERROR(IF(0=LEN(ReferenceData!$AN$117),"",ReferenceData!$AN$117),"")</f>
        <v>0</v>
      </c>
      <c r="AO117">
        <f ca="1">IFERROR(IF(0=LEN(ReferenceData!$AO$117),"",ReferenceData!$AO$117),"")</f>
        <v>0</v>
      </c>
      <c r="AP117">
        <f ca="1">IFERROR(IF(0=LEN(ReferenceData!$AP$117),"",ReferenceData!$AP$117),"")</f>
        <v>0</v>
      </c>
      <c r="AQ117">
        <f ca="1">IFERROR(IF(0=LEN(ReferenceData!$AQ$117),"",ReferenceData!$AQ$117),"")</f>
        <v>0</v>
      </c>
      <c r="AR117">
        <f ca="1">IFERROR(IF(0=LEN(ReferenceData!$AR$117),"",ReferenceData!$AR$117),"")</f>
        <v>0</v>
      </c>
      <c r="AS117">
        <f ca="1">IFERROR(IF(0=LEN(ReferenceData!$AS$117),"",ReferenceData!$AS$117),"")</f>
        <v>0</v>
      </c>
      <c r="AT117">
        <f ca="1">IFERROR(IF(0=LEN(ReferenceData!$AT$117),"",ReferenceData!$AT$117),"")</f>
        <v>0</v>
      </c>
      <c r="AU117">
        <f ca="1">IFERROR(IF(0=LEN(ReferenceData!$AU$117),"",ReferenceData!$AU$117),"")</f>
        <v>0</v>
      </c>
      <c r="AV117">
        <f ca="1">IFERROR(IF(0=LEN(ReferenceData!$AV$117),"",ReferenceData!$AV$117),"")</f>
        <v>0</v>
      </c>
      <c r="AW117">
        <f ca="1">IFERROR(IF(0=LEN(ReferenceData!$AW$117),"",ReferenceData!$AW$117),"")</f>
        <v>78.5</v>
      </c>
      <c r="AX117">
        <f ca="1">IFERROR(IF(0=LEN(ReferenceData!$AX$117),"",ReferenceData!$AX$117),"")</f>
        <v>0</v>
      </c>
      <c r="AY117">
        <f ca="1">IFERROR(IF(0=LEN(ReferenceData!$AY$117),"",ReferenceData!$AY$117),"")</f>
        <v>60.4</v>
      </c>
      <c r="AZ117">
        <f ca="1">IFERROR(IF(0=LEN(ReferenceData!$AZ$117),"",ReferenceData!$AZ$117),"")</f>
        <v>0</v>
      </c>
      <c r="BA117">
        <f ca="1">IFERROR(IF(0=LEN(ReferenceData!$BA$117),"",ReferenceData!$BA$117),"")</f>
        <v>0</v>
      </c>
      <c r="BB117">
        <f ca="1">IFERROR(IF(0=LEN(ReferenceData!$BB$117),"",ReferenceData!$BB$117),"")</f>
        <v>0</v>
      </c>
      <c r="BC117">
        <f ca="1">IFERROR(IF(0=LEN(ReferenceData!$BC$117),"",ReferenceData!$BC$117),"")</f>
        <v>0</v>
      </c>
      <c r="BD117">
        <f ca="1">IFERROR(IF(0=LEN(ReferenceData!$BD$117),"",ReferenceData!$BD$117),"")</f>
        <v>0</v>
      </c>
      <c r="BE117">
        <f ca="1">IFERROR(IF(0=LEN(ReferenceData!$BE$117),"",ReferenceData!$BE$117),"")</f>
        <v>0</v>
      </c>
      <c r="BF117">
        <f ca="1">IFERROR(IF(0=LEN(ReferenceData!$BF$117),"",ReferenceData!$BF$117),"")</f>
        <v>0</v>
      </c>
      <c r="BG117">
        <f ca="1">IFERROR(IF(0=LEN(ReferenceData!$BG$117),"",ReferenceData!$BG$117),"")</f>
        <v>0</v>
      </c>
      <c r="BH117">
        <f ca="1">IFERROR(IF(0=LEN(ReferenceData!$BH$117),"",ReferenceData!$BH$117),"")</f>
        <v>0</v>
      </c>
      <c r="BI117">
        <f ca="1">IFERROR(IF(0=LEN(ReferenceData!$BI$117),"",ReferenceData!$BI$117),"")</f>
        <v>0</v>
      </c>
      <c r="BJ117">
        <f ca="1">IFERROR(IF(0=LEN(ReferenceData!$BJ$117),"",ReferenceData!$BJ$117),"")</f>
        <v>0</v>
      </c>
      <c r="BK117">
        <f ca="1">IFERROR(IF(0=LEN(ReferenceData!$BK$117),"",ReferenceData!$BK$117),"")</f>
        <v>0</v>
      </c>
      <c r="BL117">
        <f ca="1">IFERROR(IF(0=LEN(ReferenceData!$BL$117),"",ReferenceData!$BL$117),"")</f>
        <v>0</v>
      </c>
      <c r="BM117">
        <f ca="1">IFERROR(IF(0=LEN(ReferenceData!$BM$117),"",ReferenceData!$BM$117),"")</f>
        <v>0</v>
      </c>
    </row>
    <row r="118" spans="1:65">
      <c r="A118" t="str">
        <f>IFERROR(IF(0=LEN(ReferenceData!$A$118),"",ReferenceData!$A$118),"")</f>
        <v xml:space="preserve">    Specialty REITs</v>
      </c>
      <c r="B118" t="str">
        <f>IFERROR(IF(0=LEN(ReferenceData!$B$118),"",ReferenceData!$B$118),"")</f>
        <v>RECFDSSP Index</v>
      </c>
      <c r="C118" t="str">
        <f>IFERROR(IF(0=LEN(ReferenceData!$C$118),"",ReferenceData!$C$118),"")</f>
        <v/>
      </c>
      <c r="D118" t="str">
        <f>IFERROR(IF(0=LEN(ReferenceData!$D$118),"",ReferenceData!$D$118),"")</f>
        <v/>
      </c>
      <c r="E118" t="str">
        <f>IFERROR(IF(0=LEN(ReferenceData!$E$118),"",ReferenceData!$E$118),"")</f>
        <v>Expression</v>
      </c>
      <c r="F118">
        <f ca="1">IFERROR(IF(0=LEN(ReferenceData!$F$118),"",ReferenceData!$F$118),"")</f>
        <v>57.125999999999998</v>
      </c>
      <c r="G118">
        <f ca="1">IFERROR(IF(0=LEN(ReferenceData!$G$118),"",ReferenceData!$G$118),"")</f>
        <v>7.2409999999999997</v>
      </c>
      <c r="H118">
        <f ca="1">IFERROR(IF(0=LEN(ReferenceData!$H$118),"",ReferenceData!$H$118),"")</f>
        <v>112.419</v>
      </c>
      <c r="I118">
        <f ca="1">IFERROR(IF(0=LEN(ReferenceData!$I$118),"",ReferenceData!$I$118),"")</f>
        <v>18.57</v>
      </c>
      <c r="J118">
        <f ca="1">IFERROR(IF(0=LEN(ReferenceData!$J$118),"",ReferenceData!$J$118),"")</f>
        <v>90.6</v>
      </c>
      <c r="K118">
        <f ca="1">IFERROR(IF(0=LEN(ReferenceData!$K$118),"",ReferenceData!$K$118),"")</f>
        <v>7.9329999999999998</v>
      </c>
      <c r="L118">
        <f ca="1">IFERROR(IF(0=LEN(ReferenceData!$L$118),"",ReferenceData!$L$118),"")</f>
        <v>99.634</v>
      </c>
      <c r="M118">
        <f ca="1">IFERROR(IF(0=LEN(ReferenceData!$M$118),"",ReferenceData!$M$118),"")</f>
        <v>0.3</v>
      </c>
      <c r="N118">
        <f ca="1">IFERROR(IF(0=LEN(ReferenceData!$N$118),"",ReferenceData!$N$118),"")</f>
        <v>0.1</v>
      </c>
      <c r="O118">
        <f ca="1">IFERROR(IF(0=LEN(ReferenceData!$O$118),"",ReferenceData!$O$118),"")</f>
        <v>0</v>
      </c>
      <c r="P118">
        <f ca="1">IFERROR(IF(0=LEN(ReferenceData!$P$118),"",ReferenceData!$P$118),"")</f>
        <v>0</v>
      </c>
      <c r="Q118">
        <f ca="1">IFERROR(IF(0=LEN(ReferenceData!$Q$118),"",ReferenceData!$Q$118),"")</f>
        <v>0</v>
      </c>
      <c r="R118">
        <f ca="1">IFERROR(IF(0=LEN(ReferenceData!$R$118),"",ReferenceData!$R$118),"")</f>
        <v>0</v>
      </c>
      <c r="S118">
        <f ca="1">IFERROR(IF(0=LEN(ReferenceData!$S$118),"",ReferenceData!$S$118),"")</f>
        <v>0</v>
      </c>
      <c r="T118">
        <f ca="1">IFERROR(IF(0=LEN(ReferenceData!$T$118),"",ReferenceData!$T$118),"")</f>
        <v>0</v>
      </c>
      <c r="U118">
        <f ca="1">IFERROR(IF(0=LEN(ReferenceData!$U$118),"",ReferenceData!$U$118),"")</f>
        <v>0</v>
      </c>
      <c r="V118">
        <f ca="1">IFERROR(IF(0=LEN(ReferenceData!$V$118),"",ReferenceData!$V$118),"")</f>
        <v>0</v>
      </c>
      <c r="W118">
        <f ca="1">IFERROR(IF(0=LEN(ReferenceData!$W$118),"",ReferenceData!$W$118),"")</f>
        <v>0</v>
      </c>
      <c r="X118">
        <f ca="1">IFERROR(IF(0=LEN(ReferenceData!$X$118),"",ReferenceData!$X$118),"")</f>
        <v>0</v>
      </c>
      <c r="Y118">
        <f ca="1">IFERROR(IF(0=LEN(ReferenceData!$Y$118),"",ReferenceData!$Y$118),"")</f>
        <v>0</v>
      </c>
      <c r="Z118">
        <f ca="1">IFERROR(IF(0=LEN(ReferenceData!$Z$118),"",ReferenceData!$Z$118),"")</f>
        <v>0</v>
      </c>
      <c r="AA118">
        <f ca="1">IFERROR(IF(0=LEN(ReferenceData!$AA$118),"",ReferenceData!$AA$118),"")</f>
        <v>0</v>
      </c>
      <c r="AB118">
        <f ca="1">IFERROR(IF(0=LEN(ReferenceData!$AB$118),"",ReferenceData!$AB$118),"")</f>
        <v>0</v>
      </c>
      <c r="AC118">
        <f ca="1">IFERROR(IF(0=LEN(ReferenceData!$AC$118),"",ReferenceData!$AC$118),"")</f>
        <v>0</v>
      </c>
      <c r="AD118">
        <f ca="1">IFERROR(IF(0=LEN(ReferenceData!$AD$118),"",ReferenceData!$AD$118),"")</f>
        <v>0</v>
      </c>
      <c r="AE118">
        <f ca="1">IFERROR(IF(0=LEN(ReferenceData!$AE$118),"",ReferenceData!$AE$118),"")</f>
        <v>0</v>
      </c>
      <c r="AF118">
        <f ca="1">IFERROR(IF(0=LEN(ReferenceData!$AF$118),"",ReferenceData!$AF$118),"")</f>
        <v>0</v>
      </c>
      <c r="AG118">
        <f ca="1">IFERROR(IF(0=LEN(ReferenceData!$AG$118),"",ReferenceData!$AG$118),"")</f>
        <v>0</v>
      </c>
      <c r="AH118">
        <f ca="1">IFERROR(IF(0=LEN(ReferenceData!$AH$118),"",ReferenceData!$AH$118),"")</f>
        <v>0</v>
      </c>
      <c r="AI118">
        <f ca="1">IFERROR(IF(0=LEN(ReferenceData!$AI$118),"",ReferenceData!$AI$118),"")</f>
        <v>1.155</v>
      </c>
      <c r="AJ118">
        <f ca="1">IFERROR(IF(0=LEN(ReferenceData!$AJ$118),"",ReferenceData!$AJ$118),"")</f>
        <v>6.5</v>
      </c>
      <c r="AK118">
        <f ca="1">IFERROR(IF(0=LEN(ReferenceData!$AK$118),"",ReferenceData!$AK$118),"")</f>
        <v>0</v>
      </c>
      <c r="AL118">
        <f ca="1">IFERROR(IF(0=LEN(ReferenceData!$AL$118),"",ReferenceData!$AL$118),"")</f>
        <v>0</v>
      </c>
      <c r="AM118">
        <f ca="1">IFERROR(IF(0=LEN(ReferenceData!$AM$118),"",ReferenceData!$AM$118),"")</f>
        <v>0</v>
      </c>
      <c r="AN118">
        <f ca="1">IFERROR(IF(0=LEN(ReferenceData!$AN$118),"",ReferenceData!$AN$118),"")</f>
        <v>0</v>
      </c>
      <c r="AO118">
        <f ca="1">IFERROR(IF(0=LEN(ReferenceData!$AO$118),"",ReferenceData!$AO$118),"")</f>
        <v>0</v>
      </c>
      <c r="AP118">
        <f ca="1">IFERROR(IF(0=LEN(ReferenceData!$AP$118),"",ReferenceData!$AP$118),"")</f>
        <v>0</v>
      </c>
      <c r="AQ118">
        <f ca="1">IFERROR(IF(0=LEN(ReferenceData!$AQ$118),"",ReferenceData!$AQ$118),"")</f>
        <v>0</v>
      </c>
      <c r="AR118">
        <f ca="1">IFERROR(IF(0=LEN(ReferenceData!$AR$118),"",ReferenceData!$AR$118),"")</f>
        <v>0</v>
      </c>
      <c r="AS118">
        <f ca="1">IFERROR(IF(0=LEN(ReferenceData!$AS$118),"",ReferenceData!$AS$118),"")</f>
        <v>0</v>
      </c>
      <c r="AT118">
        <f ca="1">IFERROR(IF(0=LEN(ReferenceData!$AT$118),"",ReferenceData!$AT$118),"")</f>
        <v>0</v>
      </c>
      <c r="AU118">
        <f ca="1">IFERROR(IF(0=LEN(ReferenceData!$AU$118),"",ReferenceData!$AU$118),"")</f>
        <v>0</v>
      </c>
      <c r="AV118">
        <f ca="1">IFERROR(IF(0=LEN(ReferenceData!$AV$118),"",ReferenceData!$AV$118),"")</f>
        <v>7.7</v>
      </c>
      <c r="AW118">
        <f ca="1">IFERROR(IF(0=LEN(ReferenceData!$AW$118),"",ReferenceData!$AW$118),"")</f>
        <v>0</v>
      </c>
      <c r="AX118">
        <f ca="1">IFERROR(IF(0=LEN(ReferenceData!$AX$118),"",ReferenceData!$AX$118),"")</f>
        <v>0</v>
      </c>
      <c r="AY118">
        <f ca="1">IFERROR(IF(0=LEN(ReferenceData!$AY$118),"",ReferenceData!$AY$118),"")</f>
        <v>0</v>
      </c>
      <c r="AZ118">
        <f ca="1">IFERROR(IF(0=LEN(ReferenceData!$AZ$118),"",ReferenceData!$AZ$118),"")</f>
        <v>0</v>
      </c>
      <c r="BA118">
        <f ca="1">IFERROR(IF(0=LEN(ReferenceData!$BA$118),"",ReferenceData!$BA$118),"")</f>
        <v>0</v>
      </c>
      <c r="BB118">
        <f ca="1">IFERROR(IF(0=LEN(ReferenceData!$BB$118),"",ReferenceData!$BB$118),"")</f>
        <v>0</v>
      </c>
      <c r="BC118">
        <f ca="1">IFERROR(IF(0=LEN(ReferenceData!$BC$118),"",ReferenceData!$BC$118),"")</f>
        <v>2</v>
      </c>
      <c r="BD118">
        <f ca="1">IFERROR(IF(0=LEN(ReferenceData!$BD$118),"",ReferenceData!$BD$118),"")</f>
        <v>9.3000000000000007</v>
      </c>
      <c r="BE118">
        <f ca="1">IFERROR(IF(0=LEN(ReferenceData!$BE$118),"",ReferenceData!$BE$118),"")</f>
        <v>6.4</v>
      </c>
      <c r="BF118">
        <f ca="1">IFERROR(IF(0=LEN(ReferenceData!$BF$118),"",ReferenceData!$BF$118),"")</f>
        <v>158.733</v>
      </c>
      <c r="BG118">
        <f ca="1">IFERROR(IF(0=LEN(ReferenceData!$BG$118),"",ReferenceData!$BG$118),"")</f>
        <v>44.264000000000003</v>
      </c>
      <c r="BH118">
        <f ca="1">IFERROR(IF(0=LEN(ReferenceData!$BH$118),"",ReferenceData!$BH$118),"")</f>
        <v>61.597999999999999</v>
      </c>
      <c r="BI118">
        <f ca="1">IFERROR(IF(0=LEN(ReferenceData!$BI$118),"",ReferenceData!$BI$118),"")</f>
        <v>38.347999999999999</v>
      </c>
      <c r="BJ118">
        <f ca="1">IFERROR(IF(0=LEN(ReferenceData!$BJ$118),"",ReferenceData!$BJ$118),"")</f>
        <v>0</v>
      </c>
      <c r="BK118">
        <f ca="1">IFERROR(IF(0=LEN(ReferenceData!$BK$118),"",ReferenceData!$BK$118),"")</f>
        <v>0</v>
      </c>
      <c r="BL118">
        <f ca="1">IFERROR(IF(0=LEN(ReferenceData!$BL$118),"",ReferenceData!$BL$118),"")</f>
        <v>0</v>
      </c>
      <c r="BM118">
        <f ca="1">IFERROR(IF(0=LEN(ReferenceData!$BM$118),"",ReferenceData!$BM$118),"")</f>
        <v>0</v>
      </c>
    </row>
    <row r="119" spans="1:65">
      <c r="A119" t="str">
        <f>IFERROR(IF(0=LEN(ReferenceData!$A$119),"",ReferenceData!$A$119),"")</f>
        <v xml:space="preserve">    </v>
      </c>
      <c r="B119" t="str">
        <f>IFERROR(IF(0=LEN(ReferenceData!$B$119),"",ReferenceData!$B$119),"")</f>
        <v/>
      </c>
      <c r="C119" t="str">
        <f>IFERROR(IF(0=LEN(ReferenceData!$C$119),"",ReferenceData!$C$119),"")</f>
        <v/>
      </c>
      <c r="D119" t="str">
        <f>IFERROR(IF(0=LEN(ReferenceData!$D$119),"",ReferenceData!$D$119),"")</f>
        <v/>
      </c>
      <c r="E119" t="str">
        <f>IFERROR(IF(0=LEN(ReferenceData!$E$119),"",ReferenceData!$E$119),"")</f>
        <v>静态</v>
      </c>
      <c r="F119" t="str">
        <f ca="1">IFERROR(IF(0=LEN(ReferenceData!$F$119),"",ReferenceData!$F$119),"")</f>
        <v/>
      </c>
      <c r="G119" t="str">
        <f ca="1">IFERROR(IF(0=LEN(ReferenceData!$G$119),"",ReferenceData!$G$119),"")</f>
        <v/>
      </c>
      <c r="H119" t="str">
        <f ca="1">IFERROR(IF(0=LEN(ReferenceData!$H$119),"",ReferenceData!$H$119),"")</f>
        <v/>
      </c>
      <c r="I119" t="str">
        <f ca="1">IFERROR(IF(0=LEN(ReferenceData!$I$119),"",ReferenceData!$I$119),"")</f>
        <v/>
      </c>
      <c r="J119" t="str">
        <f ca="1">IFERROR(IF(0=LEN(ReferenceData!$J$119),"",ReferenceData!$J$119),"")</f>
        <v/>
      </c>
      <c r="K119" t="str">
        <f ca="1">IFERROR(IF(0=LEN(ReferenceData!$K$119),"",ReferenceData!$K$119),"")</f>
        <v/>
      </c>
      <c r="L119" t="str">
        <f ca="1">IFERROR(IF(0=LEN(ReferenceData!$L$119),"",ReferenceData!$L$119),"")</f>
        <v/>
      </c>
      <c r="M119" t="str">
        <f ca="1">IFERROR(IF(0=LEN(ReferenceData!$M$119),"",ReferenceData!$M$119),"")</f>
        <v/>
      </c>
      <c r="N119" t="str">
        <f ca="1">IFERROR(IF(0=LEN(ReferenceData!$N$119),"",ReferenceData!$N$119),"")</f>
        <v/>
      </c>
      <c r="O119" t="str">
        <f ca="1">IFERROR(IF(0=LEN(ReferenceData!$O$119),"",ReferenceData!$O$119),"")</f>
        <v/>
      </c>
      <c r="P119" t="str">
        <f ca="1">IFERROR(IF(0=LEN(ReferenceData!$P$119),"",ReferenceData!$P$119),"")</f>
        <v/>
      </c>
      <c r="Q119" t="str">
        <f ca="1">IFERROR(IF(0=LEN(ReferenceData!$Q$119),"",ReferenceData!$Q$119),"")</f>
        <v/>
      </c>
      <c r="R119" t="str">
        <f ca="1">IFERROR(IF(0=LEN(ReferenceData!$R$119),"",ReferenceData!$R$119),"")</f>
        <v/>
      </c>
      <c r="S119" t="str">
        <f ca="1">IFERROR(IF(0=LEN(ReferenceData!$S$119),"",ReferenceData!$S$119),"")</f>
        <v/>
      </c>
      <c r="T119" t="str">
        <f ca="1">IFERROR(IF(0=LEN(ReferenceData!$T$119),"",ReferenceData!$T$119),"")</f>
        <v/>
      </c>
      <c r="U119" t="str">
        <f ca="1">IFERROR(IF(0=LEN(ReferenceData!$U$119),"",ReferenceData!$U$119),"")</f>
        <v/>
      </c>
      <c r="V119" t="str">
        <f ca="1">IFERROR(IF(0=LEN(ReferenceData!$V$119),"",ReferenceData!$V$119),"")</f>
        <v/>
      </c>
      <c r="W119" t="str">
        <f ca="1">IFERROR(IF(0=LEN(ReferenceData!$W$119),"",ReferenceData!$W$119),"")</f>
        <v/>
      </c>
      <c r="X119" t="str">
        <f ca="1">IFERROR(IF(0=LEN(ReferenceData!$X$119),"",ReferenceData!$X$119),"")</f>
        <v/>
      </c>
      <c r="Y119" t="str">
        <f ca="1">IFERROR(IF(0=LEN(ReferenceData!$Y$119),"",ReferenceData!$Y$119),"")</f>
        <v/>
      </c>
      <c r="Z119" t="str">
        <f ca="1">IFERROR(IF(0=LEN(ReferenceData!$Z$119),"",ReferenceData!$Z$119),"")</f>
        <v/>
      </c>
      <c r="AA119" t="str">
        <f ca="1">IFERROR(IF(0=LEN(ReferenceData!$AA$119),"",ReferenceData!$AA$119),"")</f>
        <v/>
      </c>
      <c r="AB119" t="str">
        <f ca="1">IFERROR(IF(0=LEN(ReferenceData!$AB$119),"",ReferenceData!$AB$119),"")</f>
        <v/>
      </c>
      <c r="AC119" t="str">
        <f ca="1">IFERROR(IF(0=LEN(ReferenceData!$AC$119),"",ReferenceData!$AC$119),"")</f>
        <v/>
      </c>
      <c r="AD119" t="str">
        <f ca="1">IFERROR(IF(0=LEN(ReferenceData!$AD$119),"",ReferenceData!$AD$119),"")</f>
        <v/>
      </c>
      <c r="AE119" t="str">
        <f ca="1">IFERROR(IF(0=LEN(ReferenceData!$AE$119),"",ReferenceData!$AE$119),"")</f>
        <v/>
      </c>
      <c r="AF119" t="str">
        <f ca="1">IFERROR(IF(0=LEN(ReferenceData!$AF$119),"",ReferenceData!$AF$119),"")</f>
        <v/>
      </c>
      <c r="AG119" t="str">
        <f ca="1">IFERROR(IF(0=LEN(ReferenceData!$AG$119),"",ReferenceData!$AG$119),"")</f>
        <v/>
      </c>
      <c r="AH119" t="str">
        <f ca="1">IFERROR(IF(0=LEN(ReferenceData!$AH$119),"",ReferenceData!$AH$119),"")</f>
        <v/>
      </c>
      <c r="AI119" t="str">
        <f ca="1">IFERROR(IF(0=LEN(ReferenceData!$AI$119),"",ReferenceData!$AI$119),"")</f>
        <v/>
      </c>
      <c r="AJ119" t="str">
        <f ca="1">IFERROR(IF(0=LEN(ReferenceData!$AJ$119),"",ReferenceData!$AJ$119),"")</f>
        <v/>
      </c>
      <c r="AK119" t="str">
        <f ca="1">IFERROR(IF(0=LEN(ReferenceData!$AK$119),"",ReferenceData!$AK$119),"")</f>
        <v/>
      </c>
      <c r="AL119" t="str">
        <f ca="1">IFERROR(IF(0=LEN(ReferenceData!$AL$119),"",ReferenceData!$AL$119),"")</f>
        <v/>
      </c>
      <c r="AM119" t="str">
        <f ca="1">IFERROR(IF(0=LEN(ReferenceData!$AM$119),"",ReferenceData!$AM$119),"")</f>
        <v/>
      </c>
      <c r="AN119" t="str">
        <f ca="1">IFERROR(IF(0=LEN(ReferenceData!$AN$119),"",ReferenceData!$AN$119),"")</f>
        <v/>
      </c>
      <c r="AO119" t="str">
        <f ca="1">IFERROR(IF(0=LEN(ReferenceData!$AO$119),"",ReferenceData!$AO$119),"")</f>
        <v/>
      </c>
      <c r="AP119" t="str">
        <f ca="1">IFERROR(IF(0=LEN(ReferenceData!$AP$119),"",ReferenceData!$AP$119),"")</f>
        <v/>
      </c>
      <c r="AQ119" t="str">
        <f ca="1">IFERROR(IF(0=LEN(ReferenceData!$AQ$119),"",ReferenceData!$AQ$119),"")</f>
        <v/>
      </c>
      <c r="AR119" t="str">
        <f ca="1">IFERROR(IF(0=LEN(ReferenceData!$AR$119),"",ReferenceData!$AR$119),"")</f>
        <v/>
      </c>
      <c r="AS119" t="str">
        <f ca="1">IFERROR(IF(0=LEN(ReferenceData!$AS$119),"",ReferenceData!$AS$119),"")</f>
        <v/>
      </c>
      <c r="AT119" t="str">
        <f ca="1">IFERROR(IF(0=LEN(ReferenceData!$AT$119),"",ReferenceData!$AT$119),"")</f>
        <v/>
      </c>
      <c r="AU119" t="str">
        <f ca="1">IFERROR(IF(0=LEN(ReferenceData!$AU$119),"",ReferenceData!$AU$119),"")</f>
        <v/>
      </c>
      <c r="AV119" t="str">
        <f ca="1">IFERROR(IF(0=LEN(ReferenceData!$AV$119),"",ReferenceData!$AV$119),"")</f>
        <v/>
      </c>
      <c r="AW119" t="str">
        <f ca="1">IFERROR(IF(0=LEN(ReferenceData!$AW$119),"",ReferenceData!$AW$119),"")</f>
        <v/>
      </c>
      <c r="AX119" t="str">
        <f ca="1">IFERROR(IF(0=LEN(ReferenceData!$AX$119),"",ReferenceData!$AX$119),"")</f>
        <v/>
      </c>
      <c r="AY119" t="str">
        <f ca="1">IFERROR(IF(0=LEN(ReferenceData!$AY$119),"",ReferenceData!$AY$119),"")</f>
        <v/>
      </c>
      <c r="AZ119" t="str">
        <f ca="1">IFERROR(IF(0=LEN(ReferenceData!$AZ$119),"",ReferenceData!$AZ$119),"")</f>
        <v/>
      </c>
      <c r="BA119" t="str">
        <f ca="1">IFERROR(IF(0=LEN(ReferenceData!$BA$119),"",ReferenceData!$BA$119),"")</f>
        <v/>
      </c>
      <c r="BB119" t="str">
        <f ca="1">IFERROR(IF(0=LEN(ReferenceData!$BB$119),"",ReferenceData!$BB$119),"")</f>
        <v/>
      </c>
      <c r="BC119" t="str">
        <f ca="1">IFERROR(IF(0=LEN(ReferenceData!$BC$119),"",ReferenceData!$BC$119),"")</f>
        <v/>
      </c>
      <c r="BD119" t="str">
        <f ca="1">IFERROR(IF(0=LEN(ReferenceData!$BD$119),"",ReferenceData!$BD$119),"")</f>
        <v/>
      </c>
      <c r="BE119" t="str">
        <f ca="1">IFERROR(IF(0=LEN(ReferenceData!$BE$119),"",ReferenceData!$BE$119),"")</f>
        <v/>
      </c>
      <c r="BF119" t="str">
        <f ca="1">IFERROR(IF(0=LEN(ReferenceData!$BF$119),"",ReferenceData!$BF$119),"")</f>
        <v/>
      </c>
      <c r="BG119" t="str">
        <f ca="1">IFERROR(IF(0=LEN(ReferenceData!$BG$119),"",ReferenceData!$BG$119),"")</f>
        <v/>
      </c>
      <c r="BH119" t="str">
        <f ca="1">IFERROR(IF(0=LEN(ReferenceData!$BH$119),"",ReferenceData!$BH$119),"")</f>
        <v/>
      </c>
      <c r="BI119" t="str">
        <f ca="1">IFERROR(IF(0=LEN(ReferenceData!$BI$119),"",ReferenceData!$BI$119),"")</f>
        <v/>
      </c>
      <c r="BJ119" t="str">
        <f ca="1">IFERROR(IF(0=LEN(ReferenceData!$BJ$119),"",ReferenceData!$BJ$119),"")</f>
        <v/>
      </c>
      <c r="BK119" t="str">
        <f ca="1">IFERROR(IF(0=LEN(ReferenceData!$BK$119),"",ReferenceData!$BK$119),"")</f>
        <v/>
      </c>
      <c r="BL119" t="str">
        <f ca="1">IFERROR(IF(0=LEN(ReferenceData!$BL$119),"",ReferenceData!$BL$119),"")</f>
        <v/>
      </c>
      <c r="BM119" t="str">
        <f ca="1">IFERROR(IF(0=LEN(ReferenceData!$BM$119),"",ReferenceData!$BM$119),"")</f>
        <v/>
      </c>
    </row>
    <row r="120" spans="1:65">
      <c r="A120" t="str">
        <f>IFERROR(IF(0=LEN(ReferenceData!$A$120),"",ReferenceData!$A$120),"")</f>
        <v>净收购-所有房地产投资信托</v>
      </c>
      <c r="B120" t="str">
        <f>IFERROR(IF(0=LEN(ReferenceData!$B$120),"",ReferenceData!$B$120),"")</f>
        <v>RECFNAEQ Index</v>
      </c>
      <c r="C120" t="str">
        <f>IFERROR(IF(0=LEN(ReferenceData!$C$120),"",ReferenceData!$C$120),"")</f>
        <v/>
      </c>
      <c r="D120" t="str">
        <f>IFERROR(IF(0=LEN(ReferenceData!$D$120),"",ReferenceData!$D$120),"")</f>
        <v/>
      </c>
      <c r="E120" t="str">
        <f>IFERROR(IF(0=LEN(ReferenceData!$E$120),"",ReferenceData!$E$120),"")</f>
        <v>Expression</v>
      </c>
      <c r="F120">
        <f ca="1">IFERROR(IF(0=LEN(ReferenceData!$F$120),"",ReferenceData!$F$120),"")</f>
        <v>922.53099999999995</v>
      </c>
      <c r="G120">
        <f ca="1">IFERROR(IF(0=LEN(ReferenceData!$G$120),"",ReferenceData!$G$120),"")</f>
        <v>-1199.018</v>
      </c>
      <c r="H120">
        <f ca="1">IFERROR(IF(0=LEN(ReferenceData!$H$120),"",ReferenceData!$H$120),"")</f>
        <v>9870.43</v>
      </c>
      <c r="I120">
        <f ca="1">IFERROR(IF(0=LEN(ReferenceData!$I$120),"",ReferenceData!$I$120),"")</f>
        <v>-1446.4829999999999</v>
      </c>
      <c r="J120">
        <f ca="1">IFERROR(IF(0=LEN(ReferenceData!$J$120),"",ReferenceData!$J$120),"")</f>
        <v>6936.2569999999996</v>
      </c>
      <c r="K120">
        <f ca="1">IFERROR(IF(0=LEN(ReferenceData!$K$120),"",ReferenceData!$K$120),"")</f>
        <v>1796.325</v>
      </c>
      <c r="L120">
        <f ca="1">IFERROR(IF(0=LEN(ReferenceData!$L$120),"",ReferenceData!$L$120),"")</f>
        <v>6652.4139999999998</v>
      </c>
      <c r="M120">
        <f ca="1">IFERROR(IF(0=LEN(ReferenceData!$M$120),"",ReferenceData!$M$120),"")</f>
        <v>1753.903</v>
      </c>
      <c r="N120">
        <f ca="1">IFERROR(IF(0=LEN(ReferenceData!$N$120),"",ReferenceData!$N$120),"")</f>
        <v>2651.31</v>
      </c>
      <c r="O120">
        <f ca="1">IFERROR(IF(0=LEN(ReferenceData!$O$120),"",ReferenceData!$O$120),"")</f>
        <v>13627.575999999999</v>
      </c>
      <c r="P120">
        <f ca="1">IFERROR(IF(0=LEN(ReferenceData!$P$120),"",ReferenceData!$P$120),"")</f>
        <v>22496.235000000001</v>
      </c>
      <c r="Q120">
        <f ca="1">IFERROR(IF(0=LEN(ReferenceData!$Q$120),"",ReferenceData!$Q$120),"")</f>
        <v>18151.325000000001</v>
      </c>
      <c r="R120">
        <f ca="1">IFERROR(IF(0=LEN(ReferenceData!$R$120),"",ReferenceData!$R$120),"")</f>
        <v>10428.549000000001</v>
      </c>
      <c r="S120">
        <f ca="1">IFERROR(IF(0=LEN(ReferenceData!$S$120),"",ReferenceData!$S$120),"")</f>
        <v>12343.894</v>
      </c>
      <c r="T120">
        <f ca="1">IFERROR(IF(0=LEN(ReferenceData!$T$120),"",ReferenceData!$T$120),"")</f>
        <v>13721.249</v>
      </c>
      <c r="U120">
        <f ca="1">IFERROR(IF(0=LEN(ReferenceData!$U$120),"",ReferenceData!$U$120),"")</f>
        <v>17006.542000000001</v>
      </c>
      <c r="V120">
        <f ca="1">IFERROR(IF(0=LEN(ReferenceData!$V$120),"",ReferenceData!$V$120),"")</f>
        <v>11161.682000000001</v>
      </c>
      <c r="W120">
        <f ca="1">IFERROR(IF(0=LEN(ReferenceData!$W$120),"",ReferenceData!$W$120),"")</f>
        <v>14706.501</v>
      </c>
      <c r="X120">
        <f ca="1">IFERROR(IF(0=LEN(ReferenceData!$X$120),"",ReferenceData!$X$120),"")</f>
        <v>2453.6410000000001</v>
      </c>
      <c r="Y120">
        <f ca="1">IFERROR(IF(0=LEN(ReferenceData!$Y$120),"",ReferenceData!$Y$120),"")</f>
        <v>21730.824000000001</v>
      </c>
      <c r="Z120">
        <f ca="1">IFERROR(IF(0=LEN(ReferenceData!$Z$120),"",ReferenceData!$Z$120),"")</f>
        <v>10077.083000000001</v>
      </c>
      <c r="AA120">
        <f ca="1">IFERROR(IF(0=LEN(ReferenceData!$AA$120),"",ReferenceData!$AA$120),"")</f>
        <v>9383.9789999999994</v>
      </c>
      <c r="AB120">
        <f ca="1">IFERROR(IF(0=LEN(ReferenceData!$AB$120),"",ReferenceData!$AB$120),"")</f>
        <v>5819.6049999999996</v>
      </c>
      <c r="AC120">
        <f ca="1">IFERROR(IF(0=LEN(ReferenceData!$AC$120),"",ReferenceData!$AC$120),"")</f>
        <v>7313.3339999999998</v>
      </c>
      <c r="AD120">
        <f ca="1">IFERROR(IF(0=LEN(ReferenceData!$AD$120),"",ReferenceData!$AD$120),"")</f>
        <v>12844.879000000001</v>
      </c>
      <c r="AE120">
        <f ca="1">IFERROR(IF(0=LEN(ReferenceData!$AE$120),"",ReferenceData!$AE$120),"")</f>
        <v>15473.956</v>
      </c>
      <c r="AF120">
        <f ca="1">IFERROR(IF(0=LEN(ReferenceData!$AF$120),"",ReferenceData!$AF$120),"")</f>
        <v>31275.323</v>
      </c>
      <c r="AG120">
        <f ca="1">IFERROR(IF(0=LEN(ReferenceData!$AG$120),"",ReferenceData!$AG$120),"")</f>
        <v>7633.4570000000003</v>
      </c>
      <c r="AH120">
        <f ca="1">IFERROR(IF(0=LEN(ReferenceData!$AH$120),"",ReferenceData!$AH$120),"")</f>
        <v>7393.8649999999998</v>
      </c>
      <c r="AI120">
        <f ca="1">IFERROR(IF(0=LEN(ReferenceData!$AI$120),"",ReferenceData!$AI$120),"")</f>
        <v>8205.6059999999998</v>
      </c>
      <c r="AJ120">
        <f ca="1">IFERROR(IF(0=LEN(ReferenceData!$AJ$120),"",ReferenceData!$AJ$120),"")</f>
        <v>1927.5989999999999</v>
      </c>
      <c r="AK120">
        <f ca="1">IFERROR(IF(0=LEN(ReferenceData!$AK$120),"",ReferenceData!$AK$120),"")</f>
        <v>2229.4720000000002</v>
      </c>
      <c r="AL120">
        <f ca="1">IFERROR(IF(0=LEN(ReferenceData!$AL$120),"",ReferenceData!$AL$120),"")</f>
        <v>-673.00800000000004</v>
      </c>
      <c r="AM120">
        <f ca="1">IFERROR(IF(0=LEN(ReferenceData!$AM$120),"",ReferenceData!$AM$120),"")</f>
        <v>-1361.6089999999999</v>
      </c>
      <c r="AN120">
        <f ca="1">IFERROR(IF(0=LEN(ReferenceData!$AN$120),"",ReferenceData!$AN$120),"")</f>
        <v>-2259.3200000000002</v>
      </c>
      <c r="AO120">
        <f ca="1">IFERROR(IF(0=LEN(ReferenceData!$AO$120),"",ReferenceData!$AO$120),"")</f>
        <v>-2627.2069999999999</v>
      </c>
      <c r="AP120">
        <f ca="1">IFERROR(IF(0=LEN(ReferenceData!$AP$120),"",ReferenceData!$AP$120),"")</f>
        <v>-3119.6669999999999</v>
      </c>
      <c r="AQ120">
        <f ca="1">IFERROR(IF(0=LEN(ReferenceData!$AQ$120),"",ReferenceData!$AQ$120),"")</f>
        <v>-295.94600000000003</v>
      </c>
      <c r="AR120">
        <f ca="1">IFERROR(IF(0=LEN(ReferenceData!$AR$120),"",ReferenceData!$AR$120),"")</f>
        <v>-384.36599999999999</v>
      </c>
      <c r="AS120">
        <f ca="1">IFERROR(IF(0=LEN(ReferenceData!$AS$120),"",ReferenceData!$AS$120),"")</f>
        <v>-1496.8209999999999</v>
      </c>
      <c r="AT120">
        <f ca="1">IFERROR(IF(0=LEN(ReferenceData!$AT$120),"",ReferenceData!$AT$120),"")</f>
        <v>1654.711</v>
      </c>
      <c r="AU120">
        <f ca="1">IFERROR(IF(0=LEN(ReferenceData!$AU$120),"",ReferenceData!$AU$120),"")</f>
        <v>-244.58500000000001</v>
      </c>
      <c r="AV120">
        <f ca="1">IFERROR(IF(0=LEN(ReferenceData!$AV$120),"",ReferenceData!$AV$120),"")</f>
        <v>9422.5889999999999</v>
      </c>
      <c r="AW120">
        <f ca="1">IFERROR(IF(0=LEN(ReferenceData!$AW$120),"",ReferenceData!$AW$120),"")</f>
        <v>16379.32</v>
      </c>
      <c r="AX120">
        <f ca="1">IFERROR(IF(0=LEN(ReferenceData!$AX$120),"",ReferenceData!$AX$120),"")</f>
        <v>10337.761</v>
      </c>
      <c r="AY120">
        <f ca="1">IFERROR(IF(0=LEN(ReferenceData!$AY$120),"",ReferenceData!$AY$120),"")</f>
        <v>4860.2650000000003</v>
      </c>
      <c r="AZ120">
        <f ca="1">IFERROR(IF(0=LEN(ReferenceData!$AZ$120),"",ReferenceData!$AZ$120),"")</f>
        <v>7226.5959999999995</v>
      </c>
      <c r="BA120">
        <f ca="1">IFERROR(IF(0=LEN(ReferenceData!$BA$120),"",ReferenceData!$BA$120),"")</f>
        <v>6674.04</v>
      </c>
      <c r="BB120">
        <f ca="1">IFERROR(IF(0=LEN(ReferenceData!$BB$120),"",ReferenceData!$BB$120),"")</f>
        <v>3676.1640000000002</v>
      </c>
      <c r="BC120">
        <f ca="1">IFERROR(IF(0=LEN(ReferenceData!$BC$120),"",ReferenceData!$BC$120),"")</f>
        <v>7876.7479999999996</v>
      </c>
      <c r="BD120">
        <f ca="1">IFERROR(IF(0=LEN(ReferenceData!$BD$120),"",ReferenceData!$BD$120),"")</f>
        <v>12323.548000000001</v>
      </c>
      <c r="BE120">
        <f ca="1">IFERROR(IF(0=LEN(ReferenceData!$BE$120),"",ReferenceData!$BE$120),"")</f>
        <v>8005.7439999999997</v>
      </c>
      <c r="BF120">
        <f ca="1">IFERROR(IF(0=LEN(ReferenceData!$BF$120),"",ReferenceData!$BF$120),"")</f>
        <v>19619.424999999999</v>
      </c>
      <c r="BG120">
        <f ca="1">IFERROR(IF(0=LEN(ReferenceData!$BG$120),"",ReferenceData!$BG$120),"")</f>
        <v>8947.7639999999992</v>
      </c>
      <c r="BH120">
        <f ca="1">IFERROR(IF(0=LEN(ReferenceData!$BH$120),"",ReferenceData!$BH$120),"")</f>
        <v>7282.7950000000001</v>
      </c>
      <c r="BI120">
        <f ca="1">IFERROR(IF(0=LEN(ReferenceData!$BI$120),"",ReferenceData!$BI$120),"")</f>
        <v>5506.652</v>
      </c>
      <c r="BJ120">
        <f ca="1">IFERROR(IF(0=LEN(ReferenceData!$BJ$120),"",ReferenceData!$BJ$120),"")</f>
        <v>2337.5129999999999</v>
      </c>
      <c r="BK120">
        <f ca="1">IFERROR(IF(0=LEN(ReferenceData!$BK$120),"",ReferenceData!$BK$120),"")</f>
        <v>-19.861000000000001</v>
      </c>
      <c r="BL120">
        <f ca="1">IFERROR(IF(0=LEN(ReferenceData!$BL$120),"",ReferenceData!$BL$120),"")</f>
        <v>309.58800000000002</v>
      </c>
      <c r="BM120">
        <f ca="1">IFERROR(IF(0=LEN(ReferenceData!$BM$120),"",ReferenceData!$BM$120),"")</f>
        <v>811.68100000000004</v>
      </c>
    </row>
    <row r="121" spans="1:65">
      <c r="A121" t="str">
        <f>IFERROR(IF(0=LEN(ReferenceData!$A$121),"",ReferenceData!$A$121),"")</f>
        <v xml:space="preserve">    Office REITs</v>
      </c>
      <c r="B121" t="str">
        <f>IFERROR(IF(0=LEN(ReferenceData!$B$121),"",ReferenceData!$B$121),"")</f>
        <v>RECFNAOF Index</v>
      </c>
      <c r="C121" t="str">
        <f>IFERROR(IF(0=LEN(ReferenceData!$C$121),"",ReferenceData!$C$121),"")</f>
        <v/>
      </c>
      <c r="D121" t="str">
        <f>IFERROR(IF(0=LEN(ReferenceData!$D$121),"",ReferenceData!$D$121),"")</f>
        <v/>
      </c>
      <c r="E121" t="str">
        <f>IFERROR(IF(0=LEN(ReferenceData!$E$121),"",ReferenceData!$E$121),"")</f>
        <v>Expression</v>
      </c>
      <c r="F121">
        <f ca="1">IFERROR(IF(0=LEN(ReferenceData!$F$121),"",ReferenceData!$F$121),"")</f>
        <v>-562.65599999999995</v>
      </c>
      <c r="G121">
        <f ca="1">IFERROR(IF(0=LEN(ReferenceData!$G$121),"",ReferenceData!$G$121),"")</f>
        <v>-1599.569</v>
      </c>
      <c r="H121">
        <f ca="1">IFERROR(IF(0=LEN(ReferenceData!$H$121),"",ReferenceData!$H$121),"")</f>
        <v>-332.60399999999998</v>
      </c>
      <c r="I121">
        <f ca="1">IFERROR(IF(0=LEN(ReferenceData!$I$121),"",ReferenceData!$I$121),"")</f>
        <v>-603.99300000000005</v>
      </c>
      <c r="J121">
        <f ca="1">IFERROR(IF(0=LEN(ReferenceData!$J$121),"",ReferenceData!$J$121),"")</f>
        <v>3692.4</v>
      </c>
      <c r="K121">
        <f ca="1">IFERROR(IF(0=LEN(ReferenceData!$K$121),"",ReferenceData!$K$121),"")</f>
        <v>-2847.4160000000002</v>
      </c>
      <c r="L121">
        <f ca="1">IFERROR(IF(0=LEN(ReferenceData!$L$121),"",ReferenceData!$L$121),"")</f>
        <v>-2307.0039999999999</v>
      </c>
      <c r="M121">
        <f ca="1">IFERROR(IF(0=LEN(ReferenceData!$M$121),"",ReferenceData!$M$121),"")</f>
        <v>-2713.1689999999999</v>
      </c>
      <c r="N121">
        <f ca="1">IFERROR(IF(0=LEN(ReferenceData!$N$121),"",ReferenceData!$N$121),"")</f>
        <v>757.84500000000003</v>
      </c>
      <c r="O121">
        <f ca="1">IFERROR(IF(0=LEN(ReferenceData!$O$121),"",ReferenceData!$O$121),"")</f>
        <v>1567.55</v>
      </c>
      <c r="P121">
        <f ca="1">IFERROR(IF(0=LEN(ReferenceData!$P$121),"",ReferenceData!$P$121),"")</f>
        <v>2873.547</v>
      </c>
      <c r="Q121">
        <f ca="1">IFERROR(IF(0=LEN(ReferenceData!$Q$121),"",ReferenceData!$Q$121),"")</f>
        <v>928.98099999999999</v>
      </c>
      <c r="R121">
        <f ca="1">IFERROR(IF(0=LEN(ReferenceData!$R$121),"",ReferenceData!$R$121),"")</f>
        <v>-3450.768</v>
      </c>
      <c r="S121">
        <f ca="1">IFERROR(IF(0=LEN(ReferenceData!$S$121),"",ReferenceData!$S$121),"")</f>
        <v>796.245</v>
      </c>
      <c r="T121">
        <f ca="1">IFERROR(IF(0=LEN(ReferenceData!$T$121),"",ReferenceData!$T$121),"")</f>
        <v>1855.683</v>
      </c>
      <c r="U121">
        <f ca="1">IFERROR(IF(0=LEN(ReferenceData!$U$121),"",ReferenceData!$U$121),"")</f>
        <v>-902.91</v>
      </c>
      <c r="V121">
        <f ca="1">IFERROR(IF(0=LEN(ReferenceData!$V$121),"",ReferenceData!$V$121),"")</f>
        <v>472.012</v>
      </c>
      <c r="W121">
        <f ca="1">IFERROR(IF(0=LEN(ReferenceData!$W$121),"",ReferenceData!$W$121),"")</f>
        <v>947.27300000000002</v>
      </c>
      <c r="X121">
        <f ca="1">IFERROR(IF(0=LEN(ReferenceData!$X$121),"",ReferenceData!$X$121),"")</f>
        <v>-240.26300000000001</v>
      </c>
      <c r="Y121">
        <f ca="1">IFERROR(IF(0=LEN(ReferenceData!$Y$121),"",ReferenceData!$Y$121),"")</f>
        <v>1054.806</v>
      </c>
      <c r="Z121">
        <f ca="1">IFERROR(IF(0=LEN(ReferenceData!$Z$121),"",ReferenceData!$Z$121),"")</f>
        <v>715.57600000000002</v>
      </c>
      <c r="AA121">
        <f ca="1">IFERROR(IF(0=LEN(ReferenceData!$AA$121),"",ReferenceData!$AA$121),"")</f>
        <v>896.66700000000003</v>
      </c>
      <c r="AB121">
        <f ca="1">IFERROR(IF(0=LEN(ReferenceData!$AB$121),"",ReferenceData!$AB$121),"")</f>
        <v>-100.449</v>
      </c>
      <c r="AC121">
        <f ca="1">IFERROR(IF(0=LEN(ReferenceData!$AC$121),"",ReferenceData!$AC$121),"")</f>
        <v>1042.0709999999999</v>
      </c>
      <c r="AD121">
        <f ca="1">IFERROR(IF(0=LEN(ReferenceData!$AD$121),"",ReferenceData!$AD$121),"")</f>
        <v>-182.44900000000001</v>
      </c>
      <c r="AE121">
        <f ca="1">IFERROR(IF(0=LEN(ReferenceData!$AE$121),"",ReferenceData!$AE$121),"")</f>
        <v>777.28</v>
      </c>
      <c r="AF121">
        <f ca="1">IFERROR(IF(0=LEN(ReferenceData!$AF$121),"",ReferenceData!$AF$121),"")</f>
        <v>3197.279</v>
      </c>
      <c r="AG121">
        <f ca="1">IFERROR(IF(0=LEN(ReferenceData!$AG$121),"",ReferenceData!$AG$121),"")</f>
        <v>1778.636</v>
      </c>
      <c r="AH121">
        <f ca="1">IFERROR(IF(0=LEN(ReferenceData!$AH$121),"",ReferenceData!$AH$121),"")</f>
        <v>3130.538</v>
      </c>
      <c r="AI121">
        <f ca="1">IFERROR(IF(0=LEN(ReferenceData!$AI$121),"",ReferenceData!$AI$121),"")</f>
        <v>1173.383</v>
      </c>
      <c r="AJ121">
        <f ca="1">IFERROR(IF(0=LEN(ReferenceData!$AJ$121),"",ReferenceData!$AJ$121),"")</f>
        <v>-195.79300000000001</v>
      </c>
      <c r="AK121">
        <f ca="1">IFERROR(IF(0=LEN(ReferenceData!$AK$121),"",ReferenceData!$AK$121),"")</f>
        <v>146.68799999999999</v>
      </c>
      <c r="AL121">
        <f ca="1">IFERROR(IF(0=LEN(ReferenceData!$AL$121),"",ReferenceData!$AL$121),"")</f>
        <v>153.90799999999999</v>
      </c>
      <c r="AM121">
        <f ca="1">IFERROR(IF(0=LEN(ReferenceData!$AM$121),"",ReferenceData!$AM$121),"")</f>
        <v>109.36799999999999</v>
      </c>
      <c r="AN121">
        <f ca="1">IFERROR(IF(0=LEN(ReferenceData!$AN$121),"",ReferenceData!$AN$121),"")</f>
        <v>-200.07900000000001</v>
      </c>
      <c r="AO121">
        <f ca="1">IFERROR(IF(0=LEN(ReferenceData!$AO$121),"",ReferenceData!$AO$121),"")</f>
        <v>-246.21600000000001</v>
      </c>
      <c r="AP121">
        <f ca="1">IFERROR(IF(0=LEN(ReferenceData!$AP$121),"",ReferenceData!$AP$121),"")</f>
        <v>-724.37400000000002</v>
      </c>
      <c r="AQ121">
        <f ca="1">IFERROR(IF(0=LEN(ReferenceData!$AQ$121),"",ReferenceData!$AQ$121),"")</f>
        <v>926.56399999999996</v>
      </c>
      <c r="AR121">
        <f ca="1">IFERROR(IF(0=LEN(ReferenceData!$AR$121),"",ReferenceData!$AR$121),"")</f>
        <v>1338.325</v>
      </c>
      <c r="AS121">
        <f ca="1">IFERROR(IF(0=LEN(ReferenceData!$AS$121),"",ReferenceData!$AS$121),"")</f>
        <v>559.47699999999998</v>
      </c>
      <c r="AT121">
        <f ca="1">IFERROR(IF(0=LEN(ReferenceData!$AT$121),"",ReferenceData!$AT$121),"")</f>
        <v>1614.7650000000001</v>
      </c>
      <c r="AU121">
        <f ca="1">IFERROR(IF(0=LEN(ReferenceData!$AU$121),"",ReferenceData!$AU$121),"")</f>
        <v>912.36400000000003</v>
      </c>
      <c r="AV121">
        <f ca="1">IFERROR(IF(0=LEN(ReferenceData!$AV$121),"",ReferenceData!$AV$121),"")</f>
        <v>1211.376</v>
      </c>
      <c r="AW121">
        <f ca="1">IFERROR(IF(0=LEN(ReferenceData!$AW$121),"",ReferenceData!$AW$121),"")</f>
        <v>3380.924</v>
      </c>
      <c r="AX121">
        <f ca="1">IFERROR(IF(0=LEN(ReferenceData!$AX$121),"",ReferenceData!$AX$121),"")</f>
        <v>-596.41600000000005</v>
      </c>
      <c r="AY121">
        <f ca="1">IFERROR(IF(0=LEN(ReferenceData!$AY$121),"",ReferenceData!$AY$121),"")</f>
        <v>1452.9010000000001</v>
      </c>
      <c r="AZ121">
        <f ca="1">IFERROR(IF(0=LEN(ReferenceData!$AZ$121),"",ReferenceData!$AZ$121),"")</f>
        <v>941.52800000000002</v>
      </c>
      <c r="BA121">
        <f ca="1">IFERROR(IF(0=LEN(ReferenceData!$BA$121),"",ReferenceData!$BA$121),"")</f>
        <v>2774.5419999999999</v>
      </c>
      <c r="BB121">
        <f ca="1">IFERROR(IF(0=LEN(ReferenceData!$BB$121),"",ReferenceData!$BB$121),"")</f>
        <v>-880.73699999999997</v>
      </c>
      <c r="BC121">
        <f ca="1">IFERROR(IF(0=LEN(ReferenceData!$BC$121),"",ReferenceData!$BC$121),"")</f>
        <v>224.035</v>
      </c>
      <c r="BD121">
        <f ca="1">IFERROR(IF(0=LEN(ReferenceData!$BD$121),"",ReferenceData!$BD$121),"")</f>
        <v>1107.595</v>
      </c>
      <c r="BE121">
        <f ca="1">IFERROR(IF(0=LEN(ReferenceData!$BE$121),"",ReferenceData!$BE$121),"")</f>
        <v>651.51700000000005</v>
      </c>
      <c r="BF121">
        <f ca="1">IFERROR(IF(0=LEN(ReferenceData!$BF$121),"",ReferenceData!$BF$121),"")</f>
        <v>684.45899999999995</v>
      </c>
      <c r="BG121">
        <f ca="1">IFERROR(IF(0=LEN(ReferenceData!$BG$121),"",ReferenceData!$BG$121),"")</f>
        <v>2989.44</v>
      </c>
      <c r="BH121">
        <f ca="1">IFERROR(IF(0=LEN(ReferenceData!$BH$121),"",ReferenceData!$BH$121),"")</f>
        <v>491.48200000000003</v>
      </c>
      <c r="BI121">
        <f ca="1">IFERROR(IF(0=LEN(ReferenceData!$BI$121),"",ReferenceData!$BI$121),"")</f>
        <v>311.00799999999998</v>
      </c>
      <c r="BJ121">
        <f ca="1">IFERROR(IF(0=LEN(ReferenceData!$BJ$121),"",ReferenceData!$BJ$121),"")</f>
        <v>1277.712</v>
      </c>
      <c r="BK121">
        <f ca="1">IFERROR(IF(0=LEN(ReferenceData!$BK$121),"",ReferenceData!$BK$121),"")</f>
        <v>55.359000000000002</v>
      </c>
      <c r="BL121">
        <f ca="1">IFERROR(IF(0=LEN(ReferenceData!$BL$121),"",ReferenceData!$BL$121),"")</f>
        <v>-12.811999999999999</v>
      </c>
      <c r="BM121">
        <f ca="1">IFERROR(IF(0=LEN(ReferenceData!$BM$121),"",ReferenceData!$BM$121),"")</f>
        <v>-191.06700000000001</v>
      </c>
    </row>
    <row r="122" spans="1:65">
      <c r="A122" t="str">
        <f>IFERROR(IF(0=LEN(ReferenceData!$A$122),"",ReferenceData!$A$122),"")</f>
        <v xml:space="preserve">    Industrial REITs</v>
      </c>
      <c r="B122" t="str">
        <f>IFERROR(IF(0=LEN(ReferenceData!$B$122),"",ReferenceData!$B$122),"")</f>
        <v>RECFNAIN Index</v>
      </c>
      <c r="C122" t="str">
        <f>IFERROR(IF(0=LEN(ReferenceData!$C$122),"",ReferenceData!$C$122),"")</f>
        <v/>
      </c>
      <c r="D122" t="str">
        <f>IFERROR(IF(0=LEN(ReferenceData!$D$122),"",ReferenceData!$D$122),"")</f>
        <v/>
      </c>
      <c r="E122" t="str">
        <f>IFERROR(IF(0=LEN(ReferenceData!$E$122),"",ReferenceData!$E$122),"")</f>
        <v>Expression</v>
      </c>
      <c r="F122">
        <f ca="1">IFERROR(IF(0=LEN(ReferenceData!$F$122),"",ReferenceData!$F$122),"")</f>
        <v>-439.56700000000001</v>
      </c>
      <c r="G122">
        <f ca="1">IFERROR(IF(0=LEN(ReferenceData!$G$122),"",ReferenceData!$G$122),"")</f>
        <v>427.255</v>
      </c>
      <c r="H122">
        <f ca="1">IFERROR(IF(0=LEN(ReferenceData!$H$122),"",ReferenceData!$H$122),"")</f>
        <v>-2188.9630000000002</v>
      </c>
      <c r="I122">
        <f ca="1">IFERROR(IF(0=LEN(ReferenceData!$I$122),"",ReferenceData!$I$122),"")</f>
        <v>92.563000000000002</v>
      </c>
      <c r="J122">
        <f ca="1">IFERROR(IF(0=LEN(ReferenceData!$J$122),"",ReferenceData!$J$122),"")</f>
        <v>-1035.7170000000001</v>
      </c>
      <c r="K122">
        <f ca="1">IFERROR(IF(0=LEN(ReferenceData!$K$122),"",ReferenceData!$K$122),"")</f>
        <v>-423.375</v>
      </c>
      <c r="L122">
        <f ca="1">IFERROR(IF(0=LEN(ReferenceData!$L$122),"",ReferenceData!$L$122),"")</f>
        <v>-592.27800000000002</v>
      </c>
      <c r="M122">
        <f ca="1">IFERROR(IF(0=LEN(ReferenceData!$M$122),"",ReferenceData!$M$122),"")</f>
        <v>-627.51400000000001</v>
      </c>
      <c r="N122">
        <f ca="1">IFERROR(IF(0=LEN(ReferenceData!$N$122),"",ReferenceData!$N$122),"")</f>
        <v>-399.06900000000002</v>
      </c>
      <c r="O122">
        <f ca="1">IFERROR(IF(0=LEN(ReferenceData!$O$122),"",ReferenceData!$O$122),"")</f>
        <v>-259.23899999999998</v>
      </c>
      <c r="P122">
        <f ca="1">IFERROR(IF(0=LEN(ReferenceData!$P$122),"",ReferenceData!$P$122),"")</f>
        <v>4489.2190000000001</v>
      </c>
      <c r="Q122">
        <f ca="1">IFERROR(IF(0=LEN(ReferenceData!$Q$122),"",ReferenceData!$Q$122),"")</f>
        <v>-211.21</v>
      </c>
      <c r="R122">
        <f ca="1">IFERROR(IF(0=LEN(ReferenceData!$R$122),"",ReferenceData!$R$122),"")</f>
        <v>-480.52600000000001</v>
      </c>
      <c r="S122">
        <f ca="1">IFERROR(IF(0=LEN(ReferenceData!$S$122),"",ReferenceData!$S$122),"")</f>
        <v>734.61800000000005</v>
      </c>
      <c r="T122">
        <f ca="1">IFERROR(IF(0=LEN(ReferenceData!$T$122),"",ReferenceData!$T$122),"")</f>
        <v>-157.66200000000001</v>
      </c>
      <c r="U122">
        <f ca="1">IFERROR(IF(0=LEN(ReferenceData!$U$122),"",ReferenceData!$U$122),"")</f>
        <v>29.003</v>
      </c>
      <c r="V122">
        <f ca="1">IFERROR(IF(0=LEN(ReferenceData!$V$122),"",ReferenceData!$V$122),"")</f>
        <v>1135.04</v>
      </c>
      <c r="W122">
        <f ca="1">IFERROR(IF(0=LEN(ReferenceData!$W$122),"",ReferenceData!$W$122),"")</f>
        <v>229.441</v>
      </c>
      <c r="X122">
        <f ca="1">IFERROR(IF(0=LEN(ReferenceData!$X$122),"",ReferenceData!$X$122),"")</f>
        <v>307.49400000000003</v>
      </c>
      <c r="Y122">
        <f ca="1">IFERROR(IF(0=LEN(ReferenceData!$Y$122),"",ReferenceData!$Y$122),"")</f>
        <v>-349.88499999999999</v>
      </c>
      <c r="Z122">
        <f ca="1">IFERROR(IF(0=LEN(ReferenceData!$Z$122),"",ReferenceData!$Z$122),"")</f>
        <v>501.137</v>
      </c>
      <c r="AA122">
        <f ca="1">IFERROR(IF(0=LEN(ReferenceData!$AA$122),"",ReferenceData!$AA$122),"")</f>
        <v>252.55600000000001</v>
      </c>
      <c r="AB122">
        <f ca="1">IFERROR(IF(0=LEN(ReferenceData!$AB$122),"",ReferenceData!$AB$122),"")</f>
        <v>25.808</v>
      </c>
      <c r="AC122">
        <f ca="1">IFERROR(IF(0=LEN(ReferenceData!$AC$122),"",ReferenceData!$AC$122),"")</f>
        <v>-732.11699999999996</v>
      </c>
      <c r="AD122">
        <f ca="1">IFERROR(IF(0=LEN(ReferenceData!$AD$122),"",ReferenceData!$AD$122),"")</f>
        <v>-30.355</v>
      </c>
      <c r="AE122">
        <f ca="1">IFERROR(IF(0=LEN(ReferenceData!$AE$122),"",ReferenceData!$AE$122),"")</f>
        <v>172.495</v>
      </c>
      <c r="AF122">
        <f ca="1">IFERROR(IF(0=LEN(ReferenceData!$AF$122),"",ReferenceData!$AF$122),"")</f>
        <v>12529.587</v>
      </c>
      <c r="AG122">
        <f ca="1">IFERROR(IF(0=LEN(ReferenceData!$AG$122),"",ReferenceData!$AG$122),"")</f>
        <v>-595.34100000000001</v>
      </c>
      <c r="AH122">
        <f ca="1">IFERROR(IF(0=LEN(ReferenceData!$AH$122),"",ReferenceData!$AH$122),"")</f>
        <v>-314.71899999999999</v>
      </c>
      <c r="AI122">
        <f ca="1">IFERROR(IF(0=LEN(ReferenceData!$AI$122),"",ReferenceData!$AI$122),"")</f>
        <v>358.745</v>
      </c>
      <c r="AJ122">
        <f ca="1">IFERROR(IF(0=LEN(ReferenceData!$AJ$122),"",ReferenceData!$AJ$122),"")</f>
        <v>172.78299999999999</v>
      </c>
      <c r="AK122">
        <f ca="1">IFERROR(IF(0=LEN(ReferenceData!$AK$122),"",ReferenceData!$AK$122),"")</f>
        <v>-121.42400000000001</v>
      </c>
      <c r="AL122">
        <f ca="1">IFERROR(IF(0=LEN(ReferenceData!$AL$122),"",ReferenceData!$AL$122),"")</f>
        <v>-543.30600000000004</v>
      </c>
      <c r="AM122">
        <f ca="1">IFERROR(IF(0=LEN(ReferenceData!$AM$122),"",ReferenceData!$AM$122),"")</f>
        <v>-312.89299999999997</v>
      </c>
      <c r="AN122">
        <f ca="1">IFERROR(IF(0=LEN(ReferenceData!$AN$122),"",ReferenceData!$AN$122),"")</f>
        <v>-1011.856</v>
      </c>
      <c r="AO122">
        <f ca="1">IFERROR(IF(0=LEN(ReferenceData!$AO$122),"",ReferenceData!$AO$122),"")</f>
        <v>-1646.4939999999999</v>
      </c>
      <c r="AP122">
        <f ca="1">IFERROR(IF(0=LEN(ReferenceData!$AP$122),"",ReferenceData!$AP$122),"")</f>
        <v>-1342.212</v>
      </c>
      <c r="AQ122">
        <f ca="1">IFERROR(IF(0=LEN(ReferenceData!$AQ$122),"",ReferenceData!$AQ$122),"")</f>
        <v>-586.73400000000004</v>
      </c>
      <c r="AR122">
        <f ca="1">IFERROR(IF(0=LEN(ReferenceData!$AR$122),"",ReferenceData!$AR$122),"")</f>
        <v>-1285.9179999999999</v>
      </c>
      <c r="AS122">
        <f ca="1">IFERROR(IF(0=LEN(ReferenceData!$AS$122),"",ReferenceData!$AS$122),"")</f>
        <v>-1124.259</v>
      </c>
      <c r="AT122">
        <f ca="1">IFERROR(IF(0=LEN(ReferenceData!$AT$122),"",ReferenceData!$AT$122),"")</f>
        <v>323.37099999999998</v>
      </c>
      <c r="AU122">
        <f ca="1">IFERROR(IF(0=LEN(ReferenceData!$AU$122),"",ReferenceData!$AU$122),"")</f>
        <v>-1238.1659999999999</v>
      </c>
      <c r="AV122">
        <f ca="1">IFERROR(IF(0=LEN(ReferenceData!$AV$122),"",ReferenceData!$AV$122),"")</f>
        <v>-971.24800000000005</v>
      </c>
      <c r="AW122">
        <f ca="1">IFERROR(IF(0=LEN(ReferenceData!$AW$122),"",ReferenceData!$AW$122),"")</f>
        <v>-159.762</v>
      </c>
      <c r="AX122">
        <f ca="1">IFERROR(IF(0=LEN(ReferenceData!$AX$122),"",ReferenceData!$AX$122),"")</f>
        <v>-292.57799999999997</v>
      </c>
      <c r="AY122">
        <f ca="1">IFERROR(IF(0=LEN(ReferenceData!$AY$122),"",ReferenceData!$AY$122),"")</f>
        <v>-104.279</v>
      </c>
      <c r="AZ122">
        <f ca="1">IFERROR(IF(0=LEN(ReferenceData!$AZ$122),"",ReferenceData!$AZ$122),"")</f>
        <v>-173.292</v>
      </c>
      <c r="BA122">
        <f ca="1">IFERROR(IF(0=LEN(ReferenceData!$BA$122),"",ReferenceData!$BA$122),"")</f>
        <v>42.405999999999999</v>
      </c>
      <c r="BB122">
        <f ca="1">IFERROR(IF(0=LEN(ReferenceData!$BB$122),"",ReferenceData!$BB$122),"")</f>
        <v>-419.79500000000002</v>
      </c>
      <c r="BC122">
        <f ca="1">IFERROR(IF(0=LEN(ReferenceData!$BC$122),"",ReferenceData!$BC$122),"")</f>
        <v>2449.424</v>
      </c>
      <c r="BD122">
        <f ca="1">IFERROR(IF(0=LEN(ReferenceData!$BD$122),"",ReferenceData!$BD$122),"")</f>
        <v>-73.572000000000003</v>
      </c>
      <c r="BE122">
        <f ca="1">IFERROR(IF(0=LEN(ReferenceData!$BE$122),"",ReferenceData!$BE$122),"")</f>
        <v>-383.22899999999998</v>
      </c>
      <c r="BF122">
        <f ca="1">IFERROR(IF(0=LEN(ReferenceData!$BF$122),"",ReferenceData!$BF$122),"")</f>
        <v>100.46899999999999</v>
      </c>
      <c r="BG122">
        <f ca="1">IFERROR(IF(0=LEN(ReferenceData!$BG$122),"",ReferenceData!$BG$122),"")</f>
        <v>2395.1</v>
      </c>
      <c r="BH122">
        <f ca="1">IFERROR(IF(0=LEN(ReferenceData!$BH$122),"",ReferenceData!$BH$122),"")</f>
        <v>437.142</v>
      </c>
      <c r="BI122">
        <f ca="1">IFERROR(IF(0=LEN(ReferenceData!$BI$122),"",ReferenceData!$BI$122),"")</f>
        <v>332.10599999999999</v>
      </c>
      <c r="BJ122">
        <f ca="1">IFERROR(IF(0=LEN(ReferenceData!$BJ$122),"",ReferenceData!$BJ$122),"")</f>
        <v>35.302</v>
      </c>
      <c r="BK122">
        <f ca="1">IFERROR(IF(0=LEN(ReferenceData!$BK$122),"",ReferenceData!$BK$122),"")</f>
        <v>-108</v>
      </c>
      <c r="BL122">
        <f ca="1">IFERROR(IF(0=LEN(ReferenceData!$BL$122),"",ReferenceData!$BL$122),"")</f>
        <v>36.1</v>
      </c>
      <c r="BM122">
        <f ca="1">IFERROR(IF(0=LEN(ReferenceData!$BM$122),"",ReferenceData!$BM$122),"")</f>
        <v>-44</v>
      </c>
    </row>
    <row r="123" spans="1:65">
      <c r="A123" t="str">
        <f>IFERROR(IF(0=LEN(ReferenceData!$A$123),"",ReferenceData!$A$123),"")</f>
        <v xml:space="preserve">    Retail REITs</v>
      </c>
      <c r="B123" t="str">
        <f>IFERROR(IF(0=LEN(ReferenceData!$B$123),"",ReferenceData!$B$123),"")</f>
        <v>RECFNART Index</v>
      </c>
      <c r="C123" t="str">
        <f>IFERROR(IF(0=LEN(ReferenceData!$C$123),"",ReferenceData!$C$123),"")</f>
        <v/>
      </c>
      <c r="D123" t="str">
        <f>IFERROR(IF(0=LEN(ReferenceData!$D$123),"",ReferenceData!$D$123),"")</f>
        <v/>
      </c>
      <c r="E123" t="str">
        <f>IFERROR(IF(0=LEN(ReferenceData!$E$123),"",ReferenceData!$E$123),"")</f>
        <v>Expression</v>
      </c>
      <c r="F123">
        <f ca="1">IFERROR(IF(0=LEN(ReferenceData!$F$123),"",ReferenceData!$F$123),"")</f>
        <v>-243.07</v>
      </c>
      <c r="G123">
        <f ca="1">IFERROR(IF(0=LEN(ReferenceData!$G$123),"",ReferenceData!$G$123),"")</f>
        <v>275.49599999999998</v>
      </c>
      <c r="H123">
        <f ca="1">IFERROR(IF(0=LEN(ReferenceData!$H$123),"",ReferenceData!$H$123),"")</f>
        <v>-76.177000000000007</v>
      </c>
      <c r="I123">
        <f ca="1">IFERROR(IF(0=LEN(ReferenceData!$I$123),"",ReferenceData!$I$123),"")</f>
        <v>991.73199999999997</v>
      </c>
      <c r="J123">
        <f ca="1">IFERROR(IF(0=LEN(ReferenceData!$J$123),"",ReferenceData!$J$123),"")</f>
        <v>1305.8979999999999</v>
      </c>
      <c r="K123">
        <f ca="1">IFERROR(IF(0=LEN(ReferenceData!$K$123),"",ReferenceData!$K$123),"")</f>
        <v>26.382000000000001</v>
      </c>
      <c r="L123">
        <f ca="1">IFERROR(IF(0=LEN(ReferenceData!$L$123),"",ReferenceData!$L$123),"")</f>
        <v>1767.6320000000001</v>
      </c>
      <c r="M123">
        <f ca="1">IFERROR(IF(0=LEN(ReferenceData!$M$123),"",ReferenceData!$M$123),"")</f>
        <v>-414.27</v>
      </c>
      <c r="N123">
        <f ca="1">IFERROR(IF(0=LEN(ReferenceData!$N$123),"",ReferenceData!$N$123),"")</f>
        <v>-1250.8969999999999</v>
      </c>
      <c r="O123">
        <f ca="1">IFERROR(IF(0=LEN(ReferenceData!$O$123),"",ReferenceData!$O$123),"")</f>
        <v>3154.2049999999999</v>
      </c>
      <c r="P123">
        <f ca="1">IFERROR(IF(0=LEN(ReferenceData!$P$123),"",ReferenceData!$P$123),"")</f>
        <v>1720.761</v>
      </c>
      <c r="Q123">
        <f ca="1">IFERROR(IF(0=LEN(ReferenceData!$Q$123),"",ReferenceData!$Q$123),"")</f>
        <v>5080.5600000000004</v>
      </c>
      <c r="R123">
        <f ca="1">IFERROR(IF(0=LEN(ReferenceData!$R$123),"",ReferenceData!$R$123),"")</f>
        <v>347.37700000000001</v>
      </c>
      <c r="S123">
        <f ca="1">IFERROR(IF(0=LEN(ReferenceData!$S$123),"",ReferenceData!$S$123),"")</f>
        <v>6955.2359999999999</v>
      </c>
      <c r="T123">
        <f ca="1">IFERROR(IF(0=LEN(ReferenceData!$T$123),"",ReferenceData!$T$123),"")</f>
        <v>2593.4810000000002</v>
      </c>
      <c r="U123">
        <f ca="1">IFERROR(IF(0=LEN(ReferenceData!$U$123),"",ReferenceData!$U$123),"")</f>
        <v>13517.85</v>
      </c>
      <c r="V123">
        <f ca="1">IFERROR(IF(0=LEN(ReferenceData!$V$123),"",ReferenceData!$V$123),"")</f>
        <v>3934.9720000000002</v>
      </c>
      <c r="W123">
        <f ca="1">IFERROR(IF(0=LEN(ReferenceData!$W$123),"",ReferenceData!$W$123),"")</f>
        <v>7238.6989999999996</v>
      </c>
      <c r="X123">
        <f ca="1">IFERROR(IF(0=LEN(ReferenceData!$X$123),"",ReferenceData!$X$123),"")</f>
        <v>1367.598</v>
      </c>
      <c r="Y123">
        <f ca="1">IFERROR(IF(0=LEN(ReferenceData!$Y$123),"",ReferenceData!$Y$123),"")</f>
        <v>6328.3249999999998</v>
      </c>
      <c r="Z123">
        <f ca="1">IFERROR(IF(0=LEN(ReferenceData!$Z$123),"",ReferenceData!$Z$123),"")</f>
        <v>1393.326</v>
      </c>
      <c r="AA123">
        <f ca="1">IFERROR(IF(0=LEN(ReferenceData!$AA$123),"",ReferenceData!$AA$123),"")</f>
        <v>340.596</v>
      </c>
      <c r="AB123">
        <f ca="1">IFERROR(IF(0=LEN(ReferenceData!$AB$123),"",ReferenceData!$AB$123),"")</f>
        <v>2951.6280000000002</v>
      </c>
      <c r="AC123">
        <f ca="1">IFERROR(IF(0=LEN(ReferenceData!$AC$123),"",ReferenceData!$AC$123),"")</f>
        <v>4162.4480000000003</v>
      </c>
      <c r="AD123">
        <f ca="1">IFERROR(IF(0=LEN(ReferenceData!$AD$123),"",ReferenceData!$AD$123),"")</f>
        <v>3095.8319999999999</v>
      </c>
      <c r="AE123">
        <f ca="1">IFERROR(IF(0=LEN(ReferenceData!$AE$123),"",ReferenceData!$AE$123),"")</f>
        <v>1712.742</v>
      </c>
      <c r="AF123">
        <f ca="1">IFERROR(IF(0=LEN(ReferenceData!$AF$123),"",ReferenceData!$AF$123),"")</f>
        <v>477.09</v>
      </c>
      <c r="AG123">
        <f ca="1">IFERROR(IF(0=LEN(ReferenceData!$AG$123),"",ReferenceData!$AG$123),"")</f>
        <v>1361.951</v>
      </c>
      <c r="AH123">
        <f ca="1">IFERROR(IF(0=LEN(ReferenceData!$AH$123),"",ReferenceData!$AH$123),"")</f>
        <v>1235.7560000000001</v>
      </c>
      <c r="AI123">
        <f ca="1">IFERROR(IF(0=LEN(ReferenceData!$AI$123),"",ReferenceData!$AI$123),"")</f>
        <v>1697.55</v>
      </c>
      <c r="AJ123">
        <f ca="1">IFERROR(IF(0=LEN(ReferenceData!$AJ$123),"",ReferenceData!$AJ$123),"")</f>
        <v>-29.954000000000001</v>
      </c>
      <c r="AK123">
        <f ca="1">IFERROR(IF(0=LEN(ReferenceData!$AK$123),"",ReferenceData!$AK$123),"")</f>
        <v>-109.652</v>
      </c>
      <c r="AL123">
        <f ca="1">IFERROR(IF(0=LEN(ReferenceData!$AL$123),"",ReferenceData!$AL$123),"")</f>
        <v>-454.56700000000001</v>
      </c>
      <c r="AM123">
        <f ca="1">IFERROR(IF(0=LEN(ReferenceData!$AM$123),"",ReferenceData!$AM$123),"")</f>
        <v>-328.46100000000001</v>
      </c>
      <c r="AN123">
        <f ca="1">IFERROR(IF(0=LEN(ReferenceData!$AN$123),"",ReferenceData!$AN$123),"")</f>
        <v>-205.78100000000001</v>
      </c>
      <c r="AO123">
        <f ca="1">IFERROR(IF(0=LEN(ReferenceData!$AO$123),"",ReferenceData!$AO$123),"")</f>
        <v>-43.155999999999999</v>
      </c>
      <c r="AP123">
        <f ca="1">IFERROR(IF(0=LEN(ReferenceData!$AP$123),"",ReferenceData!$AP$123),"")</f>
        <v>-135.29499999999999</v>
      </c>
      <c r="AQ123">
        <f ca="1">IFERROR(IF(0=LEN(ReferenceData!$AQ$123),"",ReferenceData!$AQ$123),"")</f>
        <v>310.95800000000003</v>
      </c>
      <c r="AR123">
        <f ca="1">IFERROR(IF(0=LEN(ReferenceData!$AR$123),"",ReferenceData!$AR$123),"")</f>
        <v>-208.04599999999999</v>
      </c>
      <c r="AS123">
        <f ca="1">IFERROR(IF(0=LEN(ReferenceData!$AS$123),"",ReferenceData!$AS$123),"")</f>
        <v>1138.039</v>
      </c>
      <c r="AT123">
        <f ca="1">IFERROR(IF(0=LEN(ReferenceData!$AT$123),"",ReferenceData!$AT$123),"")</f>
        <v>389.834</v>
      </c>
      <c r="AU123">
        <f ca="1">IFERROR(IF(0=LEN(ReferenceData!$AU$123),"",ReferenceData!$AU$123),"")</f>
        <v>1149.1600000000001</v>
      </c>
      <c r="AV123">
        <f ca="1">IFERROR(IF(0=LEN(ReferenceData!$AV$123),"",ReferenceData!$AV$123),"")</f>
        <v>2152.3530000000001</v>
      </c>
      <c r="AW123">
        <f ca="1">IFERROR(IF(0=LEN(ReferenceData!$AW$123),"",ReferenceData!$AW$123),"")</f>
        <v>8015.4740000000002</v>
      </c>
      <c r="AX123">
        <f ca="1">IFERROR(IF(0=LEN(ReferenceData!$AX$123),"",ReferenceData!$AX$123),"")</f>
        <v>5115.3609999999999</v>
      </c>
      <c r="AY123">
        <f ca="1">IFERROR(IF(0=LEN(ReferenceData!$AY$123),"",ReferenceData!$AY$123),"")</f>
        <v>1193.2149999999999</v>
      </c>
      <c r="AZ123">
        <f ca="1">IFERROR(IF(0=LEN(ReferenceData!$AZ$123),"",ReferenceData!$AZ$123),"")</f>
        <v>85.521000000000001</v>
      </c>
      <c r="BA123">
        <f ca="1">IFERROR(IF(0=LEN(ReferenceData!$BA$123),"",ReferenceData!$BA$123),"")</f>
        <v>1607.1279999999999</v>
      </c>
      <c r="BB123">
        <f ca="1">IFERROR(IF(0=LEN(ReferenceData!$BB$123),"",ReferenceData!$BB$123),"")</f>
        <v>1967.472</v>
      </c>
      <c r="BC123">
        <f ca="1">IFERROR(IF(0=LEN(ReferenceData!$BC$123),"",ReferenceData!$BC$123),"")</f>
        <v>1086.21</v>
      </c>
      <c r="BD123">
        <f ca="1">IFERROR(IF(0=LEN(ReferenceData!$BD$123),"",ReferenceData!$BD$123),"")</f>
        <v>5686.72</v>
      </c>
      <c r="BE123">
        <f ca="1">IFERROR(IF(0=LEN(ReferenceData!$BE$123),"",ReferenceData!$BE$123),"")</f>
        <v>4192.1260000000002</v>
      </c>
      <c r="BF123">
        <f ca="1">IFERROR(IF(0=LEN(ReferenceData!$BF$123),"",ReferenceData!$BF$123),"")</f>
        <v>16524.41</v>
      </c>
      <c r="BG123">
        <f ca="1">IFERROR(IF(0=LEN(ReferenceData!$BG$123),"",ReferenceData!$BG$123),"")</f>
        <v>1019.3</v>
      </c>
      <c r="BH123">
        <f ca="1">IFERROR(IF(0=LEN(ReferenceData!$BH$123),"",ReferenceData!$BH$123),"")</f>
        <v>5199.7619999999997</v>
      </c>
      <c r="BI123">
        <f ca="1">IFERROR(IF(0=LEN(ReferenceData!$BI$123),"",ReferenceData!$BI$123),"")</f>
        <v>1778.992</v>
      </c>
      <c r="BJ123">
        <f ca="1">IFERROR(IF(0=LEN(ReferenceData!$BJ$123),"",ReferenceData!$BJ$123),"")</f>
        <v>853.452</v>
      </c>
      <c r="BK123">
        <f ca="1">IFERROR(IF(0=LEN(ReferenceData!$BK$123),"",ReferenceData!$BK$123),"")</f>
        <v>-35.200000000000003</v>
      </c>
      <c r="BL123">
        <f ca="1">IFERROR(IF(0=LEN(ReferenceData!$BL$123),"",ReferenceData!$BL$123),"")</f>
        <v>234.6</v>
      </c>
      <c r="BM123">
        <f ca="1">IFERROR(IF(0=LEN(ReferenceData!$BM$123),"",ReferenceData!$BM$123),"")</f>
        <v>1199</v>
      </c>
    </row>
    <row r="124" spans="1:65">
      <c r="A124" t="str">
        <f>IFERROR(IF(0=LEN(ReferenceData!$A$124),"",ReferenceData!$A$124),"")</f>
        <v xml:space="preserve">    Shopping Center REITs</v>
      </c>
      <c r="B124" t="str">
        <f>IFERROR(IF(0=LEN(ReferenceData!$B$124),"",ReferenceData!$B$124),"")</f>
        <v>RECFNASC Index</v>
      </c>
      <c r="C124" t="str">
        <f>IFERROR(IF(0=LEN(ReferenceData!$C$124),"",ReferenceData!$C$124),"")</f>
        <v/>
      </c>
      <c r="D124" t="str">
        <f>IFERROR(IF(0=LEN(ReferenceData!$D$124),"",ReferenceData!$D$124),"")</f>
        <v/>
      </c>
      <c r="E124" t="str">
        <f>IFERROR(IF(0=LEN(ReferenceData!$E$124),"",ReferenceData!$E$124),"")</f>
        <v>Expression</v>
      </c>
      <c r="F124">
        <f ca="1">IFERROR(IF(0=LEN(ReferenceData!$F$124),"",ReferenceData!$F$124),"")</f>
        <v>-1187.2809999999999</v>
      </c>
      <c r="G124">
        <f ca="1">IFERROR(IF(0=LEN(ReferenceData!$G$124),"",ReferenceData!$G$124),"")</f>
        <v>-495.11</v>
      </c>
      <c r="H124">
        <f ca="1">IFERROR(IF(0=LEN(ReferenceData!$H$124),"",ReferenceData!$H$124),"")</f>
        <v>-459.125</v>
      </c>
      <c r="I124">
        <f ca="1">IFERROR(IF(0=LEN(ReferenceData!$I$124),"",ReferenceData!$I$124),"")</f>
        <v>454.33800000000002</v>
      </c>
      <c r="J124">
        <f ca="1">IFERROR(IF(0=LEN(ReferenceData!$J$124),"",ReferenceData!$J$124),"")</f>
        <v>-220.756</v>
      </c>
      <c r="K124">
        <f ca="1">IFERROR(IF(0=LEN(ReferenceData!$K$124),"",ReferenceData!$K$124),"")</f>
        <v>594.21100000000001</v>
      </c>
      <c r="L124">
        <f ca="1">IFERROR(IF(0=LEN(ReferenceData!$L$124),"",ReferenceData!$L$124),"")</f>
        <v>327.44099999999997</v>
      </c>
      <c r="M124">
        <f ca="1">IFERROR(IF(0=LEN(ReferenceData!$M$124),"",ReferenceData!$M$124),"")</f>
        <v>-560.476</v>
      </c>
      <c r="N124">
        <f ca="1">IFERROR(IF(0=LEN(ReferenceData!$N$124),"",ReferenceData!$N$124),"")</f>
        <v>-679.71699999999998</v>
      </c>
      <c r="O124">
        <f ca="1">IFERROR(IF(0=LEN(ReferenceData!$O$124),"",ReferenceData!$O$124),"")</f>
        <v>-150.739</v>
      </c>
      <c r="P124">
        <f ca="1">IFERROR(IF(0=LEN(ReferenceData!$P$124),"",ReferenceData!$P$124),"")</f>
        <v>226.292</v>
      </c>
      <c r="Q124">
        <f ca="1">IFERROR(IF(0=LEN(ReferenceData!$Q$124),"",ReferenceData!$Q$124),"")</f>
        <v>962.53300000000002</v>
      </c>
      <c r="R124">
        <f ca="1">IFERROR(IF(0=LEN(ReferenceData!$R$124),"",ReferenceData!$R$124),"")</f>
        <v>1260.492</v>
      </c>
      <c r="S124">
        <f ca="1">IFERROR(IF(0=LEN(ReferenceData!$S$124),"",ReferenceData!$S$124),"")</f>
        <v>2321.2959999999998</v>
      </c>
      <c r="T124">
        <f ca="1">IFERROR(IF(0=LEN(ReferenceData!$T$124),"",ReferenceData!$T$124),"")</f>
        <v>504.541</v>
      </c>
      <c r="U124">
        <f ca="1">IFERROR(IF(0=LEN(ReferenceData!$U$124),"",ReferenceData!$U$124),"")</f>
        <v>370.88099999999997</v>
      </c>
      <c r="V124">
        <f ca="1">IFERROR(IF(0=LEN(ReferenceData!$V$124),"",ReferenceData!$V$124),"")</f>
        <v>1483.462</v>
      </c>
      <c r="W124">
        <f ca="1">IFERROR(IF(0=LEN(ReferenceData!$W$124),"",ReferenceData!$W$124),"")</f>
        <v>178.565</v>
      </c>
      <c r="X124">
        <f ca="1">IFERROR(IF(0=LEN(ReferenceData!$X$124),"",ReferenceData!$X$124),"")</f>
        <v>235.17500000000001</v>
      </c>
      <c r="Y124">
        <f ca="1">IFERROR(IF(0=LEN(ReferenceData!$Y$124),"",ReferenceData!$Y$124),"")</f>
        <v>761.20899999999995</v>
      </c>
      <c r="Z124">
        <f ca="1">IFERROR(IF(0=LEN(ReferenceData!$Z$124),"",ReferenceData!$Z$124),"")</f>
        <v>-776.17499999999995</v>
      </c>
      <c r="AA124">
        <f ca="1">IFERROR(IF(0=LEN(ReferenceData!$AA$124),"",ReferenceData!$AA$124),"")</f>
        <v>1.5780000000000001</v>
      </c>
      <c r="AB124">
        <f ca="1">IFERROR(IF(0=LEN(ReferenceData!$AB$124),"",ReferenceData!$AB$124),"")</f>
        <v>1828.7239999999999</v>
      </c>
      <c r="AC124">
        <f ca="1">IFERROR(IF(0=LEN(ReferenceData!$AC$124),"",ReferenceData!$AC$124),"")</f>
        <v>445.178</v>
      </c>
      <c r="AD124">
        <f ca="1">IFERROR(IF(0=LEN(ReferenceData!$AD$124),"",ReferenceData!$AD$124),"")</f>
        <v>502.92899999999997</v>
      </c>
      <c r="AE124">
        <f ca="1">IFERROR(IF(0=LEN(ReferenceData!$AE$124),"",ReferenceData!$AE$124),"")</f>
        <v>684.94600000000003</v>
      </c>
      <c r="AF124">
        <f ca="1">IFERROR(IF(0=LEN(ReferenceData!$AF$124),"",ReferenceData!$AF$124),"")</f>
        <v>355.33100000000002</v>
      </c>
      <c r="AG124">
        <f ca="1">IFERROR(IF(0=LEN(ReferenceData!$AG$124),"",ReferenceData!$AG$124),"")</f>
        <v>982.13</v>
      </c>
      <c r="AH124">
        <f ca="1">IFERROR(IF(0=LEN(ReferenceData!$AH$124),"",ReferenceData!$AH$124),"")</f>
        <v>482.41500000000002</v>
      </c>
      <c r="AI124">
        <f ca="1">IFERROR(IF(0=LEN(ReferenceData!$AI$124),"",ReferenceData!$AI$124),"")</f>
        <v>355.95800000000003</v>
      </c>
      <c r="AJ124">
        <f ca="1">IFERROR(IF(0=LEN(ReferenceData!$AJ$124),"",ReferenceData!$AJ$124),"")</f>
        <v>91.122</v>
      </c>
      <c r="AK124">
        <f ca="1">IFERROR(IF(0=LEN(ReferenceData!$AK$124),"",ReferenceData!$AK$124),"")</f>
        <v>-131.351</v>
      </c>
      <c r="AL124">
        <f ca="1">IFERROR(IF(0=LEN(ReferenceData!$AL$124),"",ReferenceData!$AL$124),"")</f>
        <v>-362.26799999999997</v>
      </c>
      <c r="AM124">
        <f ca="1">IFERROR(IF(0=LEN(ReferenceData!$AM$124),"",ReferenceData!$AM$124),"")</f>
        <v>-365.834</v>
      </c>
      <c r="AN124">
        <f ca="1">IFERROR(IF(0=LEN(ReferenceData!$AN$124),"",ReferenceData!$AN$124),"")</f>
        <v>-194.89699999999999</v>
      </c>
      <c r="AO124">
        <f ca="1">IFERROR(IF(0=LEN(ReferenceData!$AO$124),"",ReferenceData!$AO$124),"")</f>
        <v>-18.734999999999999</v>
      </c>
      <c r="AP124">
        <f ca="1">IFERROR(IF(0=LEN(ReferenceData!$AP$124),"",ReferenceData!$AP$124),"")</f>
        <v>-138.773</v>
      </c>
      <c r="AQ124">
        <f ca="1">IFERROR(IF(0=LEN(ReferenceData!$AQ$124),"",ReferenceData!$AQ$124),"")</f>
        <v>339.66</v>
      </c>
      <c r="AR124">
        <f ca="1">IFERROR(IF(0=LEN(ReferenceData!$AR$124),"",ReferenceData!$AR$124),"")</f>
        <v>-139.63499999999999</v>
      </c>
      <c r="AS124">
        <f ca="1">IFERROR(IF(0=LEN(ReferenceData!$AS$124),"",ReferenceData!$AS$124),"")</f>
        <v>127.761</v>
      </c>
      <c r="AT124">
        <f ca="1">IFERROR(IF(0=LEN(ReferenceData!$AT$124),"",ReferenceData!$AT$124),"")</f>
        <v>57.012999999999998</v>
      </c>
      <c r="AU124">
        <f ca="1">IFERROR(IF(0=LEN(ReferenceData!$AU$124),"",ReferenceData!$AU$124),"")</f>
        <v>781.18600000000004</v>
      </c>
      <c r="AV124">
        <f ca="1">IFERROR(IF(0=LEN(ReferenceData!$AV$124),"",ReferenceData!$AV$124),"")</f>
        <v>1835.3109999999999</v>
      </c>
      <c r="AW124">
        <f ca="1">IFERROR(IF(0=LEN(ReferenceData!$AW$124),"",ReferenceData!$AW$124),"")</f>
        <v>7819.5780000000004</v>
      </c>
      <c r="AX124">
        <f ca="1">IFERROR(IF(0=LEN(ReferenceData!$AX$124),"",ReferenceData!$AX$124),"")</f>
        <v>4380.2790000000005</v>
      </c>
      <c r="AY124">
        <f ca="1">IFERROR(IF(0=LEN(ReferenceData!$AY$124),"",ReferenceData!$AY$124),"")</f>
        <v>1165.0909999999999</v>
      </c>
      <c r="AZ124">
        <f ca="1">IFERROR(IF(0=LEN(ReferenceData!$AZ$124),"",ReferenceData!$AZ$124),"")</f>
        <v>401.15600000000001</v>
      </c>
      <c r="BA124">
        <f ca="1">IFERROR(IF(0=LEN(ReferenceData!$BA$124),"",ReferenceData!$BA$124),"")</f>
        <v>1190.3109999999999</v>
      </c>
      <c r="BB124">
        <f ca="1">IFERROR(IF(0=LEN(ReferenceData!$BB$124),"",ReferenceData!$BB$124),"")</f>
        <v>892.23400000000004</v>
      </c>
      <c r="BC124">
        <f ca="1">IFERROR(IF(0=LEN(ReferenceData!$BC$124),"",ReferenceData!$BC$124),"")</f>
        <v>691.44299999999998</v>
      </c>
      <c r="BD124">
        <f ca="1">IFERROR(IF(0=LEN(ReferenceData!$BD$124),"",ReferenceData!$BD$124),"")</f>
        <v>3376.9920000000002</v>
      </c>
      <c r="BE124">
        <f ca="1">IFERROR(IF(0=LEN(ReferenceData!$BE$124),"",ReferenceData!$BE$124),"")</f>
        <v>2026.3389999999999</v>
      </c>
      <c r="BF124">
        <f ca="1">IFERROR(IF(0=LEN(ReferenceData!$BF$124),"",ReferenceData!$BF$124),"")</f>
        <v>1573.61</v>
      </c>
      <c r="BG124">
        <f ca="1">IFERROR(IF(0=LEN(ReferenceData!$BG$124),"",ReferenceData!$BG$124),"")</f>
        <v>501.10599999999999</v>
      </c>
      <c r="BH124">
        <f ca="1">IFERROR(IF(0=LEN(ReferenceData!$BH$124),"",ReferenceData!$BH$124),"")</f>
        <v>3476.6869999999999</v>
      </c>
      <c r="BI124">
        <f ca="1">IFERROR(IF(0=LEN(ReferenceData!$BI$124),"",ReferenceData!$BI$124),"")</f>
        <v>926.48099999999999</v>
      </c>
      <c r="BJ124">
        <f ca="1">IFERROR(IF(0=LEN(ReferenceData!$BJ$124),"",ReferenceData!$BJ$124),"")</f>
        <v>858.25199999999995</v>
      </c>
      <c r="BK124">
        <f ca="1">IFERROR(IF(0=LEN(ReferenceData!$BK$124),"",ReferenceData!$BK$124),"")</f>
        <v>-40</v>
      </c>
      <c r="BL124">
        <f ca="1">IFERROR(IF(0=LEN(ReferenceData!$BL$124),"",ReferenceData!$BL$124),"")</f>
        <v>234.6</v>
      </c>
      <c r="BM124">
        <f ca="1">IFERROR(IF(0=LEN(ReferenceData!$BM$124),"",ReferenceData!$BM$124),"")</f>
        <v>1199</v>
      </c>
    </row>
    <row r="125" spans="1:65">
      <c r="A125" t="str">
        <f>IFERROR(IF(0=LEN(ReferenceData!$A$125),"",ReferenceData!$A$125),"")</f>
        <v xml:space="preserve">    Regional Mall REITs</v>
      </c>
      <c r="B125" t="str">
        <f>IFERROR(IF(0=LEN(ReferenceData!$B$125),"",ReferenceData!$B$125),"")</f>
        <v>RECFNARM Index</v>
      </c>
      <c r="C125" t="str">
        <f>IFERROR(IF(0=LEN(ReferenceData!$C$125),"",ReferenceData!$C$125),"")</f>
        <v/>
      </c>
      <c r="D125" t="str">
        <f>IFERROR(IF(0=LEN(ReferenceData!$D$125),"",ReferenceData!$D$125),"")</f>
        <v/>
      </c>
      <c r="E125" t="str">
        <f>IFERROR(IF(0=LEN(ReferenceData!$E$125),"",ReferenceData!$E$125),"")</f>
        <v>Expression</v>
      </c>
      <c r="F125">
        <f ca="1">IFERROR(IF(0=LEN(ReferenceData!$F$125),"",ReferenceData!$F$125),"")</f>
        <v>-21</v>
      </c>
      <c r="G125">
        <f ca="1">IFERROR(IF(0=LEN(ReferenceData!$G$125),"",ReferenceData!$G$125),"")</f>
        <v>247.31100000000001</v>
      </c>
      <c r="H125">
        <f ca="1">IFERROR(IF(0=LEN(ReferenceData!$H$125),"",ReferenceData!$H$125),"")</f>
        <v>-416</v>
      </c>
      <c r="I125">
        <f ca="1">IFERROR(IF(0=LEN(ReferenceData!$I$125),"",ReferenceData!$I$125),"")</f>
        <v>-311.60399999999998</v>
      </c>
      <c r="J125">
        <f ca="1">IFERROR(IF(0=LEN(ReferenceData!$J$125),"",ReferenceData!$J$125),"")</f>
        <v>169.95</v>
      </c>
      <c r="K125">
        <f ca="1">IFERROR(IF(0=LEN(ReferenceData!$K$125),"",ReferenceData!$K$125),"")</f>
        <v>-1474.8</v>
      </c>
      <c r="L125">
        <f ca="1">IFERROR(IF(0=LEN(ReferenceData!$L$125),"",ReferenceData!$L$125),"")</f>
        <v>329.59</v>
      </c>
      <c r="M125">
        <f ca="1">IFERROR(IF(0=LEN(ReferenceData!$M$125),"",ReferenceData!$M$125),"")</f>
        <v>-500.08499999999998</v>
      </c>
      <c r="N125">
        <f ca="1">IFERROR(IF(0=LEN(ReferenceData!$N$125),"",ReferenceData!$N$125),"")</f>
        <v>-1296.126</v>
      </c>
      <c r="O125">
        <f ca="1">IFERROR(IF(0=LEN(ReferenceData!$O$125),"",ReferenceData!$O$125),"")</f>
        <v>-71.400000000000006</v>
      </c>
      <c r="P125">
        <f ca="1">IFERROR(IF(0=LEN(ReferenceData!$P$125),"",ReferenceData!$P$125),"")</f>
        <v>-7.4169999999999998</v>
      </c>
      <c r="Q125">
        <f ca="1">IFERROR(IF(0=LEN(ReferenceData!$Q$125),"",ReferenceData!$Q$125),"")</f>
        <v>3542.6950000000002</v>
      </c>
      <c r="R125">
        <f ca="1">IFERROR(IF(0=LEN(ReferenceData!$R$125),"",ReferenceData!$R$125),"")</f>
        <v>113.11</v>
      </c>
      <c r="S125">
        <f ca="1">IFERROR(IF(0=LEN(ReferenceData!$S$125),"",ReferenceData!$S$125),"")</f>
        <v>1727.75</v>
      </c>
      <c r="T125">
        <f ca="1">IFERROR(IF(0=LEN(ReferenceData!$T$125),"",ReferenceData!$T$125),"")</f>
        <v>618.57399999999996</v>
      </c>
      <c r="U125">
        <f ca="1">IFERROR(IF(0=LEN(ReferenceData!$U$125),"",ReferenceData!$U$125),"")</f>
        <v>-762.57600000000002</v>
      </c>
      <c r="V125">
        <f ca="1">IFERROR(IF(0=LEN(ReferenceData!$V$125),"",ReferenceData!$V$125),"")</f>
        <v>48.423999999999999</v>
      </c>
      <c r="W125">
        <f ca="1">IFERROR(IF(0=LEN(ReferenceData!$W$125),"",ReferenceData!$W$125),"")</f>
        <v>-878.18299999999999</v>
      </c>
      <c r="X125">
        <f ca="1">IFERROR(IF(0=LEN(ReferenceData!$X$125),"",ReferenceData!$X$125),"")</f>
        <v>-1265.8869999999999</v>
      </c>
      <c r="Y125">
        <f ca="1">IFERROR(IF(0=LEN(ReferenceData!$Y$125),"",ReferenceData!$Y$125),"")</f>
        <v>409.22500000000002</v>
      </c>
      <c r="Z125">
        <f ca="1">IFERROR(IF(0=LEN(ReferenceData!$Z$125),"",ReferenceData!$Z$125),"")</f>
        <v>1418.258</v>
      </c>
      <c r="AA125">
        <f ca="1">IFERROR(IF(0=LEN(ReferenceData!$AA$125),"",ReferenceData!$AA$125),"")</f>
        <v>-335.91699999999997</v>
      </c>
      <c r="AB125">
        <f ca="1">IFERROR(IF(0=LEN(ReferenceData!$AB$125),"",ReferenceData!$AB$125),"")</f>
        <v>802.399</v>
      </c>
      <c r="AC125">
        <f ca="1">IFERROR(IF(0=LEN(ReferenceData!$AC$125),"",ReferenceData!$AC$125),"")</f>
        <v>3510.5929999999998</v>
      </c>
      <c r="AD125">
        <f ca="1">IFERROR(IF(0=LEN(ReferenceData!$AD$125),"",ReferenceData!$AD$125),"")</f>
        <v>2074.721</v>
      </c>
      <c r="AE125">
        <f ca="1">IFERROR(IF(0=LEN(ReferenceData!$AE$125),"",ReferenceData!$AE$125),"")</f>
        <v>228.697</v>
      </c>
      <c r="AF125">
        <f ca="1">IFERROR(IF(0=LEN(ReferenceData!$AF$125),"",ReferenceData!$AF$125),"")</f>
        <v>-143.983</v>
      </c>
      <c r="AG125">
        <f ca="1">IFERROR(IF(0=LEN(ReferenceData!$AG$125),"",ReferenceData!$AG$125),"")</f>
        <v>-18.468</v>
      </c>
      <c r="AH125">
        <f ca="1">IFERROR(IF(0=LEN(ReferenceData!$AH$125),"",ReferenceData!$AH$125),"")</f>
        <v>110.30200000000001</v>
      </c>
      <c r="AI125">
        <f ca="1">IFERROR(IF(0=LEN(ReferenceData!$AI$125),"",ReferenceData!$AI$125),"")</f>
        <v>1243.422</v>
      </c>
      <c r="AJ125">
        <f ca="1">IFERROR(IF(0=LEN(ReferenceData!$AJ$125),"",ReferenceData!$AJ$125),"")</f>
        <v>-171.24</v>
      </c>
      <c r="AK125">
        <f ca="1">IFERROR(IF(0=LEN(ReferenceData!$AK$125),"",ReferenceData!$AK$125),"")</f>
        <v>0</v>
      </c>
      <c r="AL125">
        <f ca="1">IFERROR(IF(0=LEN(ReferenceData!$AL$125),"",ReferenceData!$AL$125),"")</f>
        <v>-129.88900000000001</v>
      </c>
      <c r="AM125">
        <f ca="1">IFERROR(IF(0=LEN(ReferenceData!$AM$125),"",ReferenceData!$AM$125),"")</f>
        <v>-27.611000000000001</v>
      </c>
      <c r="AN125">
        <f ca="1">IFERROR(IF(0=LEN(ReferenceData!$AN$125),"",ReferenceData!$AN$125),"")</f>
        <v>0</v>
      </c>
      <c r="AO125">
        <f ca="1">IFERROR(IF(0=LEN(ReferenceData!$AO$125),"",ReferenceData!$AO$125),"")</f>
        <v>-20.5</v>
      </c>
      <c r="AP125">
        <f ca="1">IFERROR(IF(0=LEN(ReferenceData!$AP$125),"",ReferenceData!$AP$125),"")</f>
        <v>-22.9</v>
      </c>
      <c r="AQ125">
        <f ca="1">IFERROR(IF(0=LEN(ReferenceData!$AQ$125),"",ReferenceData!$AQ$125),"")</f>
        <v>-66.5</v>
      </c>
      <c r="AR125">
        <f ca="1">IFERROR(IF(0=LEN(ReferenceData!$AR$125),"",ReferenceData!$AR$125),"")</f>
        <v>-140.5</v>
      </c>
      <c r="AS125">
        <f ca="1">IFERROR(IF(0=LEN(ReferenceData!$AS$125),"",ReferenceData!$AS$125),"")</f>
        <v>609.63900000000001</v>
      </c>
      <c r="AT125">
        <f ca="1">IFERROR(IF(0=LEN(ReferenceData!$AT$125),"",ReferenceData!$AT$125),"")</f>
        <v>50.418999999999997</v>
      </c>
      <c r="AU125">
        <f ca="1">IFERROR(IF(0=LEN(ReferenceData!$AU$125),"",ReferenceData!$AU$125),"")</f>
        <v>-33.6</v>
      </c>
      <c r="AV125">
        <f ca="1">IFERROR(IF(0=LEN(ReferenceData!$AV$125),"",ReferenceData!$AV$125),"")</f>
        <v>-4.5</v>
      </c>
      <c r="AW125">
        <f ca="1">IFERROR(IF(0=LEN(ReferenceData!$AW$125),"",ReferenceData!$AW$125),"")</f>
        <v>-7.4749999999999996</v>
      </c>
      <c r="AX125">
        <f ca="1">IFERROR(IF(0=LEN(ReferenceData!$AX$125),"",ReferenceData!$AX$125),"")</f>
        <v>124.863</v>
      </c>
      <c r="AY125">
        <f ca="1">IFERROR(IF(0=LEN(ReferenceData!$AY$125),"",ReferenceData!$AY$125),"")</f>
        <v>-185.4</v>
      </c>
      <c r="AZ125">
        <f ca="1">IFERROR(IF(0=LEN(ReferenceData!$AZ$125),"",ReferenceData!$AZ$125),"")</f>
        <v>-242.7</v>
      </c>
      <c r="BA125">
        <f ca="1">IFERROR(IF(0=LEN(ReferenceData!$BA$125),"",ReferenceData!$BA$125),"")</f>
        <v>298.3</v>
      </c>
      <c r="BB125">
        <f ca="1">IFERROR(IF(0=LEN(ReferenceData!$BB$125),"",ReferenceData!$BB$125),"")</f>
        <v>780.10599999999999</v>
      </c>
      <c r="BC125">
        <f ca="1">IFERROR(IF(0=LEN(ReferenceData!$BC$125),"",ReferenceData!$BC$125),"")</f>
        <v>106.654</v>
      </c>
      <c r="BD125">
        <f ca="1">IFERROR(IF(0=LEN(ReferenceData!$BD$125),"",ReferenceData!$BD$125),"")</f>
        <v>2156.3960000000002</v>
      </c>
      <c r="BE125">
        <f ca="1">IFERROR(IF(0=LEN(ReferenceData!$BE$125),"",ReferenceData!$BE$125),"")</f>
        <v>2044.9670000000001</v>
      </c>
      <c r="BF125">
        <f ca="1">IFERROR(IF(0=LEN(ReferenceData!$BF$125),"",ReferenceData!$BF$125),"")</f>
        <v>14833.883</v>
      </c>
      <c r="BG125">
        <f ca="1">IFERROR(IF(0=LEN(ReferenceData!$BG$125),"",ReferenceData!$BG$125),"")</f>
        <v>469.197</v>
      </c>
      <c r="BH125">
        <f ca="1">IFERROR(IF(0=LEN(ReferenceData!$BH$125),"",ReferenceData!$BH$125),"")</f>
        <v>1694.0940000000001</v>
      </c>
      <c r="BI125">
        <f ca="1">IFERROR(IF(0=LEN(ReferenceData!$BI$125),"",ReferenceData!$BI$125),"")</f>
        <v>727.13199999999995</v>
      </c>
      <c r="BJ125">
        <f ca="1">IFERROR(IF(0=LEN(ReferenceData!$BJ$125),"",ReferenceData!$BJ$125),"")</f>
        <v>0</v>
      </c>
      <c r="BK125">
        <f ca="1">IFERROR(IF(0=LEN(ReferenceData!$BK$125),"",ReferenceData!$BK$125),"")</f>
        <v>0</v>
      </c>
      <c r="BL125">
        <f ca="1">IFERROR(IF(0=LEN(ReferenceData!$BL$125),"",ReferenceData!$BL$125),"")</f>
        <v>0</v>
      </c>
      <c r="BM125">
        <f ca="1">IFERROR(IF(0=LEN(ReferenceData!$BM$125),"",ReferenceData!$BM$125),"")</f>
        <v>0</v>
      </c>
    </row>
    <row r="126" spans="1:65">
      <c r="A126" t="str">
        <f>IFERROR(IF(0=LEN(ReferenceData!$A$126),"",ReferenceData!$A$126),"")</f>
        <v xml:space="preserve">    Free Standing Retail REITs</v>
      </c>
      <c r="B126" t="str">
        <f>IFERROR(IF(0=LEN(ReferenceData!$B$126),"",ReferenceData!$B$126),"")</f>
        <v>RECFNAFS Index</v>
      </c>
      <c r="C126" t="str">
        <f>IFERROR(IF(0=LEN(ReferenceData!$C$126),"",ReferenceData!$C$126),"")</f>
        <v/>
      </c>
      <c r="D126" t="str">
        <f>IFERROR(IF(0=LEN(ReferenceData!$D$126),"",ReferenceData!$D$126),"")</f>
        <v/>
      </c>
      <c r="E126" t="str">
        <f>IFERROR(IF(0=LEN(ReferenceData!$E$126),"",ReferenceData!$E$126),"")</f>
        <v>Expression</v>
      </c>
      <c r="F126">
        <f ca="1">IFERROR(IF(0=LEN(ReferenceData!$F$126),"",ReferenceData!$F$126),"")</f>
        <v>965.21100000000001</v>
      </c>
      <c r="G126">
        <f ca="1">IFERROR(IF(0=LEN(ReferenceData!$G$126),"",ReferenceData!$G$126),"")</f>
        <v>523.29499999999996</v>
      </c>
      <c r="H126">
        <f ca="1">IFERROR(IF(0=LEN(ReferenceData!$H$126),"",ReferenceData!$H$126),"")</f>
        <v>798.94799999999998</v>
      </c>
      <c r="I126">
        <f ca="1">IFERROR(IF(0=LEN(ReferenceData!$I$126),"",ReferenceData!$I$126),"")</f>
        <v>848.99800000000005</v>
      </c>
      <c r="J126">
        <f ca="1">IFERROR(IF(0=LEN(ReferenceData!$J$126),"",ReferenceData!$J$126),"")</f>
        <v>1356.704</v>
      </c>
      <c r="K126">
        <f ca="1">IFERROR(IF(0=LEN(ReferenceData!$K$126),"",ReferenceData!$K$126),"")</f>
        <v>906.971</v>
      </c>
      <c r="L126">
        <f ca="1">IFERROR(IF(0=LEN(ReferenceData!$L$126),"",ReferenceData!$L$126),"")</f>
        <v>1110.6010000000001</v>
      </c>
      <c r="M126">
        <f ca="1">IFERROR(IF(0=LEN(ReferenceData!$M$126),"",ReferenceData!$M$126),"")</f>
        <v>646.29100000000005</v>
      </c>
      <c r="N126">
        <f ca="1">IFERROR(IF(0=LEN(ReferenceData!$N$126),"",ReferenceData!$N$126),"")</f>
        <v>724.94600000000003</v>
      </c>
      <c r="O126">
        <f ca="1">IFERROR(IF(0=LEN(ReferenceData!$O$126),"",ReferenceData!$O$126),"")</f>
        <v>3376.3440000000001</v>
      </c>
      <c r="P126">
        <f ca="1">IFERROR(IF(0=LEN(ReferenceData!$P$126),"",ReferenceData!$P$126),"")</f>
        <v>1501.886</v>
      </c>
      <c r="Q126">
        <f ca="1">IFERROR(IF(0=LEN(ReferenceData!$Q$126),"",ReferenceData!$Q$126),"")</f>
        <v>575.33199999999999</v>
      </c>
      <c r="R126">
        <f ca="1">IFERROR(IF(0=LEN(ReferenceData!$R$126),"",ReferenceData!$R$126),"")</f>
        <v>-1026.2249999999999</v>
      </c>
      <c r="S126">
        <f ca="1">IFERROR(IF(0=LEN(ReferenceData!$S$126),"",ReferenceData!$S$126),"")</f>
        <v>2906.19</v>
      </c>
      <c r="T126">
        <f ca="1">IFERROR(IF(0=LEN(ReferenceData!$T$126),"",ReferenceData!$T$126),"")</f>
        <v>1470.366</v>
      </c>
      <c r="U126">
        <f ca="1">IFERROR(IF(0=LEN(ReferenceData!$U$126),"",ReferenceData!$U$126),"")</f>
        <v>13909.545</v>
      </c>
      <c r="V126">
        <f ca="1">IFERROR(IF(0=LEN(ReferenceData!$V$126),"",ReferenceData!$V$126),"")</f>
        <v>2403.0859999999998</v>
      </c>
      <c r="W126">
        <f ca="1">IFERROR(IF(0=LEN(ReferenceData!$W$126),"",ReferenceData!$W$126),"")</f>
        <v>7938.317</v>
      </c>
      <c r="X126">
        <f ca="1">IFERROR(IF(0=LEN(ReferenceData!$X$126),"",ReferenceData!$X$126),"")</f>
        <v>2398.31</v>
      </c>
      <c r="Y126">
        <f ca="1">IFERROR(IF(0=LEN(ReferenceData!$Y$126),"",ReferenceData!$Y$126),"")</f>
        <v>5157.8909999999996</v>
      </c>
      <c r="Z126">
        <f ca="1">IFERROR(IF(0=LEN(ReferenceData!$Z$126),"",ReferenceData!$Z$126),"")</f>
        <v>751.24300000000005</v>
      </c>
      <c r="AA126">
        <f ca="1">IFERROR(IF(0=LEN(ReferenceData!$AA$126),"",ReferenceData!$AA$126),"")</f>
        <v>674.93499999999995</v>
      </c>
      <c r="AB126">
        <f ca="1">IFERROR(IF(0=LEN(ReferenceData!$AB$126),"",ReferenceData!$AB$126),"")</f>
        <v>320.505</v>
      </c>
      <c r="AC126">
        <f ca="1">IFERROR(IF(0=LEN(ReferenceData!$AC$126),"",ReferenceData!$AC$126),"")</f>
        <v>206.67699999999999</v>
      </c>
      <c r="AD126">
        <f ca="1">IFERROR(IF(0=LEN(ReferenceData!$AD$126),"",ReferenceData!$AD$126),"")</f>
        <v>518.18100000000004</v>
      </c>
      <c r="AE126">
        <f ca="1">IFERROR(IF(0=LEN(ReferenceData!$AE$126),"",ReferenceData!$AE$126),"")</f>
        <v>799.09900000000005</v>
      </c>
      <c r="AF126">
        <f ca="1">IFERROR(IF(0=LEN(ReferenceData!$AF$126),"",ReferenceData!$AF$126),"")</f>
        <v>265.74299999999999</v>
      </c>
      <c r="AG126">
        <f ca="1">IFERROR(IF(0=LEN(ReferenceData!$AG$126),"",ReferenceData!$AG$126),"")</f>
        <v>398.28899999999999</v>
      </c>
      <c r="AH126">
        <f ca="1">IFERROR(IF(0=LEN(ReferenceData!$AH$126),"",ReferenceData!$AH$126),"")</f>
        <v>643.03899999999999</v>
      </c>
      <c r="AI126">
        <f ca="1">IFERROR(IF(0=LEN(ReferenceData!$AI$126),"",ReferenceData!$AI$126),"")</f>
        <v>98.17</v>
      </c>
      <c r="AJ126">
        <f ca="1">IFERROR(IF(0=LEN(ReferenceData!$AJ$126),"",ReferenceData!$AJ$126),"")</f>
        <v>50.164000000000001</v>
      </c>
      <c r="AK126">
        <f ca="1">IFERROR(IF(0=LEN(ReferenceData!$AK$126),"",ReferenceData!$AK$126),"")</f>
        <v>21.699000000000002</v>
      </c>
      <c r="AL126">
        <f ca="1">IFERROR(IF(0=LEN(ReferenceData!$AL$126),"",ReferenceData!$AL$126),"")</f>
        <v>37.590000000000003</v>
      </c>
      <c r="AM126">
        <f ca="1">IFERROR(IF(0=LEN(ReferenceData!$AM$126),"",ReferenceData!$AM$126),"")</f>
        <v>64.983999999999995</v>
      </c>
      <c r="AN126">
        <f ca="1">IFERROR(IF(0=LEN(ReferenceData!$AN$126),"",ReferenceData!$AN$126),"")</f>
        <v>-10.884</v>
      </c>
      <c r="AO126">
        <f ca="1">IFERROR(IF(0=LEN(ReferenceData!$AO$126),"",ReferenceData!$AO$126),"")</f>
        <v>-3.9209999999999998</v>
      </c>
      <c r="AP126">
        <f ca="1">IFERROR(IF(0=LEN(ReferenceData!$AP$126),"",ReferenceData!$AP$126),"")</f>
        <v>26.378</v>
      </c>
      <c r="AQ126">
        <f ca="1">IFERROR(IF(0=LEN(ReferenceData!$AQ$126),"",ReferenceData!$AQ$126),"")</f>
        <v>37.798000000000002</v>
      </c>
      <c r="AR126">
        <f ca="1">IFERROR(IF(0=LEN(ReferenceData!$AR$126),"",ReferenceData!$AR$126),"")</f>
        <v>72.088999999999999</v>
      </c>
      <c r="AS126">
        <f ca="1">IFERROR(IF(0=LEN(ReferenceData!$AS$126),"",ReferenceData!$AS$126),"")</f>
        <v>400.63900000000001</v>
      </c>
      <c r="AT126">
        <f ca="1">IFERROR(IF(0=LEN(ReferenceData!$AT$126),"",ReferenceData!$AT$126),"")</f>
        <v>282.40199999999999</v>
      </c>
      <c r="AU126">
        <f ca="1">IFERROR(IF(0=LEN(ReferenceData!$AU$126),"",ReferenceData!$AU$126),"")</f>
        <v>401.57400000000001</v>
      </c>
      <c r="AV126">
        <f ca="1">IFERROR(IF(0=LEN(ReferenceData!$AV$126),"",ReferenceData!$AV$126),"")</f>
        <v>321.54199999999997</v>
      </c>
      <c r="AW126">
        <f ca="1">IFERROR(IF(0=LEN(ReferenceData!$AW$126),"",ReferenceData!$AW$126),"")</f>
        <v>203.37100000000001</v>
      </c>
      <c r="AX126">
        <f ca="1">IFERROR(IF(0=LEN(ReferenceData!$AX$126),"",ReferenceData!$AX$126),"")</f>
        <v>610.22</v>
      </c>
      <c r="AY126">
        <f ca="1">IFERROR(IF(0=LEN(ReferenceData!$AY$126),"",ReferenceData!$AY$126),"")</f>
        <v>213.524</v>
      </c>
      <c r="AZ126">
        <f ca="1">IFERROR(IF(0=LEN(ReferenceData!$AZ$126),"",ReferenceData!$AZ$126),"")</f>
        <v>-72.935000000000002</v>
      </c>
      <c r="BA126">
        <f ca="1">IFERROR(IF(0=LEN(ReferenceData!$BA$126),"",ReferenceData!$BA$126),"")</f>
        <v>118.517</v>
      </c>
      <c r="BB126">
        <f ca="1">IFERROR(IF(0=LEN(ReferenceData!$BB$126),"",ReferenceData!$BB$126),"")</f>
        <v>295.13200000000001</v>
      </c>
      <c r="BC126">
        <f ca="1">IFERROR(IF(0=LEN(ReferenceData!$BC$126),"",ReferenceData!$BC$126),"")</f>
        <v>288.113</v>
      </c>
      <c r="BD126">
        <f ca="1">IFERROR(IF(0=LEN(ReferenceData!$BD$126),"",ReferenceData!$BD$126),"")</f>
        <v>153.33199999999999</v>
      </c>
      <c r="BE126">
        <f ca="1">IFERROR(IF(0=LEN(ReferenceData!$BE$126),"",ReferenceData!$BE$126),"")</f>
        <v>120.82</v>
      </c>
      <c r="BF126">
        <f ca="1">IFERROR(IF(0=LEN(ReferenceData!$BF$126),"",ReferenceData!$BF$126),"")</f>
        <v>116.917</v>
      </c>
      <c r="BG126">
        <f ca="1">IFERROR(IF(0=LEN(ReferenceData!$BG$126),"",ReferenceData!$BG$126),"")</f>
        <v>48.997</v>
      </c>
      <c r="BH126">
        <f ca="1">IFERROR(IF(0=LEN(ReferenceData!$BH$126),"",ReferenceData!$BH$126),"")</f>
        <v>28.981000000000002</v>
      </c>
      <c r="BI126">
        <f ca="1">IFERROR(IF(0=LEN(ReferenceData!$BI$126),"",ReferenceData!$BI$126),"")</f>
        <v>125.379</v>
      </c>
      <c r="BJ126">
        <f ca="1">IFERROR(IF(0=LEN(ReferenceData!$BJ$126),"",ReferenceData!$BJ$126),"")</f>
        <v>-4.8</v>
      </c>
      <c r="BK126">
        <f ca="1">IFERROR(IF(0=LEN(ReferenceData!$BK$126),"",ReferenceData!$BK$126),"")</f>
        <v>4.8</v>
      </c>
      <c r="BL126">
        <f ca="1">IFERROR(IF(0=LEN(ReferenceData!$BL$126),"",ReferenceData!$BL$126),"")</f>
        <v>0</v>
      </c>
      <c r="BM126">
        <f ca="1">IFERROR(IF(0=LEN(ReferenceData!$BM$126),"",ReferenceData!$BM$126),"")</f>
        <v>0</v>
      </c>
    </row>
    <row r="127" spans="1:65">
      <c r="A127" t="str">
        <f>IFERROR(IF(0=LEN(ReferenceData!$A$127),"",ReferenceData!$A$127),"")</f>
        <v xml:space="preserve">    Residential REITs</v>
      </c>
      <c r="B127" t="str">
        <f>IFERROR(IF(0=LEN(ReferenceData!$B$127),"",ReferenceData!$B$127),"")</f>
        <v>RECFNARS Index</v>
      </c>
      <c r="C127" t="str">
        <f>IFERROR(IF(0=LEN(ReferenceData!$C$127),"",ReferenceData!$C$127),"")</f>
        <v/>
      </c>
      <c r="D127" t="str">
        <f>IFERROR(IF(0=LEN(ReferenceData!$D$127),"",ReferenceData!$D$127),"")</f>
        <v/>
      </c>
      <c r="E127" t="str">
        <f>IFERROR(IF(0=LEN(ReferenceData!$E$127),"",ReferenceData!$E$127),"")</f>
        <v>Expression</v>
      </c>
      <c r="F127">
        <f ca="1">IFERROR(IF(0=LEN(ReferenceData!$F$127),"",ReferenceData!$F$127),"")</f>
        <v>-5.5339999999999998</v>
      </c>
      <c r="G127">
        <f ca="1">IFERROR(IF(0=LEN(ReferenceData!$G$127),"",ReferenceData!$G$127),"")</f>
        <v>928.7</v>
      </c>
      <c r="H127">
        <f ca="1">IFERROR(IF(0=LEN(ReferenceData!$H$127),"",ReferenceData!$H$127),"")</f>
        <v>1606.711</v>
      </c>
      <c r="I127">
        <f ca="1">IFERROR(IF(0=LEN(ReferenceData!$I$127),"",ReferenceData!$I$127),"")</f>
        <v>212.62799999999999</v>
      </c>
      <c r="J127">
        <f ca="1">IFERROR(IF(0=LEN(ReferenceData!$J$127),"",ReferenceData!$J$127),"")</f>
        <v>-499.18</v>
      </c>
      <c r="K127">
        <f ca="1">IFERROR(IF(0=LEN(ReferenceData!$K$127),"",ReferenceData!$K$127),"")</f>
        <v>-144.666</v>
      </c>
      <c r="L127">
        <f ca="1">IFERROR(IF(0=LEN(ReferenceData!$L$127),"",ReferenceData!$L$127),"")</f>
        <v>745.20799999999997</v>
      </c>
      <c r="M127">
        <f ca="1">IFERROR(IF(0=LEN(ReferenceData!$M$127),"",ReferenceData!$M$127),"")</f>
        <v>20.995999999999999</v>
      </c>
      <c r="N127">
        <f ca="1">IFERROR(IF(0=LEN(ReferenceData!$N$127),"",ReferenceData!$N$127),"")</f>
        <v>281.86700000000002</v>
      </c>
      <c r="O127">
        <f ca="1">IFERROR(IF(0=LEN(ReferenceData!$O$127),"",ReferenceData!$O$127),"")</f>
        <v>1057.5830000000001</v>
      </c>
      <c r="P127">
        <f ca="1">IFERROR(IF(0=LEN(ReferenceData!$P$127),"",ReferenceData!$P$127),"")</f>
        <v>1195.4770000000001</v>
      </c>
      <c r="Q127">
        <f ca="1">IFERROR(IF(0=LEN(ReferenceData!$Q$127),"",ReferenceData!$Q$127),"")</f>
        <v>380.86599999999999</v>
      </c>
      <c r="R127">
        <f ca="1">IFERROR(IF(0=LEN(ReferenceData!$R$127),"",ReferenceData!$R$127),"")</f>
        <v>1168.604</v>
      </c>
      <c r="S127">
        <f ca="1">IFERROR(IF(0=LEN(ReferenceData!$S$127),"",ReferenceData!$S$127),"")</f>
        <v>20.48</v>
      </c>
      <c r="T127">
        <f ca="1">IFERROR(IF(0=LEN(ReferenceData!$T$127),"",ReferenceData!$T$127),"")</f>
        <v>5204.3919999999998</v>
      </c>
      <c r="U127">
        <f ca="1">IFERROR(IF(0=LEN(ReferenceData!$U$127),"",ReferenceData!$U$127),"")</f>
        <v>766.76900000000001</v>
      </c>
      <c r="V127">
        <f ca="1">IFERROR(IF(0=LEN(ReferenceData!$V$127),"",ReferenceData!$V$127),"")</f>
        <v>1714.0519999999999</v>
      </c>
      <c r="W127">
        <f ca="1">IFERROR(IF(0=LEN(ReferenceData!$W$127),"",ReferenceData!$W$127),"")</f>
        <v>-65.771000000000001</v>
      </c>
      <c r="X127">
        <f ca="1">IFERROR(IF(0=LEN(ReferenceData!$X$127),"",ReferenceData!$X$127),"")</f>
        <v>-1012.278</v>
      </c>
      <c r="Y127">
        <f ca="1">IFERROR(IF(0=LEN(ReferenceData!$Y$127),"",ReferenceData!$Y$127),"")</f>
        <v>12187.501</v>
      </c>
      <c r="Z127">
        <f ca="1">IFERROR(IF(0=LEN(ReferenceData!$Z$127),"",ReferenceData!$Z$127),"")</f>
        <v>-87.227000000000004</v>
      </c>
      <c r="AA127">
        <f ca="1">IFERROR(IF(0=LEN(ReferenceData!$AA$127),"",ReferenceData!$AA$127),"")</f>
        <v>1255.7470000000001</v>
      </c>
      <c r="AB127">
        <f ca="1">IFERROR(IF(0=LEN(ReferenceData!$AB$127),"",ReferenceData!$AB$127),"")</f>
        <v>293.70299999999997</v>
      </c>
      <c r="AC127">
        <f ca="1">IFERROR(IF(0=LEN(ReferenceData!$AC$127),"",ReferenceData!$AC$127),"")</f>
        <v>1481.335</v>
      </c>
      <c r="AD127">
        <f ca="1">IFERROR(IF(0=LEN(ReferenceData!$AD$127),"",ReferenceData!$AD$127),"")</f>
        <v>1372.104</v>
      </c>
      <c r="AE127">
        <f ca="1">IFERROR(IF(0=LEN(ReferenceData!$AE$127),"",ReferenceData!$AE$127),"")</f>
        <v>2515.9079999999999</v>
      </c>
      <c r="AF127">
        <f ca="1">IFERROR(IF(0=LEN(ReferenceData!$AF$127),"",ReferenceData!$AF$127),"")</f>
        <v>752.80600000000004</v>
      </c>
      <c r="AG127">
        <f ca="1">IFERROR(IF(0=LEN(ReferenceData!$AG$127),"",ReferenceData!$AG$127),"")</f>
        <v>241.85300000000001</v>
      </c>
      <c r="AH127">
        <f ca="1">IFERROR(IF(0=LEN(ReferenceData!$AH$127),"",ReferenceData!$AH$127),"")</f>
        <v>204.68899999999999</v>
      </c>
      <c r="AI127">
        <f ca="1">IFERROR(IF(0=LEN(ReferenceData!$AI$127),"",ReferenceData!$AI$127),"")</f>
        <v>1798.433</v>
      </c>
      <c r="AJ127">
        <f ca="1">IFERROR(IF(0=LEN(ReferenceData!$AJ$127),"",ReferenceData!$AJ$127),"")</f>
        <v>240.19</v>
      </c>
      <c r="AK127">
        <f ca="1">IFERROR(IF(0=LEN(ReferenceData!$AK$127),"",ReferenceData!$AK$127),"")</f>
        <v>494.03399999999999</v>
      </c>
      <c r="AL127">
        <f ca="1">IFERROR(IF(0=LEN(ReferenceData!$AL$127),"",ReferenceData!$AL$127),"")</f>
        <v>-465.80200000000002</v>
      </c>
      <c r="AM127">
        <f ca="1">IFERROR(IF(0=LEN(ReferenceData!$AM$127),"",ReferenceData!$AM$127),"")</f>
        <v>-971.26199999999994</v>
      </c>
      <c r="AN127">
        <f ca="1">IFERROR(IF(0=LEN(ReferenceData!$AN$127),"",ReferenceData!$AN$127),"")</f>
        <v>-636.52200000000005</v>
      </c>
      <c r="AO127">
        <f ca="1">IFERROR(IF(0=LEN(ReferenceData!$AO$127),"",ReferenceData!$AO$127),"")</f>
        <v>-369.47699999999998</v>
      </c>
      <c r="AP127">
        <f ca="1">IFERROR(IF(0=LEN(ReferenceData!$AP$127),"",ReferenceData!$AP$127),"")</f>
        <v>-1043.606</v>
      </c>
      <c r="AQ127">
        <f ca="1">IFERROR(IF(0=LEN(ReferenceData!$AQ$127),"",ReferenceData!$AQ$127),"")</f>
        <v>-1575.1859999999999</v>
      </c>
      <c r="AR127">
        <f ca="1">IFERROR(IF(0=LEN(ReferenceData!$AR$127),"",ReferenceData!$AR$127),"")</f>
        <v>83.941000000000003</v>
      </c>
      <c r="AS127">
        <f ca="1">IFERROR(IF(0=LEN(ReferenceData!$AS$127),"",ReferenceData!$AS$127),"")</f>
        <v>-1611.4</v>
      </c>
      <c r="AT127">
        <f ca="1">IFERROR(IF(0=LEN(ReferenceData!$AT$127),"",ReferenceData!$AT$127),"")</f>
        <v>-880.06</v>
      </c>
      <c r="AU127">
        <f ca="1">IFERROR(IF(0=LEN(ReferenceData!$AU$127),"",ReferenceData!$AU$127),"")</f>
        <v>-1181.7539999999999</v>
      </c>
      <c r="AV127">
        <f ca="1">IFERROR(IF(0=LEN(ReferenceData!$AV$127),"",ReferenceData!$AV$127),"")</f>
        <v>560.59500000000003</v>
      </c>
      <c r="AW127">
        <f ca="1">IFERROR(IF(0=LEN(ReferenceData!$AW$127),"",ReferenceData!$AW$127),"")</f>
        <v>52.2</v>
      </c>
      <c r="AX127">
        <f ca="1">IFERROR(IF(0=LEN(ReferenceData!$AX$127),"",ReferenceData!$AX$127),"")</f>
        <v>-1689.2049999999999</v>
      </c>
      <c r="AY127">
        <f ca="1">IFERROR(IF(0=LEN(ReferenceData!$AY$127),"",ReferenceData!$AY$127),"")</f>
        <v>1011.641</v>
      </c>
      <c r="AZ127">
        <f ca="1">IFERROR(IF(0=LEN(ReferenceData!$AZ$127),"",ReferenceData!$AZ$127),"")</f>
        <v>-77.471999999999994</v>
      </c>
      <c r="BA127">
        <f ca="1">IFERROR(IF(0=LEN(ReferenceData!$BA$127),"",ReferenceData!$BA$127),"")</f>
        <v>201.482</v>
      </c>
      <c r="BB127">
        <f ca="1">IFERROR(IF(0=LEN(ReferenceData!$BB$127),"",ReferenceData!$BB$127),"")</f>
        <v>434.745</v>
      </c>
      <c r="BC127">
        <f ca="1">IFERROR(IF(0=LEN(ReferenceData!$BC$127),"",ReferenceData!$BC$127),"")</f>
        <v>1174.567</v>
      </c>
      <c r="BD127">
        <f ca="1">IFERROR(IF(0=LEN(ReferenceData!$BD$127),"",ReferenceData!$BD$127),"")</f>
        <v>68.09</v>
      </c>
      <c r="BE127">
        <f ca="1">IFERROR(IF(0=LEN(ReferenceData!$BE$127),"",ReferenceData!$BE$127),"")</f>
        <v>2301.8220000000001</v>
      </c>
      <c r="BF127">
        <f ca="1">IFERROR(IF(0=LEN(ReferenceData!$BF$127),"",ReferenceData!$BF$127),"")</f>
        <v>-194.54</v>
      </c>
      <c r="BG127">
        <f ca="1">IFERROR(IF(0=LEN(ReferenceData!$BG$127),"",ReferenceData!$BG$127),"")</f>
        <v>-56.712000000000003</v>
      </c>
      <c r="BH127">
        <f ca="1">IFERROR(IF(0=LEN(ReferenceData!$BH$127),"",ReferenceData!$BH$127),"")</f>
        <v>-6.702</v>
      </c>
      <c r="BI127">
        <f ca="1">IFERROR(IF(0=LEN(ReferenceData!$BI$127),"",ReferenceData!$BI$127),"")</f>
        <v>1492.019</v>
      </c>
      <c r="BJ127">
        <f ca="1">IFERROR(IF(0=LEN(ReferenceData!$BJ$127),"",ReferenceData!$BJ$127),"")</f>
        <v>-1.4</v>
      </c>
      <c r="BK127">
        <f ca="1">IFERROR(IF(0=LEN(ReferenceData!$BK$127),"",ReferenceData!$BK$127),"")</f>
        <v>39.5</v>
      </c>
      <c r="BL127">
        <f ca="1">IFERROR(IF(0=LEN(ReferenceData!$BL$127),"",ReferenceData!$BL$127),"")</f>
        <v>-39.299999999999997</v>
      </c>
      <c r="BM127">
        <f ca="1">IFERROR(IF(0=LEN(ReferenceData!$BM$127),"",ReferenceData!$BM$127),"")</f>
        <v>-8</v>
      </c>
    </row>
    <row r="128" spans="1:65">
      <c r="A128" t="str">
        <f>IFERROR(IF(0=LEN(ReferenceData!$A$128),"",ReferenceData!$A$128),"")</f>
        <v xml:space="preserve">    Apartment REITs</v>
      </c>
      <c r="B128" t="str">
        <f>IFERROR(IF(0=LEN(ReferenceData!$B$128),"",ReferenceData!$B$128),"")</f>
        <v>RECFNAAP Index</v>
      </c>
      <c r="C128" t="str">
        <f>IFERROR(IF(0=LEN(ReferenceData!$C$128),"",ReferenceData!$C$128),"")</f>
        <v/>
      </c>
      <c r="D128" t="str">
        <f>IFERROR(IF(0=LEN(ReferenceData!$D$128),"",ReferenceData!$D$128),"")</f>
        <v/>
      </c>
      <c r="E128" t="str">
        <f>IFERROR(IF(0=LEN(ReferenceData!$E$128),"",ReferenceData!$E$128),"")</f>
        <v>Expression</v>
      </c>
      <c r="F128">
        <f ca="1">IFERROR(IF(0=LEN(ReferenceData!$F$128),"",ReferenceData!$F$128),"")</f>
        <v>-214.54900000000001</v>
      </c>
      <c r="G128">
        <f ca="1">IFERROR(IF(0=LEN(ReferenceData!$G$128),"",ReferenceData!$G$128),"")</f>
        <v>639.33900000000006</v>
      </c>
      <c r="H128">
        <f ca="1">IFERROR(IF(0=LEN(ReferenceData!$H$128),"",ReferenceData!$H$128),"")</f>
        <v>578.69799999999998</v>
      </c>
      <c r="I128">
        <f ca="1">IFERROR(IF(0=LEN(ReferenceData!$I$128),"",ReferenceData!$I$128),"")</f>
        <v>155.797</v>
      </c>
      <c r="J128">
        <f ca="1">IFERROR(IF(0=LEN(ReferenceData!$J$128),"",ReferenceData!$J$128),"")</f>
        <v>-688.57600000000002</v>
      </c>
      <c r="K128">
        <f ca="1">IFERROR(IF(0=LEN(ReferenceData!$K$128),"",ReferenceData!$K$128),"")</f>
        <v>-198.74199999999999</v>
      </c>
      <c r="L128">
        <f ca="1">IFERROR(IF(0=LEN(ReferenceData!$L$128),"",ReferenceData!$L$128),"")</f>
        <v>-956.024</v>
      </c>
      <c r="M128">
        <f ca="1">IFERROR(IF(0=LEN(ReferenceData!$M$128),"",ReferenceData!$M$128),"")</f>
        <v>-6035.2179999999998</v>
      </c>
      <c r="N128">
        <f ca="1">IFERROR(IF(0=LEN(ReferenceData!$N$128),"",ReferenceData!$N$128),"")</f>
        <v>447.44</v>
      </c>
      <c r="O128">
        <f ca="1">IFERROR(IF(0=LEN(ReferenceData!$O$128),"",ReferenceData!$O$128),"")</f>
        <v>904.16200000000003</v>
      </c>
      <c r="P128">
        <f ca="1">IFERROR(IF(0=LEN(ReferenceData!$P$128),"",ReferenceData!$P$128),"")</f>
        <v>510.12200000000001</v>
      </c>
      <c r="Q128">
        <f ca="1">IFERROR(IF(0=LEN(ReferenceData!$Q$128),"",ReferenceData!$Q$128),"")</f>
        <v>-551.89099999999996</v>
      </c>
      <c r="R128">
        <f ca="1">IFERROR(IF(0=LEN(ReferenceData!$R$128),"",ReferenceData!$R$128),"")</f>
        <v>27.021999999999998</v>
      </c>
      <c r="S128">
        <f ca="1">IFERROR(IF(0=LEN(ReferenceData!$S$128),"",ReferenceData!$S$128),"")</f>
        <v>-410.99200000000002</v>
      </c>
      <c r="T128">
        <f ca="1">IFERROR(IF(0=LEN(ReferenceData!$T$128),"",ReferenceData!$T$128),"")</f>
        <v>4769.8109999999997</v>
      </c>
      <c r="U128">
        <f ca="1">IFERROR(IF(0=LEN(ReferenceData!$U$128),"",ReferenceData!$U$128),"")</f>
        <v>-168.678</v>
      </c>
      <c r="V128">
        <f ca="1">IFERROR(IF(0=LEN(ReferenceData!$V$128),"",ReferenceData!$V$128),"")</f>
        <v>1241.529</v>
      </c>
      <c r="W128">
        <f ca="1">IFERROR(IF(0=LEN(ReferenceData!$W$128),"",ReferenceData!$W$128),"")</f>
        <v>-660.14300000000003</v>
      </c>
      <c r="X128">
        <f ca="1">IFERROR(IF(0=LEN(ReferenceData!$X$128),"",ReferenceData!$X$128),"")</f>
        <v>-1352.6420000000001</v>
      </c>
      <c r="Y128">
        <f ca="1">IFERROR(IF(0=LEN(ReferenceData!$Y$128),"",ReferenceData!$Y$128),"")</f>
        <v>11866.067999999999</v>
      </c>
      <c r="Z128">
        <f ca="1">IFERROR(IF(0=LEN(ReferenceData!$Z$128),"",ReferenceData!$Z$128),"")</f>
        <v>-452.03199999999998</v>
      </c>
      <c r="AA128">
        <f ca="1">IFERROR(IF(0=LEN(ReferenceData!$AA$128),"",ReferenceData!$AA$128),"")</f>
        <v>1180.1969999999999</v>
      </c>
      <c r="AB128">
        <f ca="1">IFERROR(IF(0=LEN(ReferenceData!$AB$128),"",ReferenceData!$AB$128),"")</f>
        <v>293.70299999999997</v>
      </c>
      <c r="AC128">
        <f ca="1">IFERROR(IF(0=LEN(ReferenceData!$AC$128),"",ReferenceData!$AC$128),"")</f>
        <v>1454.7349999999999</v>
      </c>
      <c r="AD128">
        <f ca="1">IFERROR(IF(0=LEN(ReferenceData!$AD$128),"",ReferenceData!$AD$128),"")</f>
        <v>885.404</v>
      </c>
      <c r="AE128">
        <f ca="1">IFERROR(IF(0=LEN(ReferenceData!$AE$128),"",ReferenceData!$AE$128),"")</f>
        <v>1456.808</v>
      </c>
      <c r="AF128">
        <f ca="1">IFERROR(IF(0=LEN(ReferenceData!$AF$128),"",ReferenceData!$AF$128),"")</f>
        <v>590.00599999999997</v>
      </c>
      <c r="AG128">
        <f ca="1">IFERROR(IF(0=LEN(ReferenceData!$AG$128),"",ReferenceData!$AG$128),"")</f>
        <v>241.85300000000001</v>
      </c>
      <c r="AH128">
        <f ca="1">IFERROR(IF(0=LEN(ReferenceData!$AH$128),"",ReferenceData!$AH$128),"")</f>
        <v>180.43899999999999</v>
      </c>
      <c r="AI128">
        <f ca="1">IFERROR(IF(0=LEN(ReferenceData!$AI$128),"",ReferenceData!$AI$128),"")</f>
        <v>1798.433</v>
      </c>
      <c r="AJ128">
        <f ca="1">IFERROR(IF(0=LEN(ReferenceData!$AJ$128),"",ReferenceData!$AJ$128),"")</f>
        <v>224.99</v>
      </c>
      <c r="AK128">
        <f ca="1">IFERROR(IF(0=LEN(ReferenceData!$AK$128),"",ReferenceData!$AK$128),"")</f>
        <v>497.66199999999998</v>
      </c>
      <c r="AL128">
        <f ca="1">IFERROR(IF(0=LEN(ReferenceData!$AL$128),"",ReferenceData!$AL$128),"")</f>
        <v>-465.80200000000002</v>
      </c>
      <c r="AM128">
        <f ca="1">IFERROR(IF(0=LEN(ReferenceData!$AM$128),"",ReferenceData!$AM$128),"")</f>
        <v>-958.86199999999997</v>
      </c>
      <c r="AN128">
        <f ca="1">IFERROR(IF(0=LEN(ReferenceData!$AN$128),"",ReferenceData!$AN$128),"")</f>
        <v>-634.322</v>
      </c>
      <c r="AO128">
        <f ca="1">IFERROR(IF(0=LEN(ReferenceData!$AO$128),"",ReferenceData!$AO$128),"")</f>
        <v>-369.47699999999998</v>
      </c>
      <c r="AP128">
        <f ca="1">IFERROR(IF(0=LEN(ReferenceData!$AP$128),"",ReferenceData!$AP$128),"")</f>
        <v>-1043.606</v>
      </c>
      <c r="AQ128">
        <f ca="1">IFERROR(IF(0=LEN(ReferenceData!$AQ$128),"",ReferenceData!$AQ$128),"")</f>
        <v>-1575.1859999999999</v>
      </c>
      <c r="AR128">
        <f ca="1">IFERROR(IF(0=LEN(ReferenceData!$AR$128),"",ReferenceData!$AR$128),"")</f>
        <v>86.040999999999997</v>
      </c>
      <c r="AS128">
        <f ca="1">IFERROR(IF(0=LEN(ReferenceData!$AS$128),"",ReferenceData!$AS$128),"")</f>
        <v>-1621.3</v>
      </c>
      <c r="AT128">
        <f ca="1">IFERROR(IF(0=LEN(ReferenceData!$AT$128),"",ReferenceData!$AT$128),"")</f>
        <v>-884.76</v>
      </c>
      <c r="AU128">
        <f ca="1">IFERROR(IF(0=LEN(ReferenceData!$AU$128),"",ReferenceData!$AU$128),"")</f>
        <v>-1163.154</v>
      </c>
      <c r="AV128">
        <f ca="1">IFERROR(IF(0=LEN(ReferenceData!$AV$128),"",ReferenceData!$AV$128),"")</f>
        <v>549.69500000000005</v>
      </c>
      <c r="AW128">
        <f ca="1">IFERROR(IF(0=LEN(ReferenceData!$AW$128),"",ReferenceData!$AW$128),"")</f>
        <v>54</v>
      </c>
      <c r="AX128">
        <f ca="1">IFERROR(IF(0=LEN(ReferenceData!$AX$128),"",ReferenceData!$AX$128),"")</f>
        <v>-1715.8050000000001</v>
      </c>
      <c r="AY128">
        <f ca="1">IFERROR(IF(0=LEN(ReferenceData!$AY$128),"",ReferenceData!$AY$128),"")</f>
        <v>1011.641</v>
      </c>
      <c r="AZ128">
        <f ca="1">IFERROR(IF(0=LEN(ReferenceData!$AZ$128),"",ReferenceData!$AZ$128),"")</f>
        <v>-104.572</v>
      </c>
      <c r="BA128">
        <f ca="1">IFERROR(IF(0=LEN(ReferenceData!$BA$128),"",ReferenceData!$BA$128),"")</f>
        <v>138.482</v>
      </c>
      <c r="BB128">
        <f ca="1">IFERROR(IF(0=LEN(ReferenceData!$BB$128),"",ReferenceData!$BB$128),"")</f>
        <v>439.94499999999999</v>
      </c>
      <c r="BC128">
        <f ca="1">IFERROR(IF(0=LEN(ReferenceData!$BC$128),"",ReferenceData!$BC$128),"")</f>
        <v>1230.7840000000001</v>
      </c>
      <c r="BD128">
        <f ca="1">IFERROR(IF(0=LEN(ReferenceData!$BD$128),"",ReferenceData!$BD$128),"")</f>
        <v>67.191000000000003</v>
      </c>
      <c r="BE128">
        <f ca="1">IFERROR(IF(0=LEN(ReferenceData!$BE$128),"",ReferenceData!$BE$128),"")</f>
        <v>2294.5219999999999</v>
      </c>
      <c r="BF128">
        <f ca="1">IFERROR(IF(0=LEN(ReferenceData!$BF$128),"",ReferenceData!$BF$128),"")</f>
        <v>-381.733</v>
      </c>
      <c r="BG128">
        <f ca="1">IFERROR(IF(0=LEN(ReferenceData!$BG$128),"",ReferenceData!$BG$128),"")</f>
        <v>-49.915999999999997</v>
      </c>
      <c r="BH128">
        <f ca="1">IFERROR(IF(0=LEN(ReferenceData!$BH$128),"",ReferenceData!$BH$128),"")</f>
        <v>-324.15800000000002</v>
      </c>
      <c r="BI128">
        <f ca="1">IFERROR(IF(0=LEN(ReferenceData!$BI$128),"",ReferenceData!$BI$128),"")</f>
        <v>521.21500000000003</v>
      </c>
      <c r="BJ128">
        <f ca="1">IFERROR(IF(0=LEN(ReferenceData!$BJ$128),"",ReferenceData!$BJ$128),"")</f>
        <v>-18.8</v>
      </c>
      <c r="BK128">
        <f ca="1">IFERROR(IF(0=LEN(ReferenceData!$BK$128),"",ReferenceData!$BK$128),"")</f>
        <v>39.5</v>
      </c>
      <c r="BL128">
        <f ca="1">IFERROR(IF(0=LEN(ReferenceData!$BL$128),"",ReferenceData!$BL$128),"")</f>
        <v>-12.2</v>
      </c>
      <c r="BM128">
        <f ca="1">IFERROR(IF(0=LEN(ReferenceData!$BM$128),"",ReferenceData!$BM$128),"")</f>
        <v>-8</v>
      </c>
    </row>
    <row r="129" spans="1:65">
      <c r="A129" t="str">
        <f>IFERROR(IF(0=LEN(ReferenceData!$A$129),"",ReferenceData!$A$129),"")</f>
        <v xml:space="preserve">    Manufactured Home REITs</v>
      </c>
      <c r="B129" t="str">
        <f>IFERROR(IF(0=LEN(ReferenceData!$B$129),"",ReferenceData!$B$129),"")</f>
        <v>RECFNAMH Index</v>
      </c>
      <c r="C129" t="str">
        <f>IFERROR(IF(0=LEN(ReferenceData!$C$129),"",ReferenceData!$C$129),"")</f>
        <v/>
      </c>
      <c r="D129" t="str">
        <f>IFERROR(IF(0=LEN(ReferenceData!$D$129),"",ReferenceData!$D$129),"")</f>
        <v/>
      </c>
      <c r="E129" t="str">
        <f>IFERROR(IF(0=LEN(ReferenceData!$E$129),"",ReferenceData!$E$129),"")</f>
        <v>Expression</v>
      </c>
      <c r="F129">
        <f ca="1">IFERROR(IF(0=LEN(ReferenceData!$F$129),"",ReferenceData!$F$129),"")</f>
        <v>186.37799999999999</v>
      </c>
      <c r="G129">
        <f ca="1">IFERROR(IF(0=LEN(ReferenceData!$G$129),"",ReferenceData!$G$129),"")</f>
        <v>84.763999999999996</v>
      </c>
      <c r="H129">
        <f ca="1">IFERROR(IF(0=LEN(ReferenceData!$H$129),"",ReferenceData!$H$129),"")</f>
        <v>55.387999999999998</v>
      </c>
      <c r="I129">
        <f ca="1">IFERROR(IF(0=LEN(ReferenceData!$I$129),"",ReferenceData!$I$129),"")</f>
        <v>49.51</v>
      </c>
      <c r="J129">
        <f ca="1">IFERROR(IF(0=LEN(ReferenceData!$J$129),"",ReferenceData!$J$129),"")</f>
        <v>37.789000000000001</v>
      </c>
      <c r="K129">
        <f ca="1">IFERROR(IF(0=LEN(ReferenceData!$K$129),"",ReferenceData!$K$129),"")</f>
        <v>34.737000000000002</v>
      </c>
      <c r="L129">
        <f ca="1">IFERROR(IF(0=LEN(ReferenceData!$L$129),"",ReferenceData!$L$129),"")</f>
        <v>1783.94</v>
      </c>
      <c r="M129">
        <f ca="1">IFERROR(IF(0=LEN(ReferenceData!$M$129),"",ReferenceData!$M$129),"")</f>
        <v>45.15</v>
      </c>
      <c r="N129">
        <f ca="1">IFERROR(IF(0=LEN(ReferenceData!$N$129),"",ReferenceData!$N$129),"")</f>
        <v>-137.9</v>
      </c>
      <c r="O129">
        <f ca="1">IFERROR(IF(0=LEN(ReferenceData!$O$129),"",ReferenceData!$O$129),"")</f>
        <v>76.099999999999994</v>
      </c>
      <c r="P129">
        <f ca="1">IFERROR(IF(0=LEN(ReferenceData!$P$129),"",ReferenceData!$P$129),"")</f>
        <v>336.31700000000001</v>
      </c>
      <c r="Q129">
        <f ca="1">IFERROR(IF(0=LEN(ReferenceData!$Q$129),"",ReferenceData!$Q$129),"")</f>
        <v>749</v>
      </c>
      <c r="R129">
        <f ca="1">IFERROR(IF(0=LEN(ReferenceData!$R$129),"",ReferenceData!$R$129),"")</f>
        <v>651.79999999999995</v>
      </c>
      <c r="S129">
        <f ca="1">IFERROR(IF(0=LEN(ReferenceData!$S$129),"",ReferenceData!$S$129),"")</f>
        <v>-15.2</v>
      </c>
      <c r="T129">
        <f ca="1">IFERROR(IF(0=LEN(ReferenceData!$T$129),"",ReferenceData!$T$129),"")</f>
        <v>19.102</v>
      </c>
      <c r="U129">
        <f ca="1">IFERROR(IF(0=LEN(ReferenceData!$U$129),"",ReferenceData!$U$129),"")</f>
        <v>155.15</v>
      </c>
      <c r="V129">
        <f ca="1">IFERROR(IF(0=LEN(ReferenceData!$V$129),"",ReferenceData!$V$129),"")</f>
        <v>61.52</v>
      </c>
      <c r="W129">
        <f ca="1">IFERROR(IF(0=LEN(ReferenceData!$W$129),"",ReferenceData!$W$129),"")</f>
        <v>-38.369999999999997</v>
      </c>
      <c r="X129">
        <f ca="1">IFERROR(IF(0=LEN(ReferenceData!$X$129),"",ReferenceData!$X$129),"")</f>
        <v>36.15</v>
      </c>
      <c r="Y129">
        <f ca="1">IFERROR(IF(0=LEN(ReferenceData!$Y$129),"",ReferenceData!$Y$129),"")</f>
        <v>180.3</v>
      </c>
      <c r="Z129">
        <f ca="1">IFERROR(IF(0=LEN(ReferenceData!$Z$129),"",ReferenceData!$Z$129),"")</f>
        <v>266.85000000000002</v>
      </c>
      <c r="AA129">
        <f ca="1">IFERROR(IF(0=LEN(ReferenceData!$AA$129),"",ReferenceData!$AA$129),"")</f>
        <v>75.55</v>
      </c>
      <c r="AB129">
        <f ca="1">IFERROR(IF(0=LEN(ReferenceData!$AB$129),"",ReferenceData!$AB$129),"")</f>
        <v>0</v>
      </c>
      <c r="AC129">
        <f ca="1">IFERROR(IF(0=LEN(ReferenceData!$AC$129),"",ReferenceData!$AC$129),"")</f>
        <v>26.6</v>
      </c>
      <c r="AD129">
        <f ca="1">IFERROR(IF(0=LEN(ReferenceData!$AD$129),"",ReferenceData!$AD$129),"")</f>
        <v>486.7</v>
      </c>
      <c r="AE129">
        <f ca="1">IFERROR(IF(0=LEN(ReferenceData!$AE$129),"",ReferenceData!$AE$129),"")</f>
        <v>1059.0999999999999</v>
      </c>
      <c r="AF129">
        <f ca="1">IFERROR(IF(0=LEN(ReferenceData!$AF$129),"",ReferenceData!$AF$129),"")</f>
        <v>162.80000000000001</v>
      </c>
      <c r="AG129">
        <f ca="1">IFERROR(IF(0=LEN(ReferenceData!$AG$129),"",ReferenceData!$AG$129),"")</f>
        <v>0</v>
      </c>
      <c r="AH129">
        <f ca="1">IFERROR(IF(0=LEN(ReferenceData!$AH$129),"",ReferenceData!$AH$129),"")</f>
        <v>24.25</v>
      </c>
      <c r="AI129">
        <f ca="1">IFERROR(IF(0=LEN(ReferenceData!$AI$129),"",ReferenceData!$AI$129),"")</f>
        <v>0</v>
      </c>
      <c r="AJ129">
        <f ca="1">IFERROR(IF(0=LEN(ReferenceData!$AJ$129),"",ReferenceData!$AJ$129),"")</f>
        <v>15.2</v>
      </c>
      <c r="AK129">
        <f ca="1">IFERROR(IF(0=LEN(ReferenceData!$AK$129),"",ReferenceData!$AK$129),"")</f>
        <v>-3.6280000000000001</v>
      </c>
      <c r="AL129">
        <f ca="1">IFERROR(IF(0=LEN(ReferenceData!$AL$129),"",ReferenceData!$AL$129),"")</f>
        <v>0</v>
      </c>
      <c r="AM129">
        <f ca="1">IFERROR(IF(0=LEN(ReferenceData!$AM$129),"",ReferenceData!$AM$129),"")</f>
        <v>-12.4</v>
      </c>
      <c r="AN129">
        <f ca="1">IFERROR(IF(0=LEN(ReferenceData!$AN$129),"",ReferenceData!$AN$129),"")</f>
        <v>-2.2000000000000002</v>
      </c>
      <c r="AO129">
        <f ca="1">IFERROR(IF(0=LEN(ReferenceData!$AO$129),"",ReferenceData!$AO$129),"")</f>
        <v>0</v>
      </c>
      <c r="AP129">
        <f ca="1">IFERROR(IF(0=LEN(ReferenceData!$AP$129),"",ReferenceData!$AP$129),"")</f>
        <v>0</v>
      </c>
      <c r="AQ129">
        <f ca="1">IFERROR(IF(0=LEN(ReferenceData!$AQ$129),"",ReferenceData!$AQ$129),"")</f>
        <v>0</v>
      </c>
      <c r="AR129">
        <f ca="1">IFERROR(IF(0=LEN(ReferenceData!$AR$129),"",ReferenceData!$AR$129),"")</f>
        <v>-2.1</v>
      </c>
      <c r="AS129">
        <f ca="1">IFERROR(IF(0=LEN(ReferenceData!$AS$129),"",ReferenceData!$AS$129),"")</f>
        <v>9.9</v>
      </c>
      <c r="AT129">
        <f ca="1">IFERROR(IF(0=LEN(ReferenceData!$AT$129),"",ReferenceData!$AT$129),"")</f>
        <v>4.7</v>
      </c>
      <c r="AU129">
        <f ca="1">IFERROR(IF(0=LEN(ReferenceData!$AU$129),"",ReferenceData!$AU$129),"")</f>
        <v>-18.600000000000001</v>
      </c>
      <c r="AV129">
        <f ca="1">IFERROR(IF(0=LEN(ReferenceData!$AV$129),"",ReferenceData!$AV$129),"")</f>
        <v>10.9</v>
      </c>
      <c r="AW129">
        <f ca="1">IFERROR(IF(0=LEN(ReferenceData!$AW$129),"",ReferenceData!$AW$129),"")</f>
        <v>-1.8</v>
      </c>
      <c r="AX129">
        <f ca="1">IFERROR(IF(0=LEN(ReferenceData!$AX$129),"",ReferenceData!$AX$129),"")</f>
        <v>26.6</v>
      </c>
      <c r="AY129">
        <f ca="1">IFERROR(IF(0=LEN(ReferenceData!$AY$129),"",ReferenceData!$AY$129),"")</f>
        <v>0</v>
      </c>
      <c r="AZ129">
        <f ca="1">IFERROR(IF(0=LEN(ReferenceData!$AZ$129),"",ReferenceData!$AZ$129),"")</f>
        <v>27.1</v>
      </c>
      <c r="BA129">
        <f ca="1">IFERROR(IF(0=LEN(ReferenceData!$BA$129),"",ReferenceData!$BA$129),"")</f>
        <v>63</v>
      </c>
      <c r="BB129">
        <f ca="1">IFERROR(IF(0=LEN(ReferenceData!$BB$129),"",ReferenceData!$BB$129),"")</f>
        <v>-5.2</v>
      </c>
      <c r="BC129">
        <f ca="1">IFERROR(IF(0=LEN(ReferenceData!$BC$129),"",ReferenceData!$BC$129),"")</f>
        <v>-56.216999999999999</v>
      </c>
      <c r="BD129">
        <f ca="1">IFERROR(IF(0=LEN(ReferenceData!$BD$129),"",ReferenceData!$BD$129),"")</f>
        <v>0.9</v>
      </c>
      <c r="BE129">
        <f ca="1">IFERROR(IF(0=LEN(ReferenceData!$BE$129),"",ReferenceData!$BE$129),"")</f>
        <v>7.3</v>
      </c>
      <c r="BF129">
        <f ca="1">IFERROR(IF(0=LEN(ReferenceData!$BF$129),"",ReferenceData!$BF$129),"")</f>
        <v>187.19300000000001</v>
      </c>
      <c r="BG129">
        <f ca="1">IFERROR(IF(0=LEN(ReferenceData!$BG$129),"",ReferenceData!$BG$129),"")</f>
        <v>-6.7960000000000003</v>
      </c>
      <c r="BH129">
        <f ca="1">IFERROR(IF(0=LEN(ReferenceData!$BH$129),"",ReferenceData!$BH$129),"")</f>
        <v>317.45600000000002</v>
      </c>
      <c r="BI129">
        <f ca="1">IFERROR(IF(0=LEN(ReferenceData!$BI$129),"",ReferenceData!$BI$129),"")</f>
        <v>970.80399999999997</v>
      </c>
      <c r="BJ129">
        <f ca="1">IFERROR(IF(0=LEN(ReferenceData!$BJ$129),"",ReferenceData!$BJ$129),"")</f>
        <v>17.399999999999999</v>
      </c>
      <c r="BK129">
        <f ca="1">IFERROR(IF(0=LEN(ReferenceData!$BK$129),"",ReferenceData!$BK$129),"")</f>
        <v>0</v>
      </c>
      <c r="BL129">
        <f ca="1">IFERROR(IF(0=LEN(ReferenceData!$BL$129),"",ReferenceData!$BL$129),"")</f>
        <v>-27.1</v>
      </c>
      <c r="BM129">
        <f ca="1">IFERROR(IF(0=LEN(ReferenceData!$BM$129),"",ReferenceData!$BM$129),"")</f>
        <v>0</v>
      </c>
    </row>
    <row r="130" spans="1:65">
      <c r="A130" t="str">
        <f>IFERROR(IF(0=LEN(ReferenceData!$A$130),"",ReferenceData!$A$130),"")</f>
        <v xml:space="preserve">    Single Family Rental REITs</v>
      </c>
      <c r="B130" t="str">
        <f>IFERROR(IF(0=LEN(ReferenceData!$B$130),"",ReferenceData!$B$130),"")</f>
        <v>RECFNASF Index</v>
      </c>
      <c r="C130" t="str">
        <f>IFERROR(IF(0=LEN(ReferenceData!$C$130),"",ReferenceData!$C$130),"")</f>
        <v/>
      </c>
      <c r="D130" t="str">
        <f>IFERROR(IF(0=LEN(ReferenceData!$D$130),"",ReferenceData!$D$130),"")</f>
        <v/>
      </c>
      <c r="E130" t="str">
        <f>IFERROR(IF(0=LEN(ReferenceData!$E$130),"",ReferenceData!$E$130),"")</f>
        <v>Expression</v>
      </c>
      <c r="F130">
        <f ca="1">IFERROR(IF(0=LEN(ReferenceData!$F$130),"",ReferenceData!$F$130),"")</f>
        <v>22.637</v>
      </c>
      <c r="G130">
        <f ca="1">IFERROR(IF(0=LEN(ReferenceData!$G$130),"",ReferenceData!$G$130),"")</f>
        <v>204.59700000000001</v>
      </c>
      <c r="H130">
        <f ca="1">IFERROR(IF(0=LEN(ReferenceData!$H$130),"",ReferenceData!$H$130),"")</f>
        <v>972.625</v>
      </c>
      <c r="I130">
        <f ca="1">IFERROR(IF(0=LEN(ReferenceData!$I$130),"",ReferenceData!$I$130),"")</f>
        <v>7.3209999999999997</v>
      </c>
      <c r="J130">
        <f ca="1">IFERROR(IF(0=LEN(ReferenceData!$J$130),"",ReferenceData!$J$130),"")</f>
        <v>151.607</v>
      </c>
      <c r="K130">
        <f ca="1">IFERROR(IF(0=LEN(ReferenceData!$K$130),"",ReferenceData!$K$130),"")</f>
        <v>19.338999999999999</v>
      </c>
      <c r="L130">
        <f ca="1">IFERROR(IF(0=LEN(ReferenceData!$L$130),"",ReferenceData!$L$130),"")</f>
        <v>-82.707999999999998</v>
      </c>
      <c r="M130">
        <f ca="1">IFERROR(IF(0=LEN(ReferenceData!$M$130),"",ReferenceData!$M$130),"")</f>
        <v>6011.0640000000003</v>
      </c>
      <c r="N130">
        <f ca="1">IFERROR(IF(0=LEN(ReferenceData!$N$130),"",ReferenceData!$N$130),"")</f>
        <v>-27.672999999999998</v>
      </c>
      <c r="O130">
        <f ca="1">IFERROR(IF(0=LEN(ReferenceData!$O$130),"",ReferenceData!$O$130),"")</f>
        <v>77.320999999999998</v>
      </c>
      <c r="P130">
        <f ca="1">IFERROR(IF(0=LEN(ReferenceData!$P$130),"",ReferenceData!$P$130),"")</f>
        <v>349.03800000000001</v>
      </c>
      <c r="Q130">
        <f ca="1">IFERROR(IF(0=LEN(ReferenceData!$Q$130),"",ReferenceData!$Q$130),"")</f>
        <v>183.75700000000001</v>
      </c>
      <c r="R130">
        <f ca="1">IFERROR(IF(0=LEN(ReferenceData!$R$130),"",ReferenceData!$R$130),"")</f>
        <v>489.78199999999998</v>
      </c>
      <c r="S130">
        <f ca="1">IFERROR(IF(0=LEN(ReferenceData!$S$130),"",ReferenceData!$S$130),"")</f>
        <v>446.67200000000003</v>
      </c>
      <c r="T130">
        <f ca="1">IFERROR(IF(0=LEN(ReferenceData!$T$130),"",ReferenceData!$T$130),"")</f>
        <v>415.47899999999998</v>
      </c>
      <c r="U130">
        <f ca="1">IFERROR(IF(0=LEN(ReferenceData!$U$130),"",ReferenceData!$U$130),"")</f>
        <v>780.29700000000003</v>
      </c>
      <c r="V130">
        <f ca="1">IFERROR(IF(0=LEN(ReferenceData!$V$130),"",ReferenceData!$V$130),"")</f>
        <v>411.00299999999999</v>
      </c>
      <c r="W130">
        <f ca="1">IFERROR(IF(0=LEN(ReferenceData!$W$130),"",ReferenceData!$W$130),"")</f>
        <v>632.74199999999996</v>
      </c>
      <c r="X130">
        <f ca="1">IFERROR(IF(0=LEN(ReferenceData!$X$130),"",ReferenceData!$X$130),"")</f>
        <v>304.214</v>
      </c>
      <c r="Y130">
        <f ca="1">IFERROR(IF(0=LEN(ReferenceData!$Y$130),"",ReferenceData!$Y$130),"")</f>
        <v>141.13300000000001</v>
      </c>
      <c r="Z130">
        <f ca="1">IFERROR(IF(0=LEN(ReferenceData!$Z$130),"",ReferenceData!$Z$130),"")</f>
        <v>97.954999999999998</v>
      </c>
      <c r="AA130">
        <f ca="1">IFERROR(IF(0=LEN(ReferenceData!$AA$130),"",ReferenceData!$AA$130),"")</f>
        <v>0</v>
      </c>
      <c r="AB130">
        <f ca="1">IFERROR(IF(0=LEN(ReferenceData!$AB$130),"",ReferenceData!$AB$130),"")</f>
        <v>0</v>
      </c>
      <c r="AC130">
        <f ca="1">IFERROR(IF(0=LEN(ReferenceData!$AC$130),"",ReferenceData!$AC$130),"")</f>
        <v>0</v>
      </c>
      <c r="AD130">
        <f ca="1">IFERROR(IF(0=LEN(ReferenceData!$AD$130),"",ReferenceData!$AD$130),"")</f>
        <v>0</v>
      </c>
      <c r="AE130">
        <f ca="1">IFERROR(IF(0=LEN(ReferenceData!$AE$130),"",ReferenceData!$AE$130),"")</f>
        <v>0</v>
      </c>
      <c r="AF130">
        <f ca="1">IFERROR(IF(0=LEN(ReferenceData!$AF$130),"",ReferenceData!$AF$130),"")</f>
        <v>0</v>
      </c>
      <c r="AG130">
        <f ca="1">IFERROR(IF(0=LEN(ReferenceData!$AG$130),"",ReferenceData!$AG$130),"")</f>
        <v>0</v>
      </c>
      <c r="AH130">
        <f ca="1">IFERROR(IF(0=LEN(ReferenceData!$AH$130),"",ReferenceData!$AH$130),"")</f>
        <v>0</v>
      </c>
      <c r="AI130">
        <f ca="1">IFERROR(IF(0=LEN(ReferenceData!$AI$130),"",ReferenceData!$AI$130),"")</f>
        <v>0</v>
      </c>
      <c r="AJ130">
        <f ca="1">IFERROR(IF(0=LEN(ReferenceData!$AJ$130),"",ReferenceData!$AJ$130),"")</f>
        <v>0</v>
      </c>
      <c r="AK130">
        <f ca="1">IFERROR(IF(0=LEN(ReferenceData!$AK$130),"",ReferenceData!$AK$130),"")</f>
        <v>0</v>
      </c>
      <c r="AL130">
        <f ca="1">IFERROR(IF(0=LEN(ReferenceData!$AL$130),"",ReferenceData!$AL$130),"")</f>
        <v>0</v>
      </c>
      <c r="AM130">
        <f ca="1">IFERROR(IF(0=LEN(ReferenceData!$AM$130),"",ReferenceData!$AM$130),"")</f>
        <v>0</v>
      </c>
      <c r="AN130">
        <f ca="1">IFERROR(IF(0=LEN(ReferenceData!$AN$130),"",ReferenceData!$AN$130),"")</f>
        <v>0</v>
      </c>
      <c r="AO130">
        <f ca="1">IFERROR(IF(0=LEN(ReferenceData!$AO$130),"",ReferenceData!$AO$130),"")</f>
        <v>0</v>
      </c>
      <c r="AP130">
        <f ca="1">IFERROR(IF(0=LEN(ReferenceData!$AP$130),"",ReferenceData!$AP$130),"")</f>
        <v>0</v>
      </c>
      <c r="AQ130">
        <f ca="1">IFERROR(IF(0=LEN(ReferenceData!$AQ$130),"",ReferenceData!$AQ$130),"")</f>
        <v>0</v>
      </c>
      <c r="AR130">
        <f ca="1">IFERROR(IF(0=LEN(ReferenceData!$AR$130),"",ReferenceData!$AR$130),"")</f>
        <v>0</v>
      </c>
      <c r="AS130">
        <f ca="1">IFERROR(IF(0=LEN(ReferenceData!$AS$130),"",ReferenceData!$AS$130),"")</f>
        <v>0</v>
      </c>
      <c r="AT130">
        <f ca="1">IFERROR(IF(0=LEN(ReferenceData!$AT$130),"",ReferenceData!$AT$130),"")</f>
        <v>0</v>
      </c>
      <c r="AU130">
        <f ca="1">IFERROR(IF(0=LEN(ReferenceData!$AU$130),"",ReferenceData!$AU$130),"")</f>
        <v>0</v>
      </c>
      <c r="AV130">
        <f ca="1">IFERROR(IF(0=LEN(ReferenceData!$AV$130),"",ReferenceData!$AV$130),"")</f>
        <v>0</v>
      </c>
      <c r="AW130">
        <f ca="1">IFERROR(IF(0=LEN(ReferenceData!$AW$130),"",ReferenceData!$AW$130),"")</f>
        <v>0</v>
      </c>
      <c r="AX130">
        <f ca="1">IFERROR(IF(0=LEN(ReferenceData!$AX$130),"",ReferenceData!$AX$130),"")</f>
        <v>0</v>
      </c>
      <c r="AY130">
        <f ca="1">IFERROR(IF(0=LEN(ReferenceData!$AY$130),"",ReferenceData!$AY$130),"")</f>
        <v>0</v>
      </c>
      <c r="AZ130">
        <f ca="1">IFERROR(IF(0=LEN(ReferenceData!$AZ$130),"",ReferenceData!$AZ$130),"")</f>
        <v>0</v>
      </c>
      <c r="BA130">
        <f ca="1">IFERROR(IF(0=LEN(ReferenceData!$BA$130),"",ReferenceData!$BA$130),"")</f>
        <v>0</v>
      </c>
      <c r="BB130">
        <f ca="1">IFERROR(IF(0=LEN(ReferenceData!$BB$130),"",ReferenceData!$BB$130),"")</f>
        <v>0</v>
      </c>
      <c r="BC130">
        <f ca="1">IFERROR(IF(0=LEN(ReferenceData!$BC$130),"",ReferenceData!$BC$130),"")</f>
        <v>0</v>
      </c>
      <c r="BD130">
        <f ca="1">IFERROR(IF(0=LEN(ReferenceData!$BD$130),"",ReferenceData!$BD$130),"")</f>
        <v>0</v>
      </c>
      <c r="BE130">
        <f ca="1">IFERROR(IF(0=LEN(ReferenceData!$BE$130),"",ReferenceData!$BE$130),"")</f>
        <v>0</v>
      </c>
      <c r="BF130">
        <f ca="1">IFERROR(IF(0=LEN(ReferenceData!$BF$130),"",ReferenceData!$BF$130),"")</f>
        <v>0</v>
      </c>
      <c r="BG130">
        <f ca="1">IFERROR(IF(0=LEN(ReferenceData!$BG$130),"",ReferenceData!$BG$130),"")</f>
        <v>0</v>
      </c>
      <c r="BH130">
        <f ca="1">IFERROR(IF(0=LEN(ReferenceData!$BH$130),"",ReferenceData!$BH$130),"")</f>
        <v>0</v>
      </c>
      <c r="BI130">
        <f ca="1">IFERROR(IF(0=LEN(ReferenceData!$BI$130),"",ReferenceData!$BI$130),"")</f>
        <v>0</v>
      </c>
      <c r="BJ130">
        <f ca="1">IFERROR(IF(0=LEN(ReferenceData!$BJ$130),"",ReferenceData!$BJ$130),"")</f>
        <v>0</v>
      </c>
      <c r="BK130">
        <f ca="1">IFERROR(IF(0=LEN(ReferenceData!$BK$130),"",ReferenceData!$BK$130),"")</f>
        <v>0</v>
      </c>
      <c r="BL130">
        <f ca="1">IFERROR(IF(0=LEN(ReferenceData!$BL$130),"",ReferenceData!$BL$130),"")</f>
        <v>0</v>
      </c>
      <c r="BM130">
        <f ca="1">IFERROR(IF(0=LEN(ReferenceData!$BM$130),"",ReferenceData!$BM$130),"")</f>
        <v>0</v>
      </c>
    </row>
    <row r="131" spans="1:65">
      <c r="A131" t="str">
        <f>IFERROR(IF(0=LEN(ReferenceData!$A$131),"",ReferenceData!$A$131),"")</f>
        <v xml:space="preserve">    Diversified REITs</v>
      </c>
      <c r="B131" t="str">
        <f>IFERROR(IF(0=LEN(ReferenceData!$B$131),"",ReferenceData!$B$131),"")</f>
        <v>RECFNADV Index</v>
      </c>
      <c r="C131" t="str">
        <f>IFERROR(IF(0=LEN(ReferenceData!$C$131),"",ReferenceData!$C$131),"")</f>
        <v/>
      </c>
      <c r="D131" t="str">
        <f>IFERROR(IF(0=LEN(ReferenceData!$D$131),"",ReferenceData!$D$131),"")</f>
        <v/>
      </c>
      <c r="E131" t="str">
        <f>IFERROR(IF(0=LEN(ReferenceData!$E$131),"",ReferenceData!$E$131),"")</f>
        <v>Expression</v>
      </c>
      <c r="F131">
        <f ca="1">IFERROR(IF(0=LEN(ReferenceData!$F$131),"",ReferenceData!$F$131),"")</f>
        <v>305.33199999999999</v>
      </c>
      <c r="G131">
        <f ca="1">IFERROR(IF(0=LEN(ReferenceData!$G$131),"",ReferenceData!$G$131),"")</f>
        <v>-4649.2020000000002</v>
      </c>
      <c r="H131">
        <f ca="1">IFERROR(IF(0=LEN(ReferenceData!$H$131),"",ReferenceData!$H$131),"")</f>
        <v>765.19</v>
      </c>
      <c r="I131">
        <f ca="1">IFERROR(IF(0=LEN(ReferenceData!$I$131),"",ReferenceData!$I$131),"")</f>
        <v>-2263.2449999999999</v>
      </c>
      <c r="J131">
        <f ca="1">IFERROR(IF(0=LEN(ReferenceData!$J$131),"",ReferenceData!$J$131),"")</f>
        <v>98.328999999999994</v>
      </c>
      <c r="K131">
        <f ca="1">IFERROR(IF(0=LEN(ReferenceData!$K$131),"",ReferenceData!$K$131),"")</f>
        <v>-1533.799</v>
      </c>
      <c r="L131">
        <f ca="1">IFERROR(IF(0=LEN(ReferenceData!$L$131),"",ReferenceData!$L$131),"")</f>
        <v>-137.387</v>
      </c>
      <c r="M131">
        <f ca="1">IFERROR(IF(0=LEN(ReferenceData!$M$131),"",ReferenceData!$M$131),"")</f>
        <v>-1348.942</v>
      </c>
      <c r="N131">
        <f ca="1">IFERROR(IF(0=LEN(ReferenceData!$N$131),"",ReferenceData!$N$131),"")</f>
        <v>-1169.241</v>
      </c>
      <c r="O131">
        <f ca="1">IFERROR(IF(0=LEN(ReferenceData!$O$131),"",ReferenceData!$O$131),"")</f>
        <v>685.995</v>
      </c>
      <c r="P131">
        <f ca="1">IFERROR(IF(0=LEN(ReferenceData!$P$131),"",ReferenceData!$P$131),"")</f>
        <v>3235.6419999999998</v>
      </c>
      <c r="Q131">
        <f ca="1">IFERROR(IF(0=LEN(ReferenceData!$Q$131),"",ReferenceData!$Q$131),"")</f>
        <v>4102.1940000000004</v>
      </c>
      <c r="R131">
        <f ca="1">IFERROR(IF(0=LEN(ReferenceData!$R$131),"",ReferenceData!$R$131),"")</f>
        <v>7205.1570000000002</v>
      </c>
      <c r="S131">
        <f ca="1">IFERROR(IF(0=LEN(ReferenceData!$S$131),"",ReferenceData!$S$131),"")</f>
        <v>-154.47900000000001</v>
      </c>
      <c r="T131">
        <f ca="1">IFERROR(IF(0=LEN(ReferenceData!$T$131),"",ReferenceData!$T$131),"")</f>
        <v>287.35500000000002</v>
      </c>
      <c r="U131">
        <f ca="1">IFERROR(IF(0=LEN(ReferenceData!$U$131),"",ReferenceData!$U$131),"")</f>
        <v>1840.251</v>
      </c>
      <c r="V131">
        <f ca="1">IFERROR(IF(0=LEN(ReferenceData!$V$131),"",ReferenceData!$V$131),"")</f>
        <v>847.36199999999997</v>
      </c>
      <c r="W131">
        <f ca="1">IFERROR(IF(0=LEN(ReferenceData!$W$131),"",ReferenceData!$W$131),"")</f>
        <v>2506.431</v>
      </c>
      <c r="X131">
        <f ca="1">IFERROR(IF(0=LEN(ReferenceData!$X$131),"",ReferenceData!$X$131),"")</f>
        <v>-990.25199999999995</v>
      </c>
      <c r="Y131">
        <f ca="1">IFERROR(IF(0=LEN(ReferenceData!$Y$131),"",ReferenceData!$Y$131),"")</f>
        <v>-130.29300000000001</v>
      </c>
      <c r="Z131">
        <f ca="1">IFERROR(IF(0=LEN(ReferenceData!$Z$131),"",ReferenceData!$Z$131),"")</f>
        <v>1273.1410000000001</v>
      </c>
      <c r="AA131">
        <f ca="1">IFERROR(IF(0=LEN(ReferenceData!$AA$131),"",ReferenceData!$AA$131),"")</f>
        <v>888.18600000000004</v>
      </c>
      <c r="AB131">
        <f ca="1">IFERROR(IF(0=LEN(ReferenceData!$AB$131),"",ReferenceData!$AB$131),"")</f>
        <v>98.484999999999999</v>
      </c>
      <c r="AC131">
        <f ca="1">IFERROR(IF(0=LEN(ReferenceData!$AC$131),"",ReferenceData!$AC$131),"")</f>
        <v>-122.444</v>
      </c>
      <c r="AD131">
        <f ca="1">IFERROR(IF(0=LEN(ReferenceData!$AD$131),"",ReferenceData!$AD$131),"")</f>
        <v>79.429000000000002</v>
      </c>
      <c r="AE131">
        <f ca="1">IFERROR(IF(0=LEN(ReferenceData!$AE$131),"",ReferenceData!$AE$131),"")</f>
        <v>33.970999999999997</v>
      </c>
      <c r="AF131">
        <f ca="1">IFERROR(IF(0=LEN(ReferenceData!$AF$131),"",ReferenceData!$AF$131),"")</f>
        <v>61.523000000000003</v>
      </c>
      <c r="AG131">
        <f ca="1">IFERROR(IF(0=LEN(ReferenceData!$AG$131),"",ReferenceData!$AG$131),"")</f>
        <v>262.738</v>
      </c>
      <c r="AH131">
        <f ca="1">IFERROR(IF(0=LEN(ReferenceData!$AH$131),"",ReferenceData!$AH$131),"")</f>
        <v>106.95399999999999</v>
      </c>
      <c r="AI131">
        <f ca="1">IFERROR(IF(0=LEN(ReferenceData!$AI$131),"",ReferenceData!$AI$131),"")</f>
        <v>-132.119</v>
      </c>
      <c r="AJ131">
        <f ca="1">IFERROR(IF(0=LEN(ReferenceData!$AJ$131),"",ReferenceData!$AJ$131),"")</f>
        <v>16.503</v>
      </c>
      <c r="AK131">
        <f ca="1">IFERROR(IF(0=LEN(ReferenceData!$AK$131),"",ReferenceData!$AK$131),"")</f>
        <v>28.597999999999999</v>
      </c>
      <c r="AL131">
        <f ca="1">IFERROR(IF(0=LEN(ReferenceData!$AL$131),"",ReferenceData!$AL$131),"")</f>
        <v>-65.756</v>
      </c>
      <c r="AM131">
        <f ca="1">IFERROR(IF(0=LEN(ReferenceData!$AM$131),"",ReferenceData!$AM$131),"")</f>
        <v>-2.84</v>
      </c>
      <c r="AN131">
        <f ca="1">IFERROR(IF(0=LEN(ReferenceData!$AN$131),"",ReferenceData!$AN$131),"")</f>
        <v>-111.54300000000001</v>
      </c>
      <c r="AO131">
        <f ca="1">IFERROR(IF(0=LEN(ReferenceData!$AO$131),"",ReferenceData!$AO$131),"")</f>
        <v>3.8170000000000002</v>
      </c>
      <c r="AP131">
        <f ca="1">IFERROR(IF(0=LEN(ReferenceData!$AP$131),"",ReferenceData!$AP$131),"")</f>
        <v>1.0580000000000001</v>
      </c>
      <c r="AQ131">
        <f ca="1">IFERROR(IF(0=LEN(ReferenceData!$AQ$131),"",ReferenceData!$AQ$131),"")</f>
        <v>195.58199999999999</v>
      </c>
      <c r="AR131">
        <f ca="1">IFERROR(IF(0=LEN(ReferenceData!$AR$131),"",ReferenceData!$AR$131),"")</f>
        <v>-99.843000000000004</v>
      </c>
      <c r="AS131">
        <f ca="1">IFERROR(IF(0=LEN(ReferenceData!$AS$131),"",ReferenceData!$AS$131),"")</f>
        <v>-303.05200000000002</v>
      </c>
      <c r="AT131">
        <f ca="1">IFERROR(IF(0=LEN(ReferenceData!$AT$131),"",ReferenceData!$AT$131),"")</f>
        <v>-94.602999999999994</v>
      </c>
      <c r="AU131">
        <f ca="1">IFERROR(IF(0=LEN(ReferenceData!$AU$131),"",ReferenceData!$AU$131),"")</f>
        <v>-109.917</v>
      </c>
      <c r="AV131">
        <f ca="1">IFERROR(IF(0=LEN(ReferenceData!$AV$131),"",ReferenceData!$AV$131),"")</f>
        <v>1260.703</v>
      </c>
      <c r="AW131">
        <f ca="1">IFERROR(IF(0=LEN(ReferenceData!$AW$131),"",ReferenceData!$AW$131),"")</f>
        <v>1272.6559999999999</v>
      </c>
      <c r="AX131">
        <f ca="1">IFERROR(IF(0=LEN(ReferenceData!$AX$131),"",ReferenceData!$AX$131),"")</f>
        <v>797.57600000000002</v>
      </c>
      <c r="AY131">
        <f ca="1">IFERROR(IF(0=LEN(ReferenceData!$AY$131),"",ReferenceData!$AY$131),"")</f>
        <v>63.561999999999998</v>
      </c>
      <c r="AZ131">
        <f ca="1">IFERROR(IF(0=LEN(ReferenceData!$AZ$131),"",ReferenceData!$AZ$131),"")</f>
        <v>1305.047</v>
      </c>
      <c r="BA131">
        <f ca="1">IFERROR(IF(0=LEN(ReferenceData!$BA$131),"",ReferenceData!$BA$131),"")</f>
        <v>326.68099999999998</v>
      </c>
      <c r="BB131">
        <f ca="1">IFERROR(IF(0=LEN(ReferenceData!$BB$131),"",ReferenceData!$BB$131),"")</f>
        <v>88.19</v>
      </c>
      <c r="BC131">
        <f ca="1">IFERROR(IF(0=LEN(ReferenceData!$BC$131),"",ReferenceData!$BC$131),"")</f>
        <v>624.61</v>
      </c>
      <c r="BD131">
        <f ca="1">IFERROR(IF(0=LEN(ReferenceData!$BD$131),"",ReferenceData!$BD$131),"")</f>
        <v>1228.9159999999999</v>
      </c>
      <c r="BE131">
        <f ca="1">IFERROR(IF(0=LEN(ReferenceData!$BE$131),"",ReferenceData!$BE$131),"")</f>
        <v>-27.876000000000001</v>
      </c>
      <c r="BF131">
        <f ca="1">IFERROR(IF(0=LEN(ReferenceData!$BF$131),"",ReferenceData!$BF$131),"")</f>
        <v>731.71500000000003</v>
      </c>
      <c r="BG131">
        <f ca="1">IFERROR(IF(0=LEN(ReferenceData!$BG$131),"",ReferenceData!$BG$131),"")</f>
        <v>631.221</v>
      </c>
      <c r="BH131">
        <f ca="1">IFERROR(IF(0=LEN(ReferenceData!$BH$131),"",ReferenceData!$BH$131),"")</f>
        <v>88.424000000000007</v>
      </c>
      <c r="BI131">
        <f ca="1">IFERROR(IF(0=LEN(ReferenceData!$BI$131),"",ReferenceData!$BI$131),"")</f>
        <v>295.75799999999998</v>
      </c>
      <c r="BJ131">
        <f ca="1">IFERROR(IF(0=LEN(ReferenceData!$BJ$131),"",ReferenceData!$BJ$131),"")</f>
        <v>-140.041</v>
      </c>
      <c r="BK131">
        <f ca="1">IFERROR(IF(0=LEN(ReferenceData!$BK$131),"",ReferenceData!$BK$131),"")</f>
        <v>0</v>
      </c>
      <c r="BL131">
        <f ca="1">IFERROR(IF(0=LEN(ReferenceData!$BL$131),"",ReferenceData!$BL$131),"")</f>
        <v>30</v>
      </c>
      <c r="BM131">
        <f ca="1">IFERROR(IF(0=LEN(ReferenceData!$BM$131),"",ReferenceData!$BM$131),"")</f>
        <v>-154.75200000000001</v>
      </c>
    </row>
    <row r="132" spans="1:65">
      <c r="A132" t="str">
        <f>IFERROR(IF(0=LEN(ReferenceData!$A$132),"",ReferenceData!$A$132),"")</f>
        <v xml:space="preserve">    Lodging/Resort REITs</v>
      </c>
      <c r="B132" t="str">
        <f>IFERROR(IF(0=LEN(ReferenceData!$B$132),"",ReferenceData!$B$132),"")</f>
        <v>RECFNALR Index</v>
      </c>
      <c r="C132" t="str">
        <f>IFERROR(IF(0=LEN(ReferenceData!$C$132),"",ReferenceData!$C$132),"")</f>
        <v/>
      </c>
      <c r="D132" t="str">
        <f>IFERROR(IF(0=LEN(ReferenceData!$D$132),"",ReferenceData!$D$132),"")</f>
        <v/>
      </c>
      <c r="E132" t="str">
        <f>IFERROR(IF(0=LEN(ReferenceData!$E$132),"",ReferenceData!$E$132),"")</f>
        <v>Expression</v>
      </c>
      <c r="F132">
        <f ca="1">IFERROR(IF(0=LEN(ReferenceData!$F$132),"",ReferenceData!$F$132),"")</f>
        <v>468.8</v>
      </c>
      <c r="G132">
        <f ca="1">IFERROR(IF(0=LEN(ReferenceData!$G$132),"",ReferenceData!$G$132),"")</f>
        <v>677.57799999999997</v>
      </c>
      <c r="H132">
        <f ca="1">IFERROR(IF(0=LEN(ReferenceData!$H$132),"",ReferenceData!$H$132),"")</f>
        <v>-30.861999999999998</v>
      </c>
      <c r="I132">
        <f ca="1">IFERROR(IF(0=LEN(ReferenceData!$I$132),"",ReferenceData!$I$132),"")</f>
        <v>500.58100000000002</v>
      </c>
      <c r="J132">
        <f ca="1">IFERROR(IF(0=LEN(ReferenceData!$J$132),"",ReferenceData!$J$132),"")</f>
        <v>-284.01600000000002</v>
      </c>
      <c r="K132">
        <f ca="1">IFERROR(IF(0=LEN(ReferenceData!$K$132),"",ReferenceData!$K$132),"")</f>
        <v>831.88800000000003</v>
      </c>
      <c r="L132">
        <f ca="1">IFERROR(IF(0=LEN(ReferenceData!$L$132),"",ReferenceData!$L$132),"")</f>
        <v>-1479.2840000000001</v>
      </c>
      <c r="M132">
        <f ca="1">IFERROR(IF(0=LEN(ReferenceData!$M$132),"",ReferenceData!$M$132),"")</f>
        <v>262.72399999999999</v>
      </c>
      <c r="N132">
        <f ca="1">IFERROR(IF(0=LEN(ReferenceData!$N$132),"",ReferenceData!$N$132),"")</f>
        <v>-1099.086</v>
      </c>
      <c r="O132">
        <f ca="1">IFERROR(IF(0=LEN(ReferenceData!$O$132),"",ReferenceData!$O$132),"")</f>
        <v>1120.5170000000001</v>
      </c>
      <c r="P132">
        <f ca="1">IFERROR(IF(0=LEN(ReferenceData!$P$132),"",ReferenceData!$P$132),"")</f>
        <v>1398.992</v>
      </c>
      <c r="Q132">
        <f ca="1">IFERROR(IF(0=LEN(ReferenceData!$Q$132),"",ReferenceData!$Q$132),"")</f>
        <v>1225.098</v>
      </c>
      <c r="R132">
        <f ca="1">IFERROR(IF(0=LEN(ReferenceData!$R$132),"",ReferenceData!$R$132),"")</f>
        <v>1535.6980000000001</v>
      </c>
      <c r="S132">
        <f ca="1">IFERROR(IF(0=LEN(ReferenceData!$S$132),"",ReferenceData!$S$132),"")</f>
        <v>939.66200000000003</v>
      </c>
      <c r="T132">
        <f ca="1">IFERROR(IF(0=LEN(ReferenceData!$T$132),"",ReferenceData!$T$132),"")</f>
        <v>551.31500000000005</v>
      </c>
      <c r="U132">
        <f ca="1">IFERROR(IF(0=LEN(ReferenceData!$U$132),"",ReferenceData!$U$132),"")</f>
        <v>158.209</v>
      </c>
      <c r="V132">
        <f ca="1">IFERROR(IF(0=LEN(ReferenceData!$V$132),"",ReferenceData!$V$132),"")</f>
        <v>166.23500000000001</v>
      </c>
      <c r="W132">
        <f ca="1">IFERROR(IF(0=LEN(ReferenceData!$W$132),"",ReferenceData!$W$132),"")</f>
        <v>779.3</v>
      </c>
      <c r="X132">
        <f ca="1">IFERROR(IF(0=LEN(ReferenceData!$X$132),"",ReferenceData!$X$132),"")</f>
        <v>1033.277</v>
      </c>
      <c r="Y132">
        <f ca="1">IFERROR(IF(0=LEN(ReferenceData!$Y$132),"",ReferenceData!$Y$132),"")</f>
        <v>10.401</v>
      </c>
      <c r="Z132">
        <f ca="1">IFERROR(IF(0=LEN(ReferenceData!$Z$132),"",ReferenceData!$Z$132),"")</f>
        <v>1234.259</v>
      </c>
      <c r="AA132">
        <f ca="1">IFERROR(IF(0=LEN(ReferenceData!$AA$132),"",ReferenceData!$AA$132),"")</f>
        <v>1540.585</v>
      </c>
      <c r="AB132">
        <f ca="1">IFERROR(IF(0=LEN(ReferenceData!$AB$132),"",ReferenceData!$AB$132),"")</f>
        <v>275.154</v>
      </c>
      <c r="AC132">
        <f ca="1">IFERROR(IF(0=LEN(ReferenceData!$AC$132),"",ReferenceData!$AC$132),"")</f>
        <v>-25.193999999999999</v>
      </c>
      <c r="AD132">
        <f ca="1">IFERROR(IF(0=LEN(ReferenceData!$AD$132),"",ReferenceData!$AD$132),"")</f>
        <v>1687.5920000000001</v>
      </c>
      <c r="AE132">
        <f ca="1">IFERROR(IF(0=LEN(ReferenceData!$AE$132),"",ReferenceData!$AE$132),"")</f>
        <v>1208.56</v>
      </c>
      <c r="AF132">
        <f ca="1">IFERROR(IF(0=LEN(ReferenceData!$AF$132),"",ReferenceData!$AF$132),"")</f>
        <v>1558.145</v>
      </c>
      <c r="AG132">
        <f ca="1">IFERROR(IF(0=LEN(ReferenceData!$AG$132),"",ReferenceData!$AG$132),"")</f>
        <v>2240.4679999999998</v>
      </c>
      <c r="AH132">
        <f ca="1">IFERROR(IF(0=LEN(ReferenceData!$AH$132),"",ReferenceData!$AH$132),"")</f>
        <v>-153.46899999999999</v>
      </c>
      <c r="AI132">
        <f ca="1">IFERROR(IF(0=LEN(ReferenceData!$AI$132),"",ReferenceData!$AI$132),"")</f>
        <v>1158.7660000000001</v>
      </c>
      <c r="AJ132">
        <f ca="1">IFERROR(IF(0=LEN(ReferenceData!$AJ$132),"",ReferenceData!$AJ$132),"")</f>
        <v>303.54599999999999</v>
      </c>
      <c r="AK132">
        <f ca="1">IFERROR(IF(0=LEN(ReferenceData!$AK$132),"",ReferenceData!$AK$132),"")</f>
        <v>248.566</v>
      </c>
      <c r="AL132">
        <f ca="1">IFERROR(IF(0=LEN(ReferenceData!$AL$132),"",ReferenceData!$AL$132),"")</f>
        <v>-128.12700000000001</v>
      </c>
      <c r="AM132">
        <f ca="1">IFERROR(IF(0=LEN(ReferenceData!$AM$132),"",ReferenceData!$AM$132),"")</f>
        <v>-140.55000000000001</v>
      </c>
      <c r="AN132">
        <f ca="1">IFERROR(IF(0=LEN(ReferenceData!$AN$132),"",ReferenceData!$AN$132),"")</f>
        <v>8.4</v>
      </c>
      <c r="AO132">
        <f ca="1">IFERROR(IF(0=LEN(ReferenceData!$AO$132),"",ReferenceData!$AO$132),"")</f>
        <v>-116.9</v>
      </c>
      <c r="AP132">
        <f ca="1">IFERROR(IF(0=LEN(ReferenceData!$AP$132),"",ReferenceData!$AP$132),"")</f>
        <v>-137.19999999999999</v>
      </c>
      <c r="AQ132">
        <f ca="1">IFERROR(IF(0=LEN(ReferenceData!$AQ$132),"",ReferenceData!$AQ$132),"")</f>
        <v>-134.6</v>
      </c>
      <c r="AR132">
        <f ca="1">IFERROR(IF(0=LEN(ReferenceData!$AR$132),"",ReferenceData!$AR$132),"")</f>
        <v>-422.24099999999999</v>
      </c>
      <c r="AS132">
        <f ca="1">IFERROR(IF(0=LEN(ReferenceData!$AS$132),"",ReferenceData!$AS$132),"")</f>
        <v>-17.856999999999999</v>
      </c>
      <c r="AT132">
        <f ca="1">IFERROR(IF(0=LEN(ReferenceData!$AT$132),"",ReferenceData!$AT$132),"")</f>
        <v>-119.3</v>
      </c>
      <c r="AU132">
        <f ca="1">IFERROR(IF(0=LEN(ReferenceData!$AU$132),"",ReferenceData!$AU$132),"")</f>
        <v>-12.775</v>
      </c>
      <c r="AV132">
        <f ca="1">IFERROR(IF(0=LEN(ReferenceData!$AV$132),"",ReferenceData!$AV$132),"")</f>
        <v>2541.8000000000002</v>
      </c>
      <c r="AW132">
        <f ca="1">IFERROR(IF(0=LEN(ReferenceData!$AW$132),"",ReferenceData!$AW$132),"")</f>
        <v>3254.5239999999999</v>
      </c>
      <c r="AX132">
        <f ca="1">IFERROR(IF(0=LEN(ReferenceData!$AX$132),"",ReferenceData!$AX$132),"")</f>
        <v>1016.023</v>
      </c>
      <c r="AY132">
        <f ca="1">IFERROR(IF(0=LEN(ReferenceData!$AY$132),"",ReferenceData!$AY$132),"")</f>
        <v>378.56299999999999</v>
      </c>
      <c r="AZ132">
        <f ca="1">IFERROR(IF(0=LEN(ReferenceData!$AZ$132),"",ReferenceData!$AZ$132),"")</f>
        <v>4003.6579999999999</v>
      </c>
      <c r="BA132">
        <f ca="1">IFERROR(IF(0=LEN(ReferenceData!$BA$132),"",ReferenceData!$BA$132),"")</f>
        <v>709.74699999999996</v>
      </c>
      <c r="BB132">
        <f ca="1">IFERROR(IF(0=LEN(ReferenceData!$BB$132),"",ReferenceData!$BB$132),"")</f>
        <v>1189.692</v>
      </c>
      <c r="BC132">
        <f ca="1">IFERROR(IF(0=LEN(ReferenceData!$BC$132),"",ReferenceData!$BC$132),"")</f>
        <v>921.33799999999997</v>
      </c>
      <c r="BD132">
        <f ca="1">IFERROR(IF(0=LEN(ReferenceData!$BD$132),"",ReferenceData!$BD$132),"")</f>
        <v>1940.2809999999999</v>
      </c>
      <c r="BE132">
        <f ca="1">IFERROR(IF(0=LEN(ReferenceData!$BE$132),"",ReferenceData!$BE$132),"")</f>
        <v>589.12800000000004</v>
      </c>
      <c r="BF132">
        <f ca="1">IFERROR(IF(0=LEN(ReferenceData!$BF$132),"",ReferenceData!$BF$132),"")</f>
        <v>138.12200000000001</v>
      </c>
      <c r="BG132">
        <f ca="1">IFERROR(IF(0=LEN(ReferenceData!$BG$132),"",ReferenceData!$BG$132),"")</f>
        <v>861.94600000000003</v>
      </c>
      <c r="BH132">
        <f ca="1">IFERROR(IF(0=LEN(ReferenceData!$BH$132),"",ReferenceData!$BH$132),"")</f>
        <v>439.142</v>
      </c>
      <c r="BI132">
        <f ca="1">IFERROR(IF(0=LEN(ReferenceData!$BI$132),"",ReferenceData!$BI$132),"")</f>
        <v>5.9509999999999996</v>
      </c>
      <c r="BJ132">
        <f ca="1">IFERROR(IF(0=LEN(ReferenceData!$BJ$132),"",ReferenceData!$BJ$132),"")</f>
        <v>257.28800000000001</v>
      </c>
      <c r="BK132">
        <f ca="1">IFERROR(IF(0=LEN(ReferenceData!$BK$132),"",ReferenceData!$BK$132),"")</f>
        <v>28.48</v>
      </c>
      <c r="BL132">
        <f ca="1">IFERROR(IF(0=LEN(ReferenceData!$BL$132),"",ReferenceData!$BL$132),"")</f>
        <v>0</v>
      </c>
      <c r="BM132">
        <f ca="1">IFERROR(IF(0=LEN(ReferenceData!$BM$132),"",ReferenceData!$BM$132),"")</f>
        <v>0</v>
      </c>
    </row>
    <row r="133" spans="1:65">
      <c r="A133" t="str">
        <f>IFERROR(IF(0=LEN(ReferenceData!$A$133),"",ReferenceData!$A$133),"")</f>
        <v xml:space="preserve">    Self Storage REITs</v>
      </c>
      <c r="B133" t="str">
        <f>IFERROR(IF(0=LEN(ReferenceData!$B$133),"",ReferenceData!$B$133),"")</f>
        <v>RECFNASS Index</v>
      </c>
      <c r="C133" t="str">
        <f>IFERROR(IF(0=LEN(ReferenceData!$C$133),"",ReferenceData!$C$133),"")</f>
        <v/>
      </c>
      <c r="D133" t="str">
        <f>IFERROR(IF(0=LEN(ReferenceData!$D$133),"",ReferenceData!$D$133),"")</f>
        <v/>
      </c>
      <c r="E133" t="str">
        <f>IFERROR(IF(0=LEN(ReferenceData!$E$133),"",ReferenceData!$E$133),"")</f>
        <v>Expression</v>
      </c>
      <c r="F133">
        <f ca="1">IFERROR(IF(0=LEN(ReferenceData!$F$133),"",ReferenceData!$F$133),"")</f>
        <v>773.31</v>
      </c>
      <c r="G133">
        <f ca="1">IFERROR(IF(0=LEN(ReferenceData!$G$133),"",ReferenceData!$G$133),"")</f>
        <v>251.001</v>
      </c>
      <c r="H133">
        <f ca="1">IFERROR(IF(0=LEN(ReferenceData!$H$133),"",ReferenceData!$H$133),"")</f>
        <v>543.27599999999995</v>
      </c>
      <c r="I133">
        <f ca="1">IFERROR(IF(0=LEN(ReferenceData!$I$133),"",ReferenceData!$I$133),"")</f>
        <v>236.77699999999999</v>
      </c>
      <c r="J133">
        <f ca="1">IFERROR(IF(0=LEN(ReferenceData!$J$133),"",ReferenceData!$J$133),"")</f>
        <v>1515.673</v>
      </c>
      <c r="K133">
        <f ca="1">IFERROR(IF(0=LEN(ReferenceData!$K$133),"",ReferenceData!$K$133),"")</f>
        <v>2032.528</v>
      </c>
      <c r="L133">
        <f ca="1">IFERROR(IF(0=LEN(ReferenceData!$L$133),"",ReferenceData!$L$133),"")</f>
        <v>779.78399999999999</v>
      </c>
      <c r="M133">
        <f ca="1">IFERROR(IF(0=LEN(ReferenceData!$M$133),"",ReferenceData!$M$133),"")</f>
        <v>1084.45</v>
      </c>
      <c r="N133">
        <f ca="1">IFERROR(IF(0=LEN(ReferenceData!$N$133),"",ReferenceData!$N$133),"")</f>
        <v>1737.0229999999999</v>
      </c>
      <c r="O133">
        <f ca="1">IFERROR(IF(0=LEN(ReferenceData!$O$133),"",ReferenceData!$O$133),"")</f>
        <v>255.33</v>
      </c>
      <c r="P133">
        <f ca="1">IFERROR(IF(0=LEN(ReferenceData!$P$133),"",ReferenceData!$P$133),"")</f>
        <v>644</v>
      </c>
      <c r="Q133">
        <f ca="1">IFERROR(IF(0=LEN(ReferenceData!$Q$133),"",ReferenceData!$Q$133),"")</f>
        <v>268.15199999999999</v>
      </c>
      <c r="R133">
        <f ca="1">IFERROR(IF(0=LEN(ReferenceData!$R$133),"",ReferenceData!$R$133),"")</f>
        <v>910.649</v>
      </c>
      <c r="S133">
        <f ca="1">IFERROR(IF(0=LEN(ReferenceData!$S$133),"",ReferenceData!$S$133),"")</f>
        <v>365.90100000000001</v>
      </c>
      <c r="T133">
        <f ca="1">IFERROR(IF(0=LEN(ReferenceData!$T$133),"",ReferenceData!$T$133),"")</f>
        <v>388.14400000000001</v>
      </c>
      <c r="U133">
        <f ca="1">IFERROR(IF(0=LEN(ReferenceData!$U$133),"",ReferenceData!$U$133),"")</f>
        <v>452.13200000000001</v>
      </c>
      <c r="V133">
        <f ca="1">IFERROR(IF(0=LEN(ReferenceData!$V$133),"",ReferenceData!$V$133),"")</f>
        <v>932.36099999999999</v>
      </c>
      <c r="W133">
        <f ca="1">IFERROR(IF(0=LEN(ReferenceData!$W$133),"",ReferenceData!$W$133),"")</f>
        <v>634.96900000000005</v>
      </c>
      <c r="X133">
        <f ca="1">IFERROR(IF(0=LEN(ReferenceData!$X$133),"",ReferenceData!$X$133),"")</f>
        <v>142.852</v>
      </c>
      <c r="Y133">
        <f ca="1">IFERROR(IF(0=LEN(ReferenceData!$Y$133),"",ReferenceData!$Y$133),"")</f>
        <v>50.887</v>
      </c>
      <c r="Z133">
        <f ca="1">IFERROR(IF(0=LEN(ReferenceData!$Z$133),"",ReferenceData!$Z$133),"")</f>
        <v>432.84</v>
      </c>
      <c r="AA133">
        <f ca="1">IFERROR(IF(0=LEN(ReferenceData!$AA$133),"",ReferenceData!$AA$133),"")</f>
        <v>866.53599999999994</v>
      </c>
      <c r="AB133">
        <f ca="1">IFERROR(IF(0=LEN(ReferenceData!$AB$133),"",ReferenceData!$AB$133),"")</f>
        <v>152.70099999999999</v>
      </c>
      <c r="AC133">
        <f ca="1">IFERROR(IF(0=LEN(ReferenceData!$AC$133),"",ReferenceData!$AC$133),"")</f>
        <v>197.76499999999999</v>
      </c>
      <c r="AD133">
        <f ca="1">IFERROR(IF(0=LEN(ReferenceData!$AD$133),"",ReferenceData!$AD$133),"")</f>
        <v>1134.9179999999999</v>
      </c>
      <c r="AE133">
        <f ca="1">IFERROR(IF(0=LEN(ReferenceData!$AE$133),"",ReferenceData!$AE$133),"")</f>
        <v>338.43</v>
      </c>
      <c r="AF133">
        <f ca="1">IFERROR(IF(0=LEN(ReferenceData!$AF$133),"",ReferenceData!$AF$133),"")</f>
        <v>178.745</v>
      </c>
      <c r="AG133">
        <f ca="1">IFERROR(IF(0=LEN(ReferenceData!$AG$133),"",ReferenceData!$AG$133),"")</f>
        <v>33.281999999999996</v>
      </c>
      <c r="AH133">
        <f ca="1">IFERROR(IF(0=LEN(ReferenceData!$AH$133),"",ReferenceData!$AH$133),"")</f>
        <v>245.54499999999999</v>
      </c>
      <c r="AI133">
        <f ca="1">IFERROR(IF(0=LEN(ReferenceData!$AI$133),"",ReferenceData!$AI$133),"")</f>
        <v>100.562</v>
      </c>
      <c r="AJ133">
        <f ca="1">IFERROR(IF(0=LEN(ReferenceData!$AJ$133),"",ReferenceData!$AJ$133),"")</f>
        <v>257.19600000000003</v>
      </c>
      <c r="AK133">
        <f ca="1">IFERROR(IF(0=LEN(ReferenceData!$AK$133),"",ReferenceData!$AK$133),"")</f>
        <v>50</v>
      </c>
      <c r="AL133">
        <f ca="1">IFERROR(IF(0=LEN(ReferenceData!$AL$133),"",ReferenceData!$AL$133),"")</f>
        <v>-10.3</v>
      </c>
      <c r="AM133">
        <f ca="1">IFERROR(IF(0=LEN(ReferenceData!$AM$133),"",ReferenceData!$AM$133),"")</f>
        <v>-80.143000000000001</v>
      </c>
      <c r="AN133">
        <f ca="1">IFERROR(IF(0=LEN(ReferenceData!$AN$133),"",ReferenceData!$AN$133),"")</f>
        <v>-8.75</v>
      </c>
      <c r="AO133">
        <f ca="1">IFERROR(IF(0=LEN(ReferenceData!$AO$133),"",ReferenceData!$AO$133),"")</f>
        <v>4.452</v>
      </c>
      <c r="AP133">
        <f ca="1">IFERROR(IF(0=LEN(ReferenceData!$AP$133),"",ReferenceData!$AP$133),"")</f>
        <v>76.855000000000004</v>
      </c>
      <c r="AQ133">
        <f ca="1">IFERROR(IF(0=LEN(ReferenceData!$AQ$133),"",ReferenceData!$AQ$133),"")</f>
        <v>131.73699999999999</v>
      </c>
      <c r="AR133">
        <f ca="1">IFERROR(IF(0=LEN(ReferenceData!$AR$133),"",ReferenceData!$AR$133),"")</f>
        <v>29.273</v>
      </c>
      <c r="AS133">
        <f ca="1">IFERROR(IF(0=LEN(ReferenceData!$AS$133),"",ReferenceData!$AS$133),"")</f>
        <v>-534.303</v>
      </c>
      <c r="AT133">
        <f ca="1">IFERROR(IF(0=LEN(ReferenceData!$AT$133),"",ReferenceData!$AT$133),"")</f>
        <v>82.56</v>
      </c>
      <c r="AU133">
        <f ca="1">IFERROR(IF(0=LEN(ReferenceData!$AU$133),"",ReferenceData!$AU$133),"")</f>
        <v>229.417</v>
      </c>
      <c r="AV133">
        <f ca="1">IFERROR(IF(0=LEN(ReferenceData!$AV$133),"",ReferenceData!$AV$133),"")</f>
        <v>319.92099999999999</v>
      </c>
      <c r="AW133">
        <f ca="1">IFERROR(IF(0=LEN(ReferenceData!$AW$133),"",ReferenceData!$AW$133),"")</f>
        <v>228.797</v>
      </c>
      <c r="AX133">
        <f ca="1">IFERROR(IF(0=LEN(ReferenceData!$AX$133),"",ReferenceData!$AX$133),"")</f>
        <v>78.33</v>
      </c>
      <c r="AY133">
        <f ca="1">IFERROR(IF(0=LEN(ReferenceData!$AY$133),"",ReferenceData!$AY$133),"")</f>
        <v>291.08</v>
      </c>
      <c r="AZ133">
        <f ca="1">IFERROR(IF(0=LEN(ReferenceData!$AZ$133),"",ReferenceData!$AZ$133),"")</f>
        <v>325.45299999999997</v>
      </c>
      <c r="BA133">
        <f ca="1">IFERROR(IF(0=LEN(ReferenceData!$BA$133),"",ReferenceData!$BA$133),"")</f>
        <v>453.07499999999999</v>
      </c>
      <c r="BB133">
        <f ca="1">IFERROR(IF(0=LEN(ReferenceData!$BB$133),"",ReferenceData!$BB$133),"")</f>
        <v>279.25099999999998</v>
      </c>
      <c r="BC133">
        <f ca="1">IFERROR(IF(0=LEN(ReferenceData!$BC$133),"",ReferenceData!$BC$133),"")</f>
        <v>877.096</v>
      </c>
      <c r="BD133">
        <f ca="1">IFERROR(IF(0=LEN(ReferenceData!$BD$133),"",ReferenceData!$BD$133),"")</f>
        <v>188.09800000000001</v>
      </c>
      <c r="BE133">
        <f ca="1">IFERROR(IF(0=LEN(ReferenceData!$BE$133),"",ReferenceData!$BE$133),"")</f>
        <v>145.184</v>
      </c>
      <c r="BF133">
        <f ca="1">IFERROR(IF(0=LEN(ReferenceData!$BF$133),"",ReferenceData!$BF$133),"")</f>
        <v>273.27600000000001</v>
      </c>
      <c r="BG133">
        <f ca="1">IFERROR(IF(0=LEN(ReferenceData!$BG$133),"",ReferenceData!$BG$133),"")</f>
        <v>28.765999999999998</v>
      </c>
      <c r="BH133">
        <f ca="1">IFERROR(IF(0=LEN(ReferenceData!$BH$133),"",ReferenceData!$BH$133),"")</f>
        <v>44.222000000000001</v>
      </c>
      <c r="BI133">
        <f ca="1">IFERROR(IF(0=LEN(ReferenceData!$BI$133),"",ReferenceData!$BI$133),"")</f>
        <v>7.5970000000000004</v>
      </c>
      <c r="BJ133">
        <f ca="1">IFERROR(IF(0=LEN(ReferenceData!$BJ$133),"",ReferenceData!$BJ$133),"")</f>
        <v>0</v>
      </c>
      <c r="BK133">
        <f ca="1">IFERROR(IF(0=LEN(ReferenceData!$BK$133),"",ReferenceData!$BK$133),"")</f>
        <v>0</v>
      </c>
      <c r="BL133">
        <f ca="1">IFERROR(IF(0=LEN(ReferenceData!$BL$133),"",ReferenceData!$BL$133),"")</f>
        <v>0</v>
      </c>
      <c r="BM133">
        <f ca="1">IFERROR(IF(0=LEN(ReferenceData!$BM$133),"",ReferenceData!$BM$133),"")</f>
        <v>0</v>
      </c>
    </row>
    <row r="134" spans="1:65">
      <c r="A134" t="str">
        <f>IFERROR(IF(0=LEN(ReferenceData!$A$134),"",ReferenceData!$A$134),"")</f>
        <v xml:space="preserve">    Health Care REITs</v>
      </c>
      <c r="B134" t="str">
        <f>IFERROR(IF(0=LEN(ReferenceData!$B$134),"",ReferenceData!$B$134),"")</f>
        <v>RECFNAHC Index</v>
      </c>
      <c r="C134" t="str">
        <f>IFERROR(IF(0=LEN(ReferenceData!$C$134),"",ReferenceData!$C$134),"")</f>
        <v/>
      </c>
      <c r="D134" t="str">
        <f>IFERROR(IF(0=LEN(ReferenceData!$D$134),"",ReferenceData!$D$134),"")</f>
        <v/>
      </c>
      <c r="E134" t="str">
        <f>IFERROR(IF(0=LEN(ReferenceData!$E$134),"",ReferenceData!$E$134),"")</f>
        <v>Expression</v>
      </c>
      <c r="F134">
        <f ca="1">IFERROR(IF(0=LEN(ReferenceData!$F$134),"",ReferenceData!$F$134),"")</f>
        <v>359.40899999999999</v>
      </c>
      <c r="G134">
        <f ca="1">IFERROR(IF(0=LEN(ReferenceData!$G$134),"",ReferenceData!$G$134),"")</f>
        <v>1758.008</v>
      </c>
      <c r="H134">
        <f ca="1">IFERROR(IF(0=LEN(ReferenceData!$H$134),"",ReferenceData!$H$134),"")</f>
        <v>4301.8059999999996</v>
      </c>
      <c r="I134">
        <f ca="1">IFERROR(IF(0=LEN(ReferenceData!$I$134),"",ReferenceData!$I$134),"")</f>
        <v>-2428.2840000000001</v>
      </c>
      <c r="J134">
        <f ca="1">IFERROR(IF(0=LEN(ReferenceData!$J$134),"",ReferenceData!$J$134),"")</f>
        <v>1899.96</v>
      </c>
      <c r="K134">
        <f ca="1">IFERROR(IF(0=LEN(ReferenceData!$K$134),"",ReferenceData!$K$134),"")</f>
        <v>3357.0720000000001</v>
      </c>
      <c r="L134">
        <f ca="1">IFERROR(IF(0=LEN(ReferenceData!$L$134),"",ReferenceData!$L$134),"")</f>
        <v>1341.0820000000001</v>
      </c>
      <c r="M134">
        <f ca="1">IFERROR(IF(0=LEN(ReferenceData!$M$134),"",ReferenceData!$M$134),"")</f>
        <v>1150.21</v>
      </c>
      <c r="N134">
        <f ca="1">IFERROR(IF(0=LEN(ReferenceData!$N$134),"",ReferenceData!$N$134),"")</f>
        <v>1561.32</v>
      </c>
      <c r="O134">
        <f ca="1">IFERROR(IF(0=LEN(ReferenceData!$O$134),"",ReferenceData!$O$134),"")</f>
        <v>4377.8789999999999</v>
      </c>
      <c r="P134">
        <f ca="1">IFERROR(IF(0=LEN(ReferenceData!$P$134),"",ReferenceData!$P$134),"")</f>
        <v>7637.134</v>
      </c>
      <c r="Q134">
        <f ca="1">IFERROR(IF(0=LEN(ReferenceData!$Q$134),"",ReferenceData!$Q$134),"")</f>
        <v>6300.1450000000004</v>
      </c>
      <c r="R134">
        <f ca="1">IFERROR(IF(0=LEN(ReferenceData!$R$134),"",ReferenceData!$R$134),"")</f>
        <v>2491.3580000000002</v>
      </c>
      <c r="S134">
        <f ca="1">IFERROR(IF(0=LEN(ReferenceData!$S$134),"",ReferenceData!$S$134),"")</f>
        <v>2856.1309999999999</v>
      </c>
      <c r="T134">
        <f ca="1">IFERROR(IF(0=LEN(ReferenceData!$T$134),"",ReferenceData!$T$134),"")</f>
        <v>2487.3409999999999</v>
      </c>
      <c r="U134">
        <f ca="1">IFERROR(IF(0=LEN(ReferenceData!$U$134),"",ReferenceData!$U$134),"")</f>
        <v>1179.4380000000001</v>
      </c>
      <c r="V134">
        <f ca="1">IFERROR(IF(0=LEN(ReferenceData!$V$134),"",ReferenceData!$V$134),"")</f>
        <v>1924.3969999999999</v>
      </c>
      <c r="W134">
        <f ca="1">IFERROR(IF(0=LEN(ReferenceData!$W$134),"",ReferenceData!$W$134),"")</f>
        <v>2764.7280000000001</v>
      </c>
      <c r="X134">
        <f ca="1">IFERROR(IF(0=LEN(ReferenceData!$X$134),"",ReferenceData!$X$134),"")</f>
        <v>1809.4580000000001</v>
      </c>
      <c r="Y134">
        <f ca="1">IFERROR(IF(0=LEN(ReferenceData!$Y$134),"",ReferenceData!$Y$134),"")</f>
        <v>2501.1469999999999</v>
      </c>
      <c r="Z134">
        <f ca="1">IFERROR(IF(0=LEN(ReferenceData!$Z$134),"",ReferenceData!$Z$134),"")</f>
        <v>4505.5309999999999</v>
      </c>
      <c r="AA134">
        <f ca="1">IFERROR(IF(0=LEN(ReferenceData!$AA$134),"",ReferenceData!$AA$134),"")</f>
        <v>2113.7060000000001</v>
      </c>
      <c r="AB134">
        <f ca="1">IFERROR(IF(0=LEN(ReferenceData!$AB$134),"",ReferenceData!$AB$134),"")</f>
        <v>1676.0940000000001</v>
      </c>
      <c r="AC134">
        <f ca="1">IFERROR(IF(0=LEN(ReferenceData!$AC$134),"",ReferenceData!$AC$134),"")</f>
        <v>1019.27</v>
      </c>
      <c r="AD134">
        <f ca="1">IFERROR(IF(0=LEN(ReferenceData!$AD$134),"",ReferenceData!$AD$134),"")</f>
        <v>5537.009</v>
      </c>
      <c r="AE134">
        <f ca="1">IFERROR(IF(0=LEN(ReferenceData!$AE$134),"",ReferenceData!$AE$134),"")</f>
        <v>8663.4699999999993</v>
      </c>
      <c r="AF134">
        <f ca="1">IFERROR(IF(0=LEN(ReferenceData!$AF$134),"",ReferenceData!$AF$134),"")</f>
        <v>12520.147999999999</v>
      </c>
      <c r="AG134">
        <f ca="1">IFERROR(IF(0=LEN(ReferenceData!$AG$134),"",ReferenceData!$AG$134),"")</f>
        <v>2309.87</v>
      </c>
      <c r="AH134">
        <f ca="1">IFERROR(IF(0=LEN(ReferenceData!$AH$134),"",ReferenceData!$AH$134),"")</f>
        <v>2489.0349999999999</v>
      </c>
      <c r="AI134">
        <f ca="1">IFERROR(IF(0=LEN(ReferenceData!$AI$134),"",ReferenceData!$AI$134),"")</f>
        <v>1238.741</v>
      </c>
      <c r="AJ134">
        <f ca="1">IFERROR(IF(0=LEN(ReferenceData!$AJ$134),"",ReferenceData!$AJ$134),"")</f>
        <v>1021.092</v>
      </c>
      <c r="AK134">
        <f ca="1">IFERROR(IF(0=LEN(ReferenceData!$AK$134),"",ReferenceData!$AK$134),"")</f>
        <v>961.83699999999999</v>
      </c>
      <c r="AL134">
        <f ca="1">IFERROR(IF(0=LEN(ReferenceData!$AL$134),"",ReferenceData!$AL$134),"")</f>
        <v>557.14200000000005</v>
      </c>
      <c r="AM134">
        <f ca="1">IFERROR(IF(0=LEN(ReferenceData!$AM$134),"",ReferenceData!$AM$134),"")</f>
        <v>319.37200000000001</v>
      </c>
      <c r="AN134">
        <f ca="1">IFERROR(IF(0=LEN(ReferenceData!$AN$134),"",ReferenceData!$AN$134),"")</f>
        <v>-93.188999999999993</v>
      </c>
      <c r="AO134">
        <f ca="1">IFERROR(IF(0=LEN(ReferenceData!$AO$134),"",ReferenceData!$AO$134),"")</f>
        <v>-213.233</v>
      </c>
      <c r="AP134">
        <f ca="1">IFERROR(IF(0=LEN(ReferenceData!$AP$134),"",ReferenceData!$AP$134),"")</f>
        <v>153.90700000000001</v>
      </c>
      <c r="AQ134">
        <f ca="1">IFERROR(IF(0=LEN(ReferenceData!$AQ$134),"",ReferenceData!$AQ$134),"")</f>
        <v>435.733</v>
      </c>
      <c r="AR134">
        <f ca="1">IFERROR(IF(0=LEN(ReferenceData!$AR$134),"",ReferenceData!$AR$134),"")</f>
        <v>-107.75700000000001</v>
      </c>
      <c r="AS134">
        <f ca="1">IFERROR(IF(0=LEN(ReferenceData!$AS$134),"",ReferenceData!$AS$134),"")</f>
        <v>376.13400000000001</v>
      </c>
      <c r="AT134">
        <f ca="1">IFERROR(IF(0=LEN(ReferenceData!$AT$134),"",ReferenceData!$AT$134),"")</f>
        <v>215.14400000000001</v>
      </c>
      <c r="AU134">
        <f ca="1">IFERROR(IF(0=LEN(ReferenceData!$AU$134),"",ReferenceData!$AU$134),"")</f>
        <v>-121.113</v>
      </c>
      <c r="AV134">
        <f ca="1">IFERROR(IF(0=LEN(ReferenceData!$AV$134),"",ReferenceData!$AV$134),"")</f>
        <v>2176.7890000000002</v>
      </c>
      <c r="AW134">
        <f ca="1">IFERROR(IF(0=LEN(ReferenceData!$AW$134),"",ReferenceData!$AW$134),"")</f>
        <v>251.607</v>
      </c>
      <c r="AX134">
        <f ca="1">IFERROR(IF(0=LEN(ReferenceData!$AX$134),"",ReferenceData!$AX$134),"")</f>
        <v>5729.7690000000002</v>
      </c>
      <c r="AY134">
        <f ca="1">IFERROR(IF(0=LEN(ReferenceData!$AY$134),"",ReferenceData!$AY$134),"")</f>
        <v>415.18200000000002</v>
      </c>
      <c r="AZ134">
        <f ca="1">IFERROR(IF(0=LEN(ReferenceData!$AZ$134),"",ReferenceData!$AZ$134),"")</f>
        <v>693.75300000000004</v>
      </c>
      <c r="BA134">
        <f ca="1">IFERROR(IF(0=LEN(ReferenceData!$BA$134),"",ReferenceData!$BA$134),"")</f>
        <v>501.47899999999998</v>
      </c>
      <c r="BB134">
        <f ca="1">IFERROR(IF(0=LEN(ReferenceData!$BB$134),"",ReferenceData!$BB$134),"")</f>
        <v>905.34699999999998</v>
      </c>
      <c r="BC134">
        <f ca="1">IFERROR(IF(0=LEN(ReferenceData!$BC$134),"",ReferenceData!$BC$134),"")</f>
        <v>447.96800000000002</v>
      </c>
      <c r="BD134">
        <f ca="1">IFERROR(IF(0=LEN(ReferenceData!$BD$134),"",ReferenceData!$BD$134),"")</f>
        <v>1897.62</v>
      </c>
      <c r="BE134">
        <f ca="1">IFERROR(IF(0=LEN(ReferenceData!$BE$134),"",ReferenceData!$BE$134),"")</f>
        <v>229.98099999999999</v>
      </c>
      <c r="BF134">
        <f ca="1">IFERROR(IF(0=LEN(ReferenceData!$BF$134),"",ReferenceData!$BF$134),"")</f>
        <v>538.89400000000001</v>
      </c>
      <c r="BG134">
        <f ca="1">IFERROR(IF(0=LEN(ReferenceData!$BG$134),"",ReferenceData!$BG$134),"")</f>
        <v>468.20800000000003</v>
      </c>
      <c r="BH134">
        <f ca="1">IFERROR(IF(0=LEN(ReferenceData!$BH$134),"",ReferenceData!$BH$134),"")</f>
        <v>505.33800000000002</v>
      </c>
      <c r="BI134">
        <f ca="1">IFERROR(IF(0=LEN(ReferenceData!$BI$134),"",ReferenceData!$BI$134),"")</f>
        <v>450.94400000000002</v>
      </c>
      <c r="BJ134">
        <f ca="1">IFERROR(IF(0=LEN(ReferenceData!$BJ$134),"",ReferenceData!$BJ$134),"")</f>
        <v>-77.8</v>
      </c>
      <c r="BK134">
        <f ca="1">IFERROR(IF(0=LEN(ReferenceData!$BK$134),"",ReferenceData!$BK$134),"")</f>
        <v>0</v>
      </c>
      <c r="BL134">
        <f ca="1">IFERROR(IF(0=LEN(ReferenceData!$BL$134),"",ReferenceData!$BL$134),"")</f>
        <v>0</v>
      </c>
      <c r="BM134">
        <f ca="1">IFERROR(IF(0=LEN(ReferenceData!$BM$134),"",ReferenceData!$BM$134),"")</f>
        <v>0</v>
      </c>
    </row>
    <row r="135" spans="1:65">
      <c r="A135" t="str">
        <f>IFERROR(IF(0=LEN(ReferenceData!$A$135),"",ReferenceData!$A$135),"")</f>
        <v xml:space="preserve">    Data Center REITs</v>
      </c>
      <c r="B135" t="str">
        <f>IFERROR(IF(0=LEN(ReferenceData!$B$135),"",ReferenceData!$B$135),"")</f>
        <v>RECFNADC Index</v>
      </c>
      <c r="C135" t="str">
        <f>IFERROR(IF(0=LEN(ReferenceData!$C$135),"",ReferenceData!$C$135),"")</f>
        <v/>
      </c>
      <c r="D135" t="str">
        <f>IFERROR(IF(0=LEN(ReferenceData!$D$135),"",ReferenceData!$D$135),"")</f>
        <v/>
      </c>
      <c r="E135" t="str">
        <f>IFERROR(IF(0=LEN(ReferenceData!$E$135),"",ReferenceData!$E$135),"")</f>
        <v>Expression</v>
      </c>
      <c r="F135">
        <f ca="1">IFERROR(IF(0=LEN(ReferenceData!$F$135),"",ReferenceData!$F$135),"")</f>
        <v>34</v>
      </c>
      <c r="G135">
        <f ca="1">IFERROR(IF(0=LEN(ReferenceData!$G$135),"",ReferenceData!$G$135),"")</f>
        <v>-20.2</v>
      </c>
      <c r="H135">
        <f ca="1">IFERROR(IF(0=LEN(ReferenceData!$H$135),"",ReferenceData!$H$135),"")</f>
        <v>3614.1</v>
      </c>
      <c r="I135">
        <f ca="1">IFERROR(IF(0=LEN(ReferenceData!$I$135),"",ReferenceData!$I$135),"")</f>
        <v>529.70000000000005</v>
      </c>
      <c r="J135">
        <f ca="1">IFERROR(IF(0=LEN(ReferenceData!$J$135),"",ReferenceData!$J$135),"")</f>
        <v>115</v>
      </c>
      <c r="K135">
        <f ca="1">IFERROR(IF(0=LEN(ReferenceData!$K$135),"",ReferenceData!$K$135),"")</f>
        <v>-9.8360000000000003</v>
      </c>
      <c r="L135">
        <f ca="1">IFERROR(IF(0=LEN(ReferenceData!$L$135),"",ReferenceData!$L$135),"")</f>
        <v>0.6</v>
      </c>
      <c r="M135">
        <f ca="1">IFERROR(IF(0=LEN(ReferenceData!$M$135),"",ReferenceData!$M$135),"")</f>
        <v>3879.6770000000001</v>
      </c>
      <c r="N135">
        <f ca="1">IFERROR(IF(0=LEN(ReferenceData!$N$135),"",ReferenceData!$N$135),"")</f>
        <v>1873.97</v>
      </c>
      <c r="O135">
        <f ca="1">IFERROR(IF(0=LEN(ReferenceData!$O$135),"",ReferenceData!$O$135),"")</f>
        <v>411.3</v>
      </c>
      <c r="P135">
        <f ca="1">IFERROR(IF(0=LEN(ReferenceData!$P$135),"",ReferenceData!$P$135),"")</f>
        <v>250.95</v>
      </c>
      <c r="Q135">
        <f ca="1">IFERROR(IF(0=LEN(ReferenceData!$Q$135),"",ReferenceData!$Q$135),"")</f>
        <v>-45.25</v>
      </c>
      <c r="R135">
        <f ca="1">IFERROR(IF(0=LEN(ReferenceData!$R$135),"",ReferenceData!$R$135),"")</f>
        <v>0</v>
      </c>
      <c r="S135">
        <f ca="1">IFERROR(IF(0=LEN(ReferenceData!$S$135),"",ReferenceData!$S$135),"")</f>
        <v>-169.6</v>
      </c>
      <c r="T135">
        <f ca="1">IFERROR(IF(0=LEN(ReferenceData!$T$135),"",ReferenceData!$T$135),"")</f>
        <v>31.8</v>
      </c>
      <c r="U135">
        <f ca="1">IFERROR(IF(0=LEN(ReferenceData!$U$135),"",ReferenceData!$U$135),"")</f>
        <v>-40.4</v>
      </c>
      <c r="V135">
        <f ca="1">IFERROR(IF(0=LEN(ReferenceData!$V$135),"",ReferenceData!$V$135),"")</f>
        <v>35.25</v>
      </c>
      <c r="W135">
        <f ca="1">IFERROR(IF(0=LEN(ReferenceData!$W$135),"",ReferenceData!$W$135),"")</f>
        <v>-328.56900000000002</v>
      </c>
      <c r="X135">
        <f ca="1">IFERROR(IF(0=LEN(ReferenceData!$X$135),"",ReferenceData!$X$135),"")</f>
        <v>35.755000000000003</v>
      </c>
      <c r="Y135">
        <f ca="1">IFERROR(IF(0=LEN(ReferenceData!$Y$135),"",ReferenceData!$Y$135),"")</f>
        <v>77.935000000000002</v>
      </c>
      <c r="Z135">
        <f ca="1">IFERROR(IF(0=LEN(ReferenceData!$Z$135),"",ReferenceData!$Z$135),"")</f>
        <v>108.5</v>
      </c>
      <c r="AA135">
        <f ca="1">IFERROR(IF(0=LEN(ReferenceData!$AA$135),"",ReferenceData!$AA$135),"")</f>
        <v>1229.4000000000001</v>
      </c>
      <c r="AB135">
        <f ca="1">IFERROR(IF(0=LEN(ReferenceData!$AB$135),"",ReferenceData!$AB$135),"")</f>
        <v>85.180999999999997</v>
      </c>
      <c r="AC135">
        <f ca="1">IFERROR(IF(0=LEN(ReferenceData!$AC$135),"",ReferenceData!$AC$135),"")</f>
        <v>123</v>
      </c>
      <c r="AD135">
        <f ca="1">IFERROR(IF(0=LEN(ReferenceData!$AD$135),"",ReferenceData!$AD$135),"")</f>
        <v>150.80000000000001</v>
      </c>
      <c r="AE135">
        <f ca="1">IFERROR(IF(0=LEN(ReferenceData!$AE$135),"",ReferenceData!$AE$135),"")</f>
        <v>51.1</v>
      </c>
      <c r="AF135">
        <f ca="1">IFERROR(IF(0=LEN(ReferenceData!$AF$135),"",ReferenceData!$AF$135),"")</f>
        <v>0</v>
      </c>
      <c r="AG135">
        <f ca="1">IFERROR(IF(0=LEN(ReferenceData!$AG$135),"",ReferenceData!$AG$135),"")</f>
        <v>0</v>
      </c>
      <c r="AH135">
        <f ca="1">IFERROR(IF(0=LEN(ReferenceData!$AH$135),"",ReferenceData!$AH$135),"")</f>
        <v>449.536</v>
      </c>
      <c r="AI135">
        <f ca="1">IFERROR(IF(0=LEN(ReferenceData!$AI$135),"",ReferenceData!$AI$135),"")</f>
        <v>812.7</v>
      </c>
      <c r="AJ135">
        <f ca="1">IFERROR(IF(0=LEN(ReferenceData!$AJ$135),"",ReferenceData!$AJ$135),"")</f>
        <v>24.1</v>
      </c>
      <c r="AK135">
        <f ca="1">IFERROR(IF(0=LEN(ReferenceData!$AK$135),"",ReferenceData!$AK$135),"")</f>
        <v>375</v>
      </c>
      <c r="AL135">
        <f ca="1">IFERROR(IF(0=LEN(ReferenceData!$AL$135),"",ReferenceData!$AL$135),"")</f>
        <v>153.80000000000001</v>
      </c>
      <c r="AM135">
        <f ca="1">IFERROR(IF(0=LEN(ReferenceData!$AM$135),"",ReferenceData!$AM$135),"")</f>
        <v>45.8</v>
      </c>
      <c r="AN135">
        <f ca="1">IFERROR(IF(0=LEN(ReferenceData!$AN$135),"",ReferenceData!$AN$135),"")</f>
        <v>0</v>
      </c>
      <c r="AO135">
        <f ca="1">IFERROR(IF(0=LEN(ReferenceData!$AO$135),"",ReferenceData!$AO$135),"")</f>
        <v>0</v>
      </c>
      <c r="AP135">
        <f ca="1">IFERROR(IF(0=LEN(ReferenceData!$AP$135),"",ReferenceData!$AP$135),"")</f>
        <v>31.2</v>
      </c>
      <c r="AQ135">
        <f ca="1">IFERROR(IF(0=LEN(ReferenceData!$AQ$135),"",ReferenceData!$AQ$135),"")</f>
        <v>0</v>
      </c>
      <c r="AR135">
        <f ca="1">IFERROR(IF(0=LEN(ReferenceData!$AR$135),"",ReferenceData!$AR$135),"")</f>
        <v>49.6</v>
      </c>
      <c r="AS135">
        <f ca="1">IFERROR(IF(0=LEN(ReferenceData!$AS$135),"",ReferenceData!$AS$135),"")</f>
        <v>20.399999999999999</v>
      </c>
      <c r="AT135">
        <f ca="1">IFERROR(IF(0=LEN(ReferenceData!$AT$135),"",ReferenceData!$AT$135),"")</f>
        <v>83.5</v>
      </c>
      <c r="AU135">
        <f ca="1">IFERROR(IF(0=LEN(ReferenceData!$AU$135),"",ReferenceData!$AU$135),"")</f>
        <v>86.7</v>
      </c>
      <c r="AV135">
        <f ca="1">IFERROR(IF(0=LEN(ReferenceData!$AV$135),"",ReferenceData!$AV$135),"")</f>
        <v>0</v>
      </c>
      <c r="AW135">
        <f ca="1">IFERROR(IF(0=LEN(ReferenceData!$AW$135),"",ReferenceData!$AW$135),"")</f>
        <v>82.9</v>
      </c>
      <c r="AX135">
        <f ca="1">IFERROR(IF(0=LEN(ReferenceData!$AX$135),"",ReferenceData!$AX$135),"")</f>
        <v>151.5</v>
      </c>
      <c r="AY135">
        <f ca="1">IFERROR(IF(0=LEN(ReferenceData!$AY$135),"",ReferenceData!$AY$135),"")</f>
        <v>140.1</v>
      </c>
      <c r="AZ135">
        <f ca="1">IFERROR(IF(0=LEN(ReferenceData!$AZ$135),"",ReferenceData!$AZ$135),"")</f>
        <v>122.4</v>
      </c>
      <c r="BA135">
        <f ca="1">IFERROR(IF(0=LEN(ReferenceData!$BA$135),"",ReferenceData!$BA$135),"")</f>
        <v>22.5</v>
      </c>
      <c r="BB135">
        <f ca="1">IFERROR(IF(0=LEN(ReferenceData!$BB$135),"",ReferenceData!$BB$135),"")</f>
        <v>67.599999999999994</v>
      </c>
      <c r="BC135">
        <f ca="1">IFERROR(IF(0=LEN(ReferenceData!$BC$135),"",ReferenceData!$BC$135),"")</f>
        <v>73.5</v>
      </c>
      <c r="BD135">
        <f ca="1">IFERROR(IF(0=LEN(ReferenceData!$BD$135),"",ReferenceData!$BD$135),"")</f>
        <v>250.6</v>
      </c>
      <c r="BE135">
        <f ca="1">IFERROR(IF(0=LEN(ReferenceData!$BE$135),"",ReferenceData!$BE$135),"")</f>
        <v>74.599999999999994</v>
      </c>
      <c r="BF135">
        <f ca="1">IFERROR(IF(0=LEN(ReferenceData!$BF$135),"",ReferenceData!$BF$135),"")</f>
        <v>16.600000000000001</v>
      </c>
      <c r="BG135">
        <f ca="1">IFERROR(IF(0=LEN(ReferenceData!$BG$135),"",ReferenceData!$BG$135),"")</f>
        <v>0</v>
      </c>
      <c r="BH135">
        <f ca="1">IFERROR(IF(0=LEN(ReferenceData!$BH$135),"",ReferenceData!$BH$135),"")</f>
        <v>0</v>
      </c>
      <c r="BI135">
        <f ca="1">IFERROR(IF(0=LEN(ReferenceData!$BI$135),"",ReferenceData!$BI$135),"")</f>
        <v>0</v>
      </c>
      <c r="BJ135">
        <f ca="1">IFERROR(IF(0=LEN(ReferenceData!$BJ$135),"",ReferenceData!$BJ$135),"")</f>
        <v>0</v>
      </c>
      <c r="BK135">
        <f ca="1">IFERROR(IF(0=LEN(ReferenceData!$BK$135),"",ReferenceData!$BK$135),"")</f>
        <v>0</v>
      </c>
      <c r="BL135">
        <f ca="1">IFERROR(IF(0=LEN(ReferenceData!$BL$135),"",ReferenceData!$BL$135),"")</f>
        <v>0</v>
      </c>
      <c r="BM135">
        <f ca="1">IFERROR(IF(0=LEN(ReferenceData!$BM$135),"",ReferenceData!$BM$135),"")</f>
        <v>0</v>
      </c>
    </row>
    <row r="136" spans="1:65">
      <c r="A136" t="str">
        <f>IFERROR(IF(0=LEN(ReferenceData!$A$136),"",ReferenceData!$A$136),"")</f>
        <v xml:space="preserve">    Specialty REITs</v>
      </c>
      <c r="B136" t="str">
        <f>IFERROR(IF(0=LEN(ReferenceData!$B$136),"",ReferenceData!$B$136),"")</f>
        <v>RECFNASP Index</v>
      </c>
      <c r="C136" t="str">
        <f>IFERROR(IF(0=LEN(ReferenceData!$C$136),"",ReferenceData!$C$136),"")</f>
        <v/>
      </c>
      <c r="D136" t="str">
        <f>IFERROR(IF(0=LEN(ReferenceData!$D$136),"",ReferenceData!$D$136),"")</f>
        <v/>
      </c>
      <c r="E136" t="str">
        <f>IFERROR(IF(0=LEN(ReferenceData!$E$136),"",ReferenceData!$E$136),"")</f>
        <v>Expression</v>
      </c>
      <c r="F136">
        <f ca="1">IFERROR(IF(0=LEN(ReferenceData!$F$136),"",ReferenceData!$F$136),"")</f>
        <v>-17.693000000000001</v>
      </c>
      <c r="G136">
        <f ca="1">IFERROR(IF(0=LEN(ReferenceData!$G$136),"",ReferenceData!$G$136),"")</f>
        <v>451.25599999999997</v>
      </c>
      <c r="H136">
        <f ca="1">IFERROR(IF(0=LEN(ReferenceData!$H$136),"",ReferenceData!$H$136),"")</f>
        <v>1452.2049999999999</v>
      </c>
      <c r="I136">
        <f ca="1">IFERROR(IF(0=LEN(ReferenceData!$I$136),"",ReferenceData!$I$136),"")</f>
        <v>476.08199999999999</v>
      </c>
      <c r="J136">
        <f ca="1">IFERROR(IF(0=LEN(ReferenceData!$J$136),"",ReferenceData!$J$136),"")</f>
        <v>21.91</v>
      </c>
      <c r="K136">
        <f ca="1">IFERROR(IF(0=LEN(ReferenceData!$K$136),"",ReferenceData!$K$136),"")</f>
        <v>401.74700000000001</v>
      </c>
      <c r="L136">
        <f ca="1">IFERROR(IF(0=LEN(ReferenceData!$L$136),"",ReferenceData!$L$136),"")</f>
        <v>4844.7960000000003</v>
      </c>
      <c r="M136">
        <f ca="1">IFERROR(IF(0=LEN(ReferenceData!$M$136),"",ReferenceData!$M$136),"")</f>
        <v>459.74099999999999</v>
      </c>
      <c r="N136">
        <f ca="1">IFERROR(IF(0=LEN(ReferenceData!$N$136),"",ReferenceData!$N$136),"")</f>
        <v>183.51499999999999</v>
      </c>
      <c r="O136">
        <f ca="1">IFERROR(IF(0=LEN(ReferenceData!$O$136),"",ReferenceData!$O$136),"")</f>
        <v>0</v>
      </c>
      <c r="P136">
        <f ca="1">IFERROR(IF(0=LEN(ReferenceData!$P$136),"",ReferenceData!$P$136),"")</f>
        <v>0</v>
      </c>
      <c r="Q136">
        <f ca="1">IFERROR(IF(0=LEN(ReferenceData!$Q$136),"",ReferenceData!$Q$136),"")</f>
        <v>0</v>
      </c>
      <c r="R136">
        <f ca="1">IFERROR(IF(0=LEN(ReferenceData!$R$136),"",ReferenceData!$R$136),"")</f>
        <v>0</v>
      </c>
      <c r="S136">
        <f ca="1">IFERROR(IF(0=LEN(ReferenceData!$S$136),"",ReferenceData!$S$136),"")</f>
        <v>0</v>
      </c>
      <c r="T136">
        <f ca="1">IFERROR(IF(0=LEN(ReferenceData!$T$136),"",ReferenceData!$T$136),"")</f>
        <v>0</v>
      </c>
      <c r="U136">
        <f ca="1">IFERROR(IF(0=LEN(ReferenceData!$U$136),"",ReferenceData!$U$136),"")</f>
        <v>0</v>
      </c>
      <c r="V136">
        <f ca="1">IFERROR(IF(0=LEN(ReferenceData!$V$136),"",ReferenceData!$V$136),"")</f>
        <v>0</v>
      </c>
      <c r="W136">
        <f ca="1">IFERROR(IF(0=LEN(ReferenceData!$W$136),"",ReferenceData!$W$136),"")</f>
        <v>0</v>
      </c>
      <c r="X136">
        <f ca="1">IFERROR(IF(0=LEN(ReferenceData!$X$136),"",ReferenceData!$X$136),"")</f>
        <v>0</v>
      </c>
      <c r="Y136">
        <f ca="1">IFERROR(IF(0=LEN(ReferenceData!$Y$136),"",ReferenceData!$Y$136),"")</f>
        <v>0</v>
      </c>
      <c r="Z136">
        <f ca="1">IFERROR(IF(0=LEN(ReferenceData!$Z$136),"",ReferenceData!$Z$136),"")</f>
        <v>0</v>
      </c>
      <c r="AA136">
        <f ca="1">IFERROR(IF(0=LEN(ReferenceData!$AA$136),"",ReferenceData!$AA$136),"")</f>
        <v>0</v>
      </c>
      <c r="AB136">
        <f ca="1">IFERROR(IF(0=LEN(ReferenceData!$AB$136),"",ReferenceData!$AB$136),"")</f>
        <v>0</v>
      </c>
      <c r="AC136">
        <f ca="1">IFERROR(IF(0=LEN(ReferenceData!$AC$136),"",ReferenceData!$AC$136),"")</f>
        <v>0</v>
      </c>
      <c r="AD136">
        <f ca="1">IFERROR(IF(0=LEN(ReferenceData!$AD$136),"",ReferenceData!$AD$136),"")</f>
        <v>0</v>
      </c>
      <c r="AE136">
        <f ca="1">IFERROR(IF(0=LEN(ReferenceData!$AE$136),"",ReferenceData!$AE$136),"")</f>
        <v>0</v>
      </c>
      <c r="AF136">
        <f ca="1">IFERROR(IF(0=LEN(ReferenceData!$AF$136),"",ReferenceData!$AF$136),"")</f>
        <v>0</v>
      </c>
      <c r="AG136">
        <f ca="1">IFERROR(IF(0=LEN(ReferenceData!$AG$136),"",ReferenceData!$AG$136),"")</f>
        <v>0</v>
      </c>
      <c r="AH136">
        <f ca="1">IFERROR(IF(0=LEN(ReferenceData!$AH$136),"",ReferenceData!$AH$136),"")</f>
        <v>0</v>
      </c>
      <c r="AI136">
        <f ca="1">IFERROR(IF(0=LEN(ReferenceData!$AI$136),"",ReferenceData!$AI$136),"")</f>
        <v>-1.155</v>
      </c>
      <c r="AJ136">
        <f ca="1">IFERROR(IF(0=LEN(ReferenceData!$AJ$136),"",ReferenceData!$AJ$136),"")</f>
        <v>117.93600000000001</v>
      </c>
      <c r="AK136">
        <f ca="1">IFERROR(IF(0=LEN(ReferenceData!$AK$136),"",ReferenceData!$AK$136),"")</f>
        <v>155.82499999999999</v>
      </c>
      <c r="AL136">
        <f ca="1">IFERROR(IF(0=LEN(ReferenceData!$AL$136),"",ReferenceData!$AL$136),"")</f>
        <v>130</v>
      </c>
      <c r="AM136">
        <f ca="1">IFERROR(IF(0=LEN(ReferenceData!$AM$136),"",ReferenceData!$AM$136),"")</f>
        <v>0</v>
      </c>
      <c r="AN136">
        <f ca="1">IFERROR(IF(0=LEN(ReferenceData!$AN$136),"",ReferenceData!$AN$136),"")</f>
        <v>0</v>
      </c>
      <c r="AO136">
        <f ca="1">IFERROR(IF(0=LEN(ReferenceData!$AO$136),"",ReferenceData!$AO$136),"")</f>
        <v>0</v>
      </c>
      <c r="AP136">
        <f ca="1">IFERROR(IF(0=LEN(ReferenceData!$AP$136),"",ReferenceData!$AP$136),"")</f>
        <v>0</v>
      </c>
      <c r="AQ136">
        <f ca="1">IFERROR(IF(0=LEN(ReferenceData!$AQ$136),"",ReferenceData!$AQ$136),"")</f>
        <v>0</v>
      </c>
      <c r="AR136">
        <f ca="1">IFERROR(IF(0=LEN(ReferenceData!$AR$136),"",ReferenceData!$AR$136),"")</f>
        <v>238.3</v>
      </c>
      <c r="AS136">
        <f ca="1">IFERROR(IF(0=LEN(ReferenceData!$AS$136),"",ReferenceData!$AS$136),"")</f>
        <v>0</v>
      </c>
      <c r="AT136">
        <f ca="1">IFERROR(IF(0=LEN(ReferenceData!$AT$136),"",ReferenceData!$AT$136),"")</f>
        <v>39.5</v>
      </c>
      <c r="AU136">
        <f ca="1">IFERROR(IF(0=LEN(ReferenceData!$AU$136),"",ReferenceData!$AU$136),"")</f>
        <v>41.5</v>
      </c>
      <c r="AV136">
        <f ca="1">IFERROR(IF(0=LEN(ReferenceData!$AV$136),"",ReferenceData!$AV$136),"")</f>
        <v>170.3</v>
      </c>
      <c r="AW136">
        <f ca="1">IFERROR(IF(0=LEN(ReferenceData!$AW$136),"",ReferenceData!$AW$136),"")</f>
        <v>0</v>
      </c>
      <c r="AX136">
        <f ca="1">IFERROR(IF(0=LEN(ReferenceData!$AX$136),"",ReferenceData!$AX$136),"")</f>
        <v>27.4</v>
      </c>
      <c r="AY136">
        <f ca="1">IFERROR(IF(0=LEN(ReferenceData!$AY$136),"",ReferenceData!$AY$136),"")</f>
        <v>18.3</v>
      </c>
      <c r="AZ136">
        <f ca="1">IFERROR(IF(0=LEN(ReferenceData!$AZ$136),"",ReferenceData!$AZ$136),"")</f>
        <v>0</v>
      </c>
      <c r="BA136">
        <f ca="1">IFERROR(IF(0=LEN(ReferenceData!$BA$136),"",ReferenceData!$BA$136),"")</f>
        <v>35</v>
      </c>
      <c r="BB136">
        <f ca="1">IFERROR(IF(0=LEN(ReferenceData!$BB$136),"",ReferenceData!$BB$136),"")</f>
        <v>44.4</v>
      </c>
      <c r="BC136">
        <f ca="1">IFERROR(IF(0=LEN(ReferenceData!$BC$136),"",ReferenceData!$BC$136),"")</f>
        <v>-2</v>
      </c>
      <c r="BD136">
        <f ca="1">IFERROR(IF(0=LEN(ReferenceData!$BD$136),"",ReferenceData!$BD$136),"")</f>
        <v>29.2</v>
      </c>
      <c r="BE136">
        <f ca="1">IFERROR(IF(0=LEN(ReferenceData!$BE$136),"",ReferenceData!$BE$136),"")</f>
        <v>232.49199999999999</v>
      </c>
      <c r="BF136">
        <f ca="1">IFERROR(IF(0=LEN(ReferenceData!$BF$136),"",ReferenceData!$BF$136),"")</f>
        <v>806.02099999999996</v>
      </c>
      <c r="BG136">
        <f ca="1">IFERROR(IF(0=LEN(ReferenceData!$BG$136),"",ReferenceData!$BG$136),"")</f>
        <v>610.49599999999998</v>
      </c>
      <c r="BH136">
        <f ca="1">IFERROR(IF(0=LEN(ReferenceData!$BH$136),"",ReferenceData!$BH$136),"")</f>
        <v>83.984999999999999</v>
      </c>
      <c r="BI136">
        <f ca="1">IFERROR(IF(0=LEN(ReferenceData!$BI$136),"",ReferenceData!$BI$136),"")</f>
        <v>832.27700000000004</v>
      </c>
      <c r="BJ136">
        <f ca="1">IFERROR(IF(0=LEN(ReferenceData!$BJ$136),"",ReferenceData!$BJ$136),"")</f>
        <v>133</v>
      </c>
      <c r="BK136">
        <f ca="1">IFERROR(IF(0=LEN(ReferenceData!$BK$136),"",ReferenceData!$BK$136),"")</f>
        <v>0</v>
      </c>
      <c r="BL136">
        <f ca="1">IFERROR(IF(0=LEN(ReferenceData!$BL$136),"",ReferenceData!$BL$136),"")</f>
        <v>61</v>
      </c>
      <c r="BM136">
        <f ca="1">IFERROR(IF(0=LEN(ReferenceData!$BM$136),"",ReferenceData!$BM$136),"")</f>
        <v>10.5</v>
      </c>
    </row>
    <row r="137" spans="1:65">
      <c r="A137" t="str">
        <f>IFERROR(IF(0=LEN(ReferenceData!$A$137),"",ReferenceData!$A$137),"")</f>
        <v xml:space="preserve">    </v>
      </c>
      <c r="B137" t="str">
        <f>IFERROR(IF(0=LEN(ReferenceData!$B$137),"",ReferenceData!$B$137),"")</f>
        <v/>
      </c>
      <c r="C137" t="str">
        <f>IFERROR(IF(0=LEN(ReferenceData!$C$137),"",ReferenceData!$C$137),"")</f>
        <v/>
      </c>
      <c r="D137" t="str">
        <f>IFERROR(IF(0=LEN(ReferenceData!$D$137),"",ReferenceData!$D$137),"")</f>
        <v/>
      </c>
      <c r="E137" t="str">
        <f>IFERROR(IF(0=LEN(ReferenceData!$E$137),"",ReferenceData!$E$137),"")</f>
        <v>静态</v>
      </c>
      <c r="F137" t="str">
        <f ca="1">IFERROR(IF(0=LEN(ReferenceData!$F$137),"",ReferenceData!$F$137),"")</f>
        <v/>
      </c>
      <c r="G137" t="str">
        <f ca="1">IFERROR(IF(0=LEN(ReferenceData!$G$137),"",ReferenceData!$G$137),"")</f>
        <v/>
      </c>
      <c r="H137" t="str">
        <f ca="1">IFERROR(IF(0=LEN(ReferenceData!$H$137),"",ReferenceData!$H$137),"")</f>
        <v/>
      </c>
      <c r="I137" t="str">
        <f ca="1">IFERROR(IF(0=LEN(ReferenceData!$I$137),"",ReferenceData!$I$137),"")</f>
        <v/>
      </c>
      <c r="J137" t="str">
        <f ca="1">IFERROR(IF(0=LEN(ReferenceData!$J$137),"",ReferenceData!$J$137),"")</f>
        <v/>
      </c>
      <c r="K137" t="str">
        <f ca="1">IFERROR(IF(0=LEN(ReferenceData!$K$137),"",ReferenceData!$K$137),"")</f>
        <v/>
      </c>
      <c r="L137" t="str">
        <f ca="1">IFERROR(IF(0=LEN(ReferenceData!$L$137),"",ReferenceData!$L$137),"")</f>
        <v/>
      </c>
      <c r="M137" t="str">
        <f ca="1">IFERROR(IF(0=LEN(ReferenceData!$M$137),"",ReferenceData!$M$137),"")</f>
        <v/>
      </c>
      <c r="N137" t="str">
        <f ca="1">IFERROR(IF(0=LEN(ReferenceData!$N$137),"",ReferenceData!$N$137),"")</f>
        <v/>
      </c>
      <c r="O137" t="str">
        <f ca="1">IFERROR(IF(0=LEN(ReferenceData!$O$137),"",ReferenceData!$O$137),"")</f>
        <v/>
      </c>
      <c r="P137" t="str">
        <f ca="1">IFERROR(IF(0=LEN(ReferenceData!$P$137),"",ReferenceData!$P$137),"")</f>
        <v/>
      </c>
      <c r="Q137" t="str">
        <f ca="1">IFERROR(IF(0=LEN(ReferenceData!$Q$137),"",ReferenceData!$Q$137),"")</f>
        <v/>
      </c>
      <c r="R137" t="str">
        <f ca="1">IFERROR(IF(0=LEN(ReferenceData!$R$137),"",ReferenceData!$R$137),"")</f>
        <v/>
      </c>
      <c r="S137" t="str">
        <f ca="1">IFERROR(IF(0=LEN(ReferenceData!$S$137),"",ReferenceData!$S$137),"")</f>
        <v/>
      </c>
      <c r="T137" t="str">
        <f ca="1">IFERROR(IF(0=LEN(ReferenceData!$T$137),"",ReferenceData!$T$137),"")</f>
        <v/>
      </c>
      <c r="U137" t="str">
        <f ca="1">IFERROR(IF(0=LEN(ReferenceData!$U$137),"",ReferenceData!$U$137),"")</f>
        <v/>
      </c>
      <c r="V137" t="str">
        <f ca="1">IFERROR(IF(0=LEN(ReferenceData!$V$137),"",ReferenceData!$V$137),"")</f>
        <v/>
      </c>
      <c r="W137" t="str">
        <f ca="1">IFERROR(IF(0=LEN(ReferenceData!$W$137),"",ReferenceData!$W$137),"")</f>
        <v/>
      </c>
      <c r="X137" t="str">
        <f ca="1">IFERROR(IF(0=LEN(ReferenceData!$X$137),"",ReferenceData!$X$137),"")</f>
        <v/>
      </c>
      <c r="Y137" t="str">
        <f ca="1">IFERROR(IF(0=LEN(ReferenceData!$Y$137),"",ReferenceData!$Y$137),"")</f>
        <v/>
      </c>
      <c r="Z137" t="str">
        <f ca="1">IFERROR(IF(0=LEN(ReferenceData!$Z$137),"",ReferenceData!$Z$137),"")</f>
        <v/>
      </c>
      <c r="AA137" t="str">
        <f ca="1">IFERROR(IF(0=LEN(ReferenceData!$AA$137),"",ReferenceData!$AA$137),"")</f>
        <v/>
      </c>
      <c r="AB137" t="str">
        <f ca="1">IFERROR(IF(0=LEN(ReferenceData!$AB$137),"",ReferenceData!$AB$137),"")</f>
        <v/>
      </c>
      <c r="AC137" t="str">
        <f ca="1">IFERROR(IF(0=LEN(ReferenceData!$AC$137),"",ReferenceData!$AC$137),"")</f>
        <v/>
      </c>
      <c r="AD137" t="str">
        <f ca="1">IFERROR(IF(0=LEN(ReferenceData!$AD$137),"",ReferenceData!$AD$137),"")</f>
        <v/>
      </c>
      <c r="AE137" t="str">
        <f ca="1">IFERROR(IF(0=LEN(ReferenceData!$AE$137),"",ReferenceData!$AE$137),"")</f>
        <v/>
      </c>
      <c r="AF137" t="str">
        <f ca="1">IFERROR(IF(0=LEN(ReferenceData!$AF$137),"",ReferenceData!$AF$137),"")</f>
        <v/>
      </c>
      <c r="AG137" t="str">
        <f ca="1">IFERROR(IF(0=LEN(ReferenceData!$AG$137),"",ReferenceData!$AG$137),"")</f>
        <v/>
      </c>
      <c r="AH137" t="str">
        <f ca="1">IFERROR(IF(0=LEN(ReferenceData!$AH$137),"",ReferenceData!$AH$137),"")</f>
        <v/>
      </c>
      <c r="AI137" t="str">
        <f ca="1">IFERROR(IF(0=LEN(ReferenceData!$AI$137),"",ReferenceData!$AI$137),"")</f>
        <v/>
      </c>
      <c r="AJ137" t="str">
        <f ca="1">IFERROR(IF(0=LEN(ReferenceData!$AJ$137),"",ReferenceData!$AJ$137),"")</f>
        <v/>
      </c>
      <c r="AK137" t="str">
        <f ca="1">IFERROR(IF(0=LEN(ReferenceData!$AK$137),"",ReferenceData!$AK$137),"")</f>
        <v/>
      </c>
      <c r="AL137" t="str">
        <f ca="1">IFERROR(IF(0=LEN(ReferenceData!$AL$137),"",ReferenceData!$AL$137),"")</f>
        <v/>
      </c>
      <c r="AM137" t="str">
        <f ca="1">IFERROR(IF(0=LEN(ReferenceData!$AM$137),"",ReferenceData!$AM$137),"")</f>
        <v/>
      </c>
      <c r="AN137" t="str">
        <f ca="1">IFERROR(IF(0=LEN(ReferenceData!$AN$137),"",ReferenceData!$AN$137),"")</f>
        <v/>
      </c>
      <c r="AO137" t="str">
        <f ca="1">IFERROR(IF(0=LEN(ReferenceData!$AO$137),"",ReferenceData!$AO$137),"")</f>
        <v/>
      </c>
      <c r="AP137" t="str">
        <f ca="1">IFERROR(IF(0=LEN(ReferenceData!$AP$137),"",ReferenceData!$AP$137),"")</f>
        <v/>
      </c>
      <c r="AQ137" t="str">
        <f ca="1">IFERROR(IF(0=LEN(ReferenceData!$AQ$137),"",ReferenceData!$AQ$137),"")</f>
        <v/>
      </c>
      <c r="AR137" t="str">
        <f ca="1">IFERROR(IF(0=LEN(ReferenceData!$AR$137),"",ReferenceData!$AR$137),"")</f>
        <v/>
      </c>
      <c r="AS137" t="str">
        <f ca="1">IFERROR(IF(0=LEN(ReferenceData!$AS$137),"",ReferenceData!$AS$137),"")</f>
        <v/>
      </c>
      <c r="AT137" t="str">
        <f ca="1">IFERROR(IF(0=LEN(ReferenceData!$AT$137),"",ReferenceData!$AT$137),"")</f>
        <v/>
      </c>
      <c r="AU137" t="str">
        <f ca="1">IFERROR(IF(0=LEN(ReferenceData!$AU$137),"",ReferenceData!$AU$137),"")</f>
        <v/>
      </c>
      <c r="AV137" t="str">
        <f ca="1">IFERROR(IF(0=LEN(ReferenceData!$AV$137),"",ReferenceData!$AV$137),"")</f>
        <v/>
      </c>
      <c r="AW137" t="str">
        <f ca="1">IFERROR(IF(0=LEN(ReferenceData!$AW$137),"",ReferenceData!$AW$137),"")</f>
        <v/>
      </c>
      <c r="AX137" t="str">
        <f ca="1">IFERROR(IF(0=LEN(ReferenceData!$AX$137),"",ReferenceData!$AX$137),"")</f>
        <v/>
      </c>
      <c r="AY137" t="str">
        <f ca="1">IFERROR(IF(0=LEN(ReferenceData!$AY$137),"",ReferenceData!$AY$137),"")</f>
        <v/>
      </c>
      <c r="AZ137" t="str">
        <f ca="1">IFERROR(IF(0=LEN(ReferenceData!$AZ$137),"",ReferenceData!$AZ$137),"")</f>
        <v/>
      </c>
      <c r="BA137" t="str">
        <f ca="1">IFERROR(IF(0=LEN(ReferenceData!$BA$137),"",ReferenceData!$BA$137),"")</f>
        <v/>
      </c>
      <c r="BB137" t="str">
        <f ca="1">IFERROR(IF(0=LEN(ReferenceData!$BB$137),"",ReferenceData!$BB$137),"")</f>
        <v/>
      </c>
      <c r="BC137" t="str">
        <f ca="1">IFERROR(IF(0=LEN(ReferenceData!$BC$137),"",ReferenceData!$BC$137),"")</f>
        <v/>
      </c>
      <c r="BD137" t="str">
        <f ca="1">IFERROR(IF(0=LEN(ReferenceData!$BD$137),"",ReferenceData!$BD$137),"")</f>
        <v/>
      </c>
      <c r="BE137" t="str">
        <f ca="1">IFERROR(IF(0=LEN(ReferenceData!$BE$137),"",ReferenceData!$BE$137),"")</f>
        <v/>
      </c>
      <c r="BF137" t="str">
        <f ca="1">IFERROR(IF(0=LEN(ReferenceData!$BF$137),"",ReferenceData!$BF$137),"")</f>
        <v/>
      </c>
      <c r="BG137" t="str">
        <f ca="1">IFERROR(IF(0=LEN(ReferenceData!$BG$137),"",ReferenceData!$BG$137),"")</f>
        <v/>
      </c>
      <c r="BH137" t="str">
        <f ca="1">IFERROR(IF(0=LEN(ReferenceData!$BH$137),"",ReferenceData!$BH$137),"")</f>
        <v/>
      </c>
      <c r="BI137" t="str">
        <f ca="1">IFERROR(IF(0=LEN(ReferenceData!$BI$137),"",ReferenceData!$BI$137),"")</f>
        <v/>
      </c>
      <c r="BJ137" t="str">
        <f ca="1">IFERROR(IF(0=LEN(ReferenceData!$BJ$137),"",ReferenceData!$BJ$137),"")</f>
        <v/>
      </c>
      <c r="BK137" t="str">
        <f ca="1">IFERROR(IF(0=LEN(ReferenceData!$BK$137),"",ReferenceData!$BK$137),"")</f>
        <v/>
      </c>
      <c r="BL137" t="str">
        <f ca="1">IFERROR(IF(0=LEN(ReferenceData!$BL$137),"",ReferenceData!$BL$137),"")</f>
        <v/>
      </c>
      <c r="BM137" t="str">
        <f ca="1">IFERROR(IF(0=LEN(ReferenceData!$BM$137),"",ReferenceData!$BM$137),"")</f>
        <v/>
      </c>
    </row>
    <row r="138" spans="1:65">
      <c r="A138" t="str">
        <f>IFERROR(IF(0=LEN(ReferenceData!$A$138),"",ReferenceData!$A$138),"")</f>
        <v>总开发渠道-所有房地产投资信托</v>
      </c>
      <c r="B138" t="str">
        <f>IFERROR(IF(0=LEN(ReferenceData!$B$138),"",ReferenceData!$B$138),"")</f>
        <v>RECFDVEQ Index</v>
      </c>
      <c r="C138" t="str">
        <f>IFERROR(IF(0=LEN(ReferenceData!$C$138),"",ReferenceData!$C$138),"")</f>
        <v>PR005</v>
      </c>
      <c r="D138" t="str">
        <f>IFERROR(IF(0=LEN(ReferenceData!$D$138),"",ReferenceData!$D$138),"")</f>
        <v>PX_LAST</v>
      </c>
      <c r="E138" t="str">
        <f>IFERROR(IF(0=LEN(ReferenceData!$E$138),"",ReferenceData!$E$138),"")</f>
        <v>动态</v>
      </c>
      <c r="F138">
        <f ca="1">IFERROR(IF(0=LEN(ReferenceData!$F$138),"",ReferenceData!$F$138),"")</f>
        <v>43048.366000000002</v>
      </c>
      <c r="G138">
        <f ca="1">IFERROR(IF(0=LEN(ReferenceData!$G$138),"",ReferenceData!$G$138),"")</f>
        <v>43156.733999999997</v>
      </c>
      <c r="H138">
        <f ca="1">IFERROR(IF(0=LEN(ReferenceData!$H$138),"",ReferenceData!$H$138),"")</f>
        <v>41902.256000000001</v>
      </c>
      <c r="I138">
        <f ca="1">IFERROR(IF(0=LEN(ReferenceData!$I$138),"",ReferenceData!$I$138),"")</f>
        <v>42681.874000000003</v>
      </c>
      <c r="J138">
        <f ca="1">IFERROR(IF(0=LEN(ReferenceData!$J$138),"",ReferenceData!$J$138),"")</f>
        <v>41803.703999999998</v>
      </c>
      <c r="K138">
        <f ca="1">IFERROR(IF(0=LEN(ReferenceData!$K$138),"",ReferenceData!$K$138),"")</f>
        <v>38393.377</v>
      </c>
      <c r="L138">
        <f ca="1">IFERROR(IF(0=LEN(ReferenceData!$L$138),"",ReferenceData!$L$138),"")</f>
        <v>39504.817000000003</v>
      </c>
      <c r="M138">
        <f ca="1">IFERROR(IF(0=LEN(ReferenceData!$M$138),"",ReferenceData!$M$138),"")</f>
        <v>40487.165999999997</v>
      </c>
      <c r="N138">
        <f ca="1">IFERROR(IF(0=LEN(ReferenceData!$N$138),"",ReferenceData!$N$138),"")</f>
        <v>39653.860999999997</v>
      </c>
      <c r="O138">
        <f ca="1">IFERROR(IF(0=LEN(ReferenceData!$O$138),"",ReferenceData!$O$138),"")</f>
        <v>40413.970999999998</v>
      </c>
      <c r="P138">
        <f ca="1">IFERROR(IF(0=LEN(ReferenceData!$P$138),"",ReferenceData!$P$138),"")</f>
        <v>41134.211000000003</v>
      </c>
      <c r="Q138">
        <f ca="1">IFERROR(IF(0=LEN(ReferenceData!$Q$138),"",ReferenceData!$Q$138),"")</f>
        <v>38584.58</v>
      </c>
      <c r="R138">
        <f ca="1">IFERROR(IF(0=LEN(ReferenceData!$R$138),"",ReferenceData!$R$138),"")</f>
        <v>38023.807999999997</v>
      </c>
      <c r="S138">
        <f ca="1">IFERROR(IF(0=LEN(ReferenceData!$S$138),"",ReferenceData!$S$138),"")</f>
        <v>35356.305</v>
      </c>
      <c r="T138">
        <f ca="1">IFERROR(IF(0=LEN(ReferenceData!$T$138),"",ReferenceData!$T$138),"")</f>
        <v>35245.959000000003</v>
      </c>
      <c r="U138">
        <f ca="1">IFERROR(IF(0=LEN(ReferenceData!$U$138),"",ReferenceData!$U$138),"")</f>
        <v>32617.214</v>
      </c>
      <c r="V138">
        <f ca="1">IFERROR(IF(0=LEN(ReferenceData!$V$138),"",ReferenceData!$V$138),"")</f>
        <v>31568.885999999999</v>
      </c>
      <c r="W138">
        <f ca="1">IFERROR(IF(0=LEN(ReferenceData!$W$138),"",ReferenceData!$W$138),"")</f>
        <v>26866.968000000001</v>
      </c>
      <c r="X138">
        <f ca="1">IFERROR(IF(0=LEN(ReferenceData!$X$138),"",ReferenceData!$X$138),"")</f>
        <v>24860.155999999999</v>
      </c>
      <c r="Y138">
        <f ca="1">IFERROR(IF(0=LEN(ReferenceData!$Y$138),"",ReferenceData!$Y$138),"")</f>
        <v>22246.026000000002</v>
      </c>
      <c r="Z138">
        <f ca="1">IFERROR(IF(0=LEN(ReferenceData!$Z$138),"",ReferenceData!$Z$138),"")</f>
        <v>19787.899000000001</v>
      </c>
      <c r="AA138">
        <f ca="1">IFERROR(IF(0=LEN(ReferenceData!$AA$138),"",ReferenceData!$AA$138),"")</f>
        <v>17120.573</v>
      </c>
      <c r="AB138">
        <f ca="1">IFERROR(IF(0=LEN(ReferenceData!$AB$138),"",ReferenceData!$AB$138),"")</f>
        <v>16470.727999999999</v>
      </c>
      <c r="AC138">
        <f ca="1">IFERROR(IF(0=LEN(ReferenceData!$AC$138),"",ReferenceData!$AC$138),"")</f>
        <v>15321.111999999999</v>
      </c>
      <c r="AD138">
        <f ca="1">IFERROR(IF(0=LEN(ReferenceData!$AD$138),"",ReferenceData!$AD$138),"")</f>
        <v>14342.204</v>
      </c>
      <c r="AE138">
        <f ca="1">IFERROR(IF(0=LEN(ReferenceData!$AE$138),"",ReferenceData!$AE$138),"")</f>
        <v>13025.221</v>
      </c>
      <c r="AF138">
        <f ca="1">IFERROR(IF(0=LEN(ReferenceData!$AF$138),"",ReferenceData!$AF$138),"")</f>
        <v>12798.088</v>
      </c>
      <c r="AG138">
        <f ca="1">IFERROR(IF(0=LEN(ReferenceData!$AG$138),"",ReferenceData!$AG$138),"")</f>
        <v>10496.259</v>
      </c>
      <c r="AH138">
        <f ca="1">IFERROR(IF(0=LEN(ReferenceData!$AH$138),"",ReferenceData!$AH$138),"")</f>
        <v>10587.669</v>
      </c>
      <c r="AI138">
        <f ca="1">IFERROR(IF(0=LEN(ReferenceData!$AI$138),"",ReferenceData!$AI$138),"")</f>
        <v>11330.49</v>
      </c>
      <c r="AJ138">
        <f ca="1">IFERROR(IF(0=LEN(ReferenceData!$AJ$138),"",ReferenceData!$AJ$138),"")</f>
        <v>11126.0015</v>
      </c>
      <c r="AK138">
        <f ca="1">IFERROR(IF(0=LEN(ReferenceData!$AK$138),"",ReferenceData!$AK$138),"")</f>
        <v>10995.035</v>
      </c>
      <c r="AL138">
        <f ca="1">IFERROR(IF(0=LEN(ReferenceData!$AL$138),"",ReferenceData!$AL$138),"")</f>
        <v>12809.324000000001</v>
      </c>
      <c r="AM138">
        <f ca="1">IFERROR(IF(0=LEN(ReferenceData!$AM$138),"",ReferenceData!$AM$138),"")</f>
        <v>15811.498</v>
      </c>
      <c r="AN138">
        <f ca="1">IFERROR(IF(0=LEN(ReferenceData!$AN$138),"",ReferenceData!$AN$138),"")</f>
        <v>18691.939999999999</v>
      </c>
      <c r="AO138">
        <f ca="1">IFERROR(IF(0=LEN(ReferenceData!$AO$138),"",ReferenceData!$AO$138),"")</f>
        <v>21237.611000000001</v>
      </c>
      <c r="AP138">
        <f ca="1">IFERROR(IF(0=LEN(ReferenceData!$AP$138),"",ReferenceData!$AP$138),"")</f>
        <v>26703.727999999999</v>
      </c>
      <c r="AQ138">
        <f ca="1">IFERROR(IF(0=LEN(ReferenceData!$AQ$138),"",ReferenceData!$AQ$138),"")</f>
        <v>32505.64</v>
      </c>
      <c r="AR138">
        <f ca="1">IFERROR(IF(0=LEN(ReferenceData!$AR$138),"",ReferenceData!$AR$138),"")</f>
        <v>38234.972999999998</v>
      </c>
      <c r="AS138">
        <f ca="1">IFERROR(IF(0=LEN(ReferenceData!$AS$138),"",ReferenceData!$AS$138),"")</f>
        <v>37600.302000000003</v>
      </c>
      <c r="AT138">
        <f ca="1">IFERROR(IF(0=LEN(ReferenceData!$AT$138),"",ReferenceData!$AT$138),"")</f>
        <v>38566.606</v>
      </c>
      <c r="AU138">
        <f ca="1">IFERROR(IF(0=LEN(ReferenceData!$AU$138),"",ReferenceData!$AU$138),"")</f>
        <v>36266.845999999998</v>
      </c>
      <c r="AV138">
        <f ca="1">IFERROR(IF(0=LEN(ReferenceData!$AV$138),"",ReferenceData!$AV$138),"")</f>
        <v>33802.955690000003</v>
      </c>
      <c r="AW138">
        <f ca="1">IFERROR(IF(0=LEN(ReferenceData!$AW$138),"",ReferenceData!$AW$138),"")</f>
        <v>30468.269</v>
      </c>
      <c r="AX138">
        <f ca="1">IFERROR(IF(0=LEN(ReferenceData!$AX$138),"",ReferenceData!$AX$138),"")</f>
        <v>31657.995999999999</v>
      </c>
      <c r="AY138">
        <f ca="1">IFERROR(IF(0=LEN(ReferenceData!$AY$138),"",ReferenceData!$AY$138),"")</f>
        <v>29340.325000000001</v>
      </c>
      <c r="AZ138">
        <f ca="1">IFERROR(IF(0=LEN(ReferenceData!$AZ$138),"",ReferenceData!$AZ$138),"")</f>
        <v>25870.751</v>
      </c>
      <c r="BA138">
        <f ca="1">IFERROR(IF(0=LEN(ReferenceData!$BA$138),"",ReferenceData!$BA$138),"")</f>
        <v>24521.087</v>
      </c>
      <c r="BB138">
        <f ca="1">IFERROR(IF(0=LEN(ReferenceData!$BB$138),"",ReferenceData!$BB$138),"")</f>
        <v>22308.68</v>
      </c>
      <c r="BC138">
        <f ca="1">IFERROR(IF(0=LEN(ReferenceData!$BC$138),"",ReferenceData!$BC$138),"")</f>
        <v>20255.11</v>
      </c>
      <c r="BD138">
        <f ca="1">IFERROR(IF(0=LEN(ReferenceData!$BD$138),"",ReferenceData!$BD$138),"")</f>
        <v>17825.755000000001</v>
      </c>
      <c r="BE138">
        <f ca="1">IFERROR(IF(0=LEN(ReferenceData!$BE$138),"",ReferenceData!$BE$138),"")</f>
        <v>15934.9275</v>
      </c>
      <c r="BF138">
        <f ca="1">IFERROR(IF(0=LEN(ReferenceData!$BF$138),"",ReferenceData!$BF$138),"")</f>
        <v>14616.081</v>
      </c>
      <c r="BG138">
        <f ca="1">IFERROR(IF(0=LEN(ReferenceData!$BG$138),"",ReferenceData!$BG$138),"")</f>
        <v>11403.983</v>
      </c>
      <c r="BH138">
        <f ca="1">IFERROR(IF(0=LEN(ReferenceData!$BH$138),"",ReferenceData!$BH$138),"")</f>
        <v>11753.722</v>
      </c>
      <c r="BI138">
        <f ca="1">IFERROR(IF(0=LEN(ReferenceData!$BI$138),"",ReferenceData!$BI$138),"")</f>
        <v>11305.066500000001</v>
      </c>
      <c r="BJ138">
        <f ca="1">IFERROR(IF(0=LEN(ReferenceData!$BJ$138),"",ReferenceData!$BJ$138),"")</f>
        <v>10657.159</v>
      </c>
      <c r="BK138">
        <f ca="1">IFERROR(IF(0=LEN(ReferenceData!$BK$138),"",ReferenceData!$BK$138),"")</f>
        <v>3451.7635</v>
      </c>
      <c r="BL138">
        <f ca="1">IFERROR(IF(0=LEN(ReferenceData!$BL$138),"",ReferenceData!$BL$138),"")</f>
        <v>2835.0129999999999</v>
      </c>
      <c r="BM138">
        <f ca="1">IFERROR(IF(0=LEN(ReferenceData!$BM$138),"",ReferenceData!$BM$138),"")</f>
        <v>2823.145</v>
      </c>
    </row>
    <row r="139" spans="1:65">
      <c r="A139" t="str">
        <f>IFERROR(IF(0=LEN(ReferenceData!$A$139),"",ReferenceData!$A$139),"")</f>
        <v xml:space="preserve">    Total Office REITs</v>
      </c>
      <c r="B139" t="str">
        <f>IFERROR(IF(0=LEN(ReferenceData!$B$139),"",ReferenceData!$B$139),"")</f>
        <v>RECFDVOF Index</v>
      </c>
      <c r="C139" t="str">
        <f>IFERROR(IF(0=LEN(ReferenceData!$C$139),"",ReferenceData!$C$139),"")</f>
        <v>PR005</v>
      </c>
      <c r="D139" t="str">
        <f>IFERROR(IF(0=LEN(ReferenceData!$D$139),"",ReferenceData!$D$139),"")</f>
        <v>PX_LAST</v>
      </c>
      <c r="E139" t="str">
        <f>IFERROR(IF(0=LEN(ReferenceData!$E$139),"",ReferenceData!$E$139),"")</f>
        <v>动态</v>
      </c>
      <c r="F139">
        <f ca="1">IFERROR(IF(0=LEN(ReferenceData!$F$139),"",ReferenceData!$F$139),"")</f>
        <v>12031.406999999999</v>
      </c>
      <c r="G139">
        <f ca="1">IFERROR(IF(0=LEN(ReferenceData!$G$139),"",ReferenceData!$G$139),"")</f>
        <v>11582.31</v>
      </c>
      <c r="H139">
        <f ca="1">IFERROR(IF(0=LEN(ReferenceData!$H$139),"",ReferenceData!$H$139),"")</f>
        <v>11122.46</v>
      </c>
      <c r="I139">
        <f ca="1">IFERROR(IF(0=LEN(ReferenceData!$I$139),"",ReferenceData!$I$139),"")</f>
        <v>10850.764999999999</v>
      </c>
      <c r="J139">
        <f ca="1">IFERROR(IF(0=LEN(ReferenceData!$J$139),"",ReferenceData!$J$139),"")</f>
        <v>8728.15</v>
      </c>
      <c r="K139">
        <f ca="1">IFERROR(IF(0=LEN(ReferenceData!$K$139),"",ReferenceData!$K$139),"")</f>
        <v>7866.8379999999997</v>
      </c>
      <c r="L139">
        <f ca="1">IFERROR(IF(0=LEN(ReferenceData!$L$139),"",ReferenceData!$L$139),"")</f>
        <v>6932.9849999999997</v>
      </c>
      <c r="M139">
        <f ca="1">IFERROR(IF(0=LEN(ReferenceData!$M$139),"",ReferenceData!$M$139),"")</f>
        <v>7766.7020000000002</v>
      </c>
      <c r="N139">
        <f ca="1">IFERROR(IF(0=LEN(ReferenceData!$N$139),"",ReferenceData!$N$139),"")</f>
        <v>8234.2569999999996</v>
      </c>
      <c r="O139">
        <f ca="1">IFERROR(IF(0=LEN(ReferenceData!$O$139),"",ReferenceData!$O$139),"")</f>
        <v>9182.2139999999999</v>
      </c>
      <c r="P139">
        <f ca="1">IFERROR(IF(0=LEN(ReferenceData!$P$139),"",ReferenceData!$P$139),"")</f>
        <v>8892.6749999999993</v>
      </c>
      <c r="Q139">
        <f ca="1">IFERROR(IF(0=LEN(ReferenceData!$Q$139),"",ReferenceData!$Q$139),"")</f>
        <v>7309.7330000000002</v>
      </c>
      <c r="R139">
        <f ca="1">IFERROR(IF(0=LEN(ReferenceData!$R$139),"",ReferenceData!$R$139),"")</f>
        <v>7492.1419999999998</v>
      </c>
      <c r="S139">
        <f ca="1">IFERROR(IF(0=LEN(ReferenceData!$S$139),"",ReferenceData!$S$139),"")</f>
        <v>7346.7460000000001</v>
      </c>
      <c r="T139">
        <f ca="1">IFERROR(IF(0=LEN(ReferenceData!$T$139),"",ReferenceData!$T$139),"")</f>
        <v>8759.5149999999994</v>
      </c>
      <c r="U139">
        <f ca="1">IFERROR(IF(0=LEN(ReferenceData!$U$139),"",ReferenceData!$U$139),"")</f>
        <v>7233.9669999999996</v>
      </c>
      <c r="V139">
        <f ca="1">IFERROR(IF(0=LEN(ReferenceData!$V$139),"",ReferenceData!$V$139),"")</f>
        <v>6286.5690000000004</v>
      </c>
      <c r="W139">
        <f ca="1">IFERROR(IF(0=LEN(ReferenceData!$W$139),"",ReferenceData!$W$139),"")</f>
        <v>5283.4129999999996</v>
      </c>
      <c r="X139">
        <f ca="1">IFERROR(IF(0=LEN(ReferenceData!$X$139),"",ReferenceData!$X$139),"")</f>
        <v>5210.9430000000002</v>
      </c>
      <c r="Y139">
        <f ca="1">IFERROR(IF(0=LEN(ReferenceData!$Y$139),"",ReferenceData!$Y$139),"")</f>
        <v>4022.085</v>
      </c>
      <c r="Z139">
        <f ca="1">IFERROR(IF(0=LEN(ReferenceData!$Z$139),"",ReferenceData!$Z$139),"")</f>
        <v>4179.1170000000002</v>
      </c>
      <c r="AA139">
        <f ca="1">IFERROR(IF(0=LEN(ReferenceData!$AA$139),"",ReferenceData!$AA$139),"")</f>
        <v>2806.34</v>
      </c>
      <c r="AB139">
        <f ca="1">IFERROR(IF(0=LEN(ReferenceData!$AB$139),"",ReferenceData!$AB$139),"")</f>
        <v>2334.0239999999999</v>
      </c>
      <c r="AC139">
        <f ca="1">IFERROR(IF(0=LEN(ReferenceData!$AC$139),"",ReferenceData!$AC$139),"")</f>
        <v>2430.7260000000001</v>
      </c>
      <c r="AD139">
        <f ca="1">IFERROR(IF(0=LEN(ReferenceData!$AD$139),"",ReferenceData!$AD$139),"")</f>
        <v>2365.2620000000002</v>
      </c>
      <c r="AE139">
        <f ca="1">IFERROR(IF(0=LEN(ReferenceData!$AE$139),"",ReferenceData!$AE$139),"")</f>
        <v>2806.3310000000001</v>
      </c>
      <c r="AF139">
        <f ca="1">IFERROR(IF(0=LEN(ReferenceData!$AF$139),"",ReferenceData!$AF$139),"")</f>
        <v>3291.49</v>
      </c>
      <c r="AG139">
        <f ca="1">IFERROR(IF(0=LEN(ReferenceData!$AG$139),"",ReferenceData!$AG$139),"")</f>
        <v>2353.7359999999999</v>
      </c>
      <c r="AH139">
        <f ca="1">IFERROR(IF(0=LEN(ReferenceData!$AH$139),"",ReferenceData!$AH$139),"")</f>
        <v>2361.482</v>
      </c>
      <c r="AI139">
        <f ca="1">IFERROR(IF(0=LEN(ReferenceData!$AI$139),"",ReferenceData!$AI$139),"")</f>
        <v>2331.587</v>
      </c>
      <c r="AJ139">
        <f ca="1">IFERROR(IF(0=LEN(ReferenceData!$AJ$139),"",ReferenceData!$AJ$139),"")</f>
        <v>2171.9054999999998</v>
      </c>
      <c r="AK139">
        <f ca="1">IFERROR(IF(0=LEN(ReferenceData!$AK$139),"",ReferenceData!$AK$139),"")</f>
        <v>2208.6770000000001</v>
      </c>
      <c r="AL139">
        <f ca="1">IFERROR(IF(0=LEN(ReferenceData!$AL$139),"",ReferenceData!$AL$139),"")</f>
        <v>2008.88</v>
      </c>
      <c r="AM139">
        <f ca="1">IFERROR(IF(0=LEN(ReferenceData!$AM$139),"",ReferenceData!$AM$139),"")</f>
        <v>2117.6869999999999</v>
      </c>
      <c r="AN139">
        <f ca="1">IFERROR(IF(0=LEN(ReferenceData!$AN$139),"",ReferenceData!$AN$139),"")</f>
        <v>2355.221</v>
      </c>
      <c r="AO139">
        <f ca="1">IFERROR(IF(0=LEN(ReferenceData!$AO$139),"",ReferenceData!$AO$139),"")</f>
        <v>2526.8029999999999</v>
      </c>
      <c r="AP139">
        <f ca="1">IFERROR(IF(0=LEN(ReferenceData!$AP$139),"",ReferenceData!$AP$139),"")</f>
        <v>4334.5360000000001</v>
      </c>
      <c r="AQ139">
        <f ca="1">IFERROR(IF(0=LEN(ReferenceData!$AQ$139),"",ReferenceData!$AQ$139),"")</f>
        <v>5673.4719999999998</v>
      </c>
      <c r="AR139">
        <f ca="1">IFERROR(IF(0=LEN(ReferenceData!$AR$139),"",ReferenceData!$AR$139),"")</f>
        <v>5739.1239999999998</v>
      </c>
      <c r="AS139">
        <f ca="1">IFERROR(IF(0=LEN(ReferenceData!$AS$139),"",ReferenceData!$AS$139),"")</f>
        <v>5377.4260000000004</v>
      </c>
      <c r="AT139">
        <f ca="1">IFERROR(IF(0=LEN(ReferenceData!$AT$139),"",ReferenceData!$AT$139),"")</f>
        <v>5475.4769999999999</v>
      </c>
      <c r="AU139">
        <f ca="1">IFERROR(IF(0=LEN(ReferenceData!$AU$139),"",ReferenceData!$AU$139),"")</f>
        <v>5632.2709999999997</v>
      </c>
      <c r="AV139">
        <f ca="1">IFERROR(IF(0=LEN(ReferenceData!$AV$139),"",ReferenceData!$AV$139),"")</f>
        <v>3982.527</v>
      </c>
      <c r="AW139">
        <f ca="1">IFERROR(IF(0=LEN(ReferenceData!$AW$139),"",ReferenceData!$AW$139),"")</f>
        <v>4551.9539999999997</v>
      </c>
      <c r="AX139">
        <f ca="1">IFERROR(IF(0=LEN(ReferenceData!$AX$139),"",ReferenceData!$AX$139),"")</f>
        <v>5189.8599999999997</v>
      </c>
      <c r="AY139">
        <f ca="1">IFERROR(IF(0=LEN(ReferenceData!$AY$139),"",ReferenceData!$AY$139),"")</f>
        <v>3807.8879999999999</v>
      </c>
      <c r="AZ139">
        <f ca="1">IFERROR(IF(0=LEN(ReferenceData!$AZ$139),"",ReferenceData!$AZ$139),"")</f>
        <v>3571.9140000000002</v>
      </c>
      <c r="BA139">
        <f ca="1">IFERROR(IF(0=LEN(ReferenceData!$BA$139),"",ReferenceData!$BA$139),"")</f>
        <v>2863.027</v>
      </c>
      <c r="BB139">
        <f ca="1">IFERROR(IF(0=LEN(ReferenceData!$BB$139),"",ReferenceData!$BB$139),"")</f>
        <v>2882.38</v>
      </c>
      <c r="BC139">
        <f ca="1">IFERROR(IF(0=LEN(ReferenceData!$BC$139),"",ReferenceData!$BC$139),"")</f>
        <v>2410.009</v>
      </c>
      <c r="BD139">
        <f ca="1">IFERROR(IF(0=LEN(ReferenceData!$BD$139),"",ReferenceData!$BD$139),"")</f>
        <v>1616.5260000000001</v>
      </c>
      <c r="BE139">
        <f ca="1">IFERROR(IF(0=LEN(ReferenceData!$BE$139),"",ReferenceData!$BE$139),"")</f>
        <v>1334.5255</v>
      </c>
      <c r="BF139">
        <f ca="1">IFERROR(IF(0=LEN(ReferenceData!$BF$139),"",ReferenceData!$BF$139),"")</f>
        <v>1492.1980000000001</v>
      </c>
      <c r="BG139">
        <f ca="1">IFERROR(IF(0=LEN(ReferenceData!$BG$139),"",ReferenceData!$BG$139),"")</f>
        <v>1353.558</v>
      </c>
      <c r="BH139">
        <f ca="1">IFERROR(IF(0=LEN(ReferenceData!$BH$139),"",ReferenceData!$BH$139),"")</f>
        <v>1957.664</v>
      </c>
      <c r="BI139">
        <f ca="1">IFERROR(IF(0=LEN(ReferenceData!$BI$139),"",ReferenceData!$BI$139),"")</f>
        <v>1894.8689999999999</v>
      </c>
      <c r="BJ139">
        <f ca="1">IFERROR(IF(0=LEN(ReferenceData!$BJ$139),"",ReferenceData!$BJ$139),"")</f>
        <v>1587.941</v>
      </c>
      <c r="BK139">
        <f ca="1">IFERROR(IF(0=LEN(ReferenceData!$BK$139),"",ReferenceData!$BK$139),"")</f>
        <v>61.357999999999997</v>
      </c>
      <c r="BL139">
        <f ca="1">IFERROR(IF(0=LEN(ReferenceData!$BL$139),"",ReferenceData!$BL$139),"")</f>
        <v>34.85</v>
      </c>
      <c r="BM139">
        <f ca="1">IFERROR(IF(0=LEN(ReferenceData!$BM$139),"",ReferenceData!$BM$139),"")</f>
        <v>34.5</v>
      </c>
    </row>
    <row r="140" spans="1:65">
      <c r="A140" t="str">
        <f>IFERROR(IF(0=LEN(ReferenceData!$A$140),"",ReferenceData!$A$140),"")</f>
        <v xml:space="preserve">    Total Industrial REITs</v>
      </c>
      <c r="B140" t="str">
        <f>IFERROR(IF(0=LEN(ReferenceData!$B$140),"",ReferenceData!$B$140),"")</f>
        <v>RECFDVIN Index</v>
      </c>
      <c r="C140" t="str">
        <f>IFERROR(IF(0=LEN(ReferenceData!$C$140),"",ReferenceData!$C$140),"")</f>
        <v>PR005</v>
      </c>
      <c r="D140" t="str">
        <f>IFERROR(IF(0=LEN(ReferenceData!$D$140),"",ReferenceData!$D$140),"")</f>
        <v>PX_LAST</v>
      </c>
      <c r="E140" t="str">
        <f>IFERROR(IF(0=LEN(ReferenceData!$E$140),"",ReferenceData!$E$140),"")</f>
        <v>动态</v>
      </c>
      <c r="F140">
        <f ca="1">IFERROR(IF(0=LEN(ReferenceData!$F$140),"",ReferenceData!$F$140),"")</f>
        <v>6557.3559999999998</v>
      </c>
      <c r="G140">
        <f ca="1">IFERROR(IF(0=LEN(ReferenceData!$G$140),"",ReferenceData!$G$140),"")</f>
        <v>6655.0969999999998</v>
      </c>
      <c r="H140">
        <f ca="1">IFERROR(IF(0=LEN(ReferenceData!$H$140),"",ReferenceData!$H$140),"")</f>
        <v>6686.6620000000003</v>
      </c>
      <c r="I140">
        <f ca="1">IFERROR(IF(0=LEN(ReferenceData!$I$140),"",ReferenceData!$I$140),"")</f>
        <v>6306.3860000000004</v>
      </c>
      <c r="J140">
        <f ca="1">IFERROR(IF(0=LEN(ReferenceData!$J$140),"",ReferenceData!$J$140),"")</f>
        <v>6225.6019999999999</v>
      </c>
      <c r="K140">
        <f ca="1">IFERROR(IF(0=LEN(ReferenceData!$K$140),"",ReferenceData!$K$140),"")</f>
        <v>6107.5460000000003</v>
      </c>
      <c r="L140">
        <f ca="1">IFERROR(IF(0=LEN(ReferenceData!$L$140),"",ReferenceData!$L$140),"")</f>
        <v>5939.6980000000003</v>
      </c>
      <c r="M140">
        <f ca="1">IFERROR(IF(0=LEN(ReferenceData!$M$140),"",ReferenceData!$M$140),"")</f>
        <v>6456.6049999999996</v>
      </c>
      <c r="N140">
        <f ca="1">IFERROR(IF(0=LEN(ReferenceData!$N$140),"",ReferenceData!$N$140),"")</f>
        <v>6732.7190000000001</v>
      </c>
      <c r="O140">
        <f ca="1">IFERROR(IF(0=LEN(ReferenceData!$O$140),"",ReferenceData!$O$140),"")</f>
        <v>6427.3729999999996</v>
      </c>
      <c r="P140">
        <f ca="1">IFERROR(IF(0=LEN(ReferenceData!$P$140),"",ReferenceData!$P$140),"")</f>
        <v>6096.6189999999997</v>
      </c>
      <c r="Q140">
        <f ca="1">IFERROR(IF(0=LEN(ReferenceData!$Q$140),"",ReferenceData!$Q$140),"")</f>
        <v>5313.116</v>
      </c>
      <c r="R140">
        <f ca="1">IFERROR(IF(0=LEN(ReferenceData!$R$140),"",ReferenceData!$R$140),"")</f>
        <v>5561.7659999999996</v>
      </c>
      <c r="S140">
        <f ca="1">IFERROR(IF(0=LEN(ReferenceData!$S$140),"",ReferenceData!$S$140),"")</f>
        <v>5283.9690000000001</v>
      </c>
      <c r="T140">
        <f ca="1">IFERROR(IF(0=LEN(ReferenceData!$T$140),"",ReferenceData!$T$140),"")</f>
        <v>4049.527</v>
      </c>
      <c r="U140">
        <f ca="1">IFERROR(IF(0=LEN(ReferenceData!$U$140),"",ReferenceData!$U$140),"")</f>
        <v>3765.3359999999998</v>
      </c>
      <c r="V140">
        <f ca="1">IFERROR(IF(0=LEN(ReferenceData!$V$140),"",ReferenceData!$V$140),"")</f>
        <v>3380.65</v>
      </c>
      <c r="W140">
        <f ca="1">IFERROR(IF(0=LEN(ReferenceData!$W$140),"",ReferenceData!$W$140),"")</f>
        <v>2952.922</v>
      </c>
      <c r="X140">
        <f ca="1">IFERROR(IF(0=LEN(ReferenceData!$X$140),"",ReferenceData!$X$140),"")</f>
        <v>3117.4430000000002</v>
      </c>
      <c r="Y140">
        <f ca="1">IFERROR(IF(0=LEN(ReferenceData!$Y$140),"",ReferenceData!$Y$140),"")</f>
        <v>3013.1770000000001</v>
      </c>
      <c r="Z140">
        <f ca="1">IFERROR(IF(0=LEN(ReferenceData!$Z$140),"",ReferenceData!$Z$140),"")</f>
        <v>2725.95</v>
      </c>
      <c r="AA140">
        <f ca="1">IFERROR(IF(0=LEN(ReferenceData!$AA$140),"",ReferenceData!$AA$140),"")</f>
        <v>1994.097</v>
      </c>
      <c r="AB140">
        <f ca="1">IFERROR(IF(0=LEN(ReferenceData!$AB$140),"",ReferenceData!$AB$140),"")</f>
        <v>1860.375</v>
      </c>
      <c r="AC140">
        <f ca="1">IFERROR(IF(0=LEN(ReferenceData!$AC$140),"",ReferenceData!$AC$140),"")</f>
        <v>1740.682</v>
      </c>
      <c r="AD140">
        <f ca="1">IFERROR(IF(0=LEN(ReferenceData!$AD$140),"",ReferenceData!$AD$140),"")</f>
        <v>1722.069</v>
      </c>
      <c r="AE140">
        <f ca="1">IFERROR(IF(0=LEN(ReferenceData!$AE$140),"",ReferenceData!$AE$140),"")</f>
        <v>1470.412</v>
      </c>
      <c r="AF140">
        <f ca="1">IFERROR(IF(0=LEN(ReferenceData!$AF$140),"",ReferenceData!$AF$140),"")</f>
        <v>1457.7059999999999</v>
      </c>
      <c r="AG140">
        <f ca="1">IFERROR(IF(0=LEN(ReferenceData!$AG$140),"",ReferenceData!$AG$140),"")</f>
        <v>1395.634</v>
      </c>
      <c r="AH140">
        <f ca="1">IFERROR(IF(0=LEN(ReferenceData!$AH$140),"",ReferenceData!$AH$140),"")</f>
        <v>1439.5150000000001</v>
      </c>
      <c r="AI140">
        <f ca="1">IFERROR(IF(0=LEN(ReferenceData!$AI$140),"",ReferenceData!$AI$140),"")</f>
        <v>1377.9159999999999</v>
      </c>
      <c r="AJ140">
        <f ca="1">IFERROR(IF(0=LEN(ReferenceData!$AJ$140),"",ReferenceData!$AJ$140),"")</f>
        <v>1766.1510000000001</v>
      </c>
      <c r="AK140">
        <f ca="1">IFERROR(IF(0=LEN(ReferenceData!$AK$140),"",ReferenceData!$AK$140),"")</f>
        <v>2028.441</v>
      </c>
      <c r="AL140">
        <f ca="1">IFERROR(IF(0=LEN(ReferenceData!$AL$140),"",ReferenceData!$AL$140),"")</f>
        <v>1901.0340000000001</v>
      </c>
      <c r="AM140">
        <f ca="1">IFERROR(IF(0=LEN(ReferenceData!$AM$140),"",ReferenceData!$AM$140),"")</f>
        <v>2752.1370000000002</v>
      </c>
      <c r="AN140">
        <f ca="1">IFERROR(IF(0=LEN(ReferenceData!$AN$140),"",ReferenceData!$AN$140),"")</f>
        <v>3034.6469999999999</v>
      </c>
      <c r="AO140">
        <f ca="1">IFERROR(IF(0=LEN(ReferenceData!$AO$140),"",ReferenceData!$AO$140),"")</f>
        <v>4295.8130000000001</v>
      </c>
      <c r="AP140">
        <f ca="1">IFERROR(IF(0=LEN(ReferenceData!$AP$140),"",ReferenceData!$AP$140),"")</f>
        <v>5459.78</v>
      </c>
      <c r="AQ140">
        <f ca="1">IFERROR(IF(0=LEN(ReferenceData!$AQ$140),"",ReferenceData!$AQ$140),"")</f>
        <v>8020.8220000000001</v>
      </c>
      <c r="AR140">
        <f ca="1">IFERROR(IF(0=LEN(ReferenceData!$AR$140),"",ReferenceData!$AR$140),"")</f>
        <v>8965.1149999999998</v>
      </c>
      <c r="AS140">
        <f ca="1">IFERROR(IF(0=LEN(ReferenceData!$AS$140),"",ReferenceData!$AS$140),"")</f>
        <v>9109.0040000000008</v>
      </c>
      <c r="AT140">
        <f ca="1">IFERROR(IF(0=LEN(ReferenceData!$AT$140),"",ReferenceData!$AT$140),"")</f>
        <v>8918.3449999999993</v>
      </c>
      <c r="AU140">
        <f ca="1">IFERROR(IF(0=LEN(ReferenceData!$AU$140),"",ReferenceData!$AU$140),"")</f>
        <v>7529.4179999999997</v>
      </c>
      <c r="AV140">
        <f ca="1">IFERROR(IF(0=LEN(ReferenceData!$AV$140),"",ReferenceData!$AV$140),"")</f>
        <v>6814.6620000000003</v>
      </c>
      <c r="AW140">
        <f ca="1">IFERROR(IF(0=LEN(ReferenceData!$AW$140),"",ReferenceData!$AW$140),"")</f>
        <v>6591.3850000000002</v>
      </c>
      <c r="AX140">
        <f ca="1">IFERROR(IF(0=LEN(ReferenceData!$AX$140),"",ReferenceData!$AX$140),"")</f>
        <v>6008.6540000000005</v>
      </c>
      <c r="AY140">
        <f ca="1">IFERROR(IF(0=LEN(ReferenceData!$AY$140),"",ReferenceData!$AY$140),"")</f>
        <v>5501.5339999999997</v>
      </c>
      <c r="AZ140">
        <f ca="1">IFERROR(IF(0=LEN(ReferenceData!$AZ$140),"",ReferenceData!$AZ$140),"")</f>
        <v>5275.7830000000004</v>
      </c>
      <c r="BA140">
        <f ca="1">IFERROR(IF(0=LEN(ReferenceData!$BA$140),"",ReferenceData!$BA$140),"")</f>
        <v>5013.076</v>
      </c>
      <c r="BB140">
        <f ca="1">IFERROR(IF(0=LEN(ReferenceData!$BB$140),"",ReferenceData!$BB$140),"")</f>
        <v>4747.1959999999999</v>
      </c>
      <c r="BC140">
        <f ca="1">IFERROR(IF(0=LEN(ReferenceData!$BC$140),"",ReferenceData!$BC$140),"")</f>
        <v>4740.951</v>
      </c>
      <c r="BD140">
        <f ca="1">IFERROR(IF(0=LEN(ReferenceData!$BD$140),"",ReferenceData!$BD$140),"")</f>
        <v>4311.692</v>
      </c>
      <c r="BE140">
        <f ca="1">IFERROR(IF(0=LEN(ReferenceData!$BE$140),"",ReferenceData!$BE$140),"")</f>
        <v>3973.9560000000001</v>
      </c>
      <c r="BF140">
        <f ca="1">IFERROR(IF(0=LEN(ReferenceData!$BF$140),"",ReferenceData!$BF$140),"")</f>
        <v>2146.7640000000001</v>
      </c>
      <c r="BG140">
        <f ca="1">IFERROR(IF(0=LEN(ReferenceData!$BG$140),"",ReferenceData!$BG$140),"")</f>
        <v>1807.2260000000001</v>
      </c>
      <c r="BH140">
        <f ca="1">IFERROR(IF(0=LEN(ReferenceData!$BH$140),"",ReferenceData!$BH$140),"")</f>
        <v>1533.8789999999999</v>
      </c>
      <c r="BI140">
        <f ca="1">IFERROR(IF(0=LEN(ReferenceData!$BI$140),"",ReferenceData!$BI$140),"")</f>
        <v>1518.5029999999999</v>
      </c>
      <c r="BJ140">
        <f ca="1">IFERROR(IF(0=LEN(ReferenceData!$BJ$140),"",ReferenceData!$BJ$140),"")</f>
        <v>1241.5239999999999</v>
      </c>
      <c r="BK140">
        <f ca="1">IFERROR(IF(0=LEN(ReferenceData!$BK$140),"",ReferenceData!$BK$140),"")</f>
        <v>811.55399999999997</v>
      </c>
      <c r="BL140">
        <f ca="1">IFERROR(IF(0=LEN(ReferenceData!$BL$140),"",ReferenceData!$BL$140),"")</f>
        <v>711.92</v>
      </c>
      <c r="BM140">
        <f ca="1">IFERROR(IF(0=LEN(ReferenceData!$BM$140),"",ReferenceData!$BM$140),"")</f>
        <v>688.33399999999995</v>
      </c>
    </row>
    <row r="141" spans="1:65">
      <c r="A141" t="str">
        <f>IFERROR(IF(0=LEN(ReferenceData!$A$141),"",ReferenceData!$A$141),"")</f>
        <v xml:space="preserve">    Total Retail REITs</v>
      </c>
      <c r="B141" t="str">
        <f>IFERROR(IF(0=LEN(ReferenceData!$B$141),"",ReferenceData!$B$141),"")</f>
        <v>RECFDVRT Index</v>
      </c>
      <c r="C141" t="str">
        <f>IFERROR(IF(0=LEN(ReferenceData!$C$141),"",ReferenceData!$C$141),"")</f>
        <v>PR005</v>
      </c>
      <c r="D141" t="str">
        <f>IFERROR(IF(0=LEN(ReferenceData!$D$141),"",ReferenceData!$D$141),"")</f>
        <v>PX_LAST</v>
      </c>
      <c r="E141" t="str">
        <f>IFERROR(IF(0=LEN(ReferenceData!$E$141),"",ReferenceData!$E$141),"")</f>
        <v>动态</v>
      </c>
      <c r="F141">
        <f ca="1">IFERROR(IF(0=LEN(ReferenceData!$F$141),"",ReferenceData!$F$141),"")</f>
        <v>3122.0259999999998</v>
      </c>
      <c r="G141">
        <f ca="1">IFERROR(IF(0=LEN(ReferenceData!$G$141),"",ReferenceData!$G$141),"")</f>
        <v>3223.982</v>
      </c>
      <c r="H141">
        <f ca="1">IFERROR(IF(0=LEN(ReferenceData!$H$141),"",ReferenceData!$H$141),"")</f>
        <v>3509.5770000000002</v>
      </c>
      <c r="I141">
        <f ca="1">IFERROR(IF(0=LEN(ReferenceData!$I$141),"",ReferenceData!$I$141),"")</f>
        <v>4139.1080000000002</v>
      </c>
      <c r="J141">
        <f ca="1">IFERROR(IF(0=LEN(ReferenceData!$J$141),"",ReferenceData!$J$141),"")</f>
        <v>4191.7759999999998</v>
      </c>
      <c r="K141">
        <f ca="1">IFERROR(IF(0=LEN(ReferenceData!$K$141),"",ReferenceData!$K$141),"")</f>
        <v>4447.4520000000002</v>
      </c>
      <c r="L141">
        <f ca="1">IFERROR(IF(0=LEN(ReferenceData!$L$141),"",ReferenceData!$L$141),"")</f>
        <v>5759.125</v>
      </c>
      <c r="M141">
        <f ca="1">IFERROR(IF(0=LEN(ReferenceData!$M$141),"",ReferenceData!$M$141),"")</f>
        <v>6350.79</v>
      </c>
      <c r="N141">
        <f ca="1">IFERROR(IF(0=LEN(ReferenceData!$N$141),"",ReferenceData!$N$141),"")</f>
        <v>6624.8280000000004</v>
      </c>
      <c r="O141">
        <f ca="1">IFERROR(IF(0=LEN(ReferenceData!$O$141),"",ReferenceData!$O$141),"")</f>
        <v>6538.5290000000005</v>
      </c>
      <c r="P141">
        <f ca="1">IFERROR(IF(0=LEN(ReferenceData!$P$141),"",ReferenceData!$P$141),"")</f>
        <v>6607.8580000000002</v>
      </c>
      <c r="Q141">
        <f ca="1">IFERROR(IF(0=LEN(ReferenceData!$Q$141),"",ReferenceData!$Q$141),"")</f>
        <v>6519.4290000000001</v>
      </c>
      <c r="R141">
        <f ca="1">IFERROR(IF(0=LEN(ReferenceData!$R$141),"",ReferenceData!$R$141),"")</f>
        <v>6777.1769999999997</v>
      </c>
      <c r="S141">
        <f ca="1">IFERROR(IF(0=LEN(ReferenceData!$S$141),"",ReferenceData!$S$141),"")</f>
        <v>7010.2960000000003</v>
      </c>
      <c r="T141">
        <f ca="1">IFERROR(IF(0=LEN(ReferenceData!$T$141),"",ReferenceData!$T$141),"")</f>
        <v>6741.5919999999996</v>
      </c>
      <c r="U141">
        <f ca="1">IFERROR(IF(0=LEN(ReferenceData!$U$141),"",ReferenceData!$U$141),"")</f>
        <v>6020.4530000000004</v>
      </c>
      <c r="V141">
        <f ca="1">IFERROR(IF(0=LEN(ReferenceData!$V$141),"",ReferenceData!$V$141),"")</f>
        <v>6297.5789999999997</v>
      </c>
      <c r="W141">
        <f ca="1">IFERROR(IF(0=LEN(ReferenceData!$W$141),"",ReferenceData!$W$141),"")</f>
        <v>6187.9620000000004</v>
      </c>
      <c r="X141">
        <f ca="1">IFERROR(IF(0=LEN(ReferenceData!$X$141),"",ReferenceData!$X$141),"")</f>
        <v>4543.1189999999997</v>
      </c>
      <c r="Y141">
        <f ca="1">IFERROR(IF(0=LEN(ReferenceData!$Y$141),"",ReferenceData!$Y$141),"")</f>
        <v>4499.8249999999998</v>
      </c>
      <c r="Z141">
        <f ca="1">IFERROR(IF(0=LEN(ReferenceData!$Z$141),"",ReferenceData!$Z$141),"")</f>
        <v>4026.6819999999998</v>
      </c>
      <c r="AA141">
        <f ca="1">IFERROR(IF(0=LEN(ReferenceData!$AA$141),"",ReferenceData!$AA$141),"")</f>
        <v>4391.9120000000003</v>
      </c>
      <c r="AB141">
        <f ca="1">IFERROR(IF(0=LEN(ReferenceData!$AB$141),"",ReferenceData!$AB$141),"")</f>
        <v>4009.288</v>
      </c>
      <c r="AC141">
        <f ca="1">IFERROR(IF(0=LEN(ReferenceData!$AC$141),"",ReferenceData!$AC$141),"")</f>
        <v>3892.3910000000001</v>
      </c>
      <c r="AD141">
        <f ca="1">IFERROR(IF(0=LEN(ReferenceData!$AD$141),"",ReferenceData!$AD$141),"")</f>
        <v>3291.9079999999999</v>
      </c>
      <c r="AE141">
        <f ca="1">IFERROR(IF(0=LEN(ReferenceData!$AE$141),"",ReferenceData!$AE$141),"")</f>
        <v>3027.627</v>
      </c>
      <c r="AF141">
        <f ca="1">IFERROR(IF(0=LEN(ReferenceData!$AF$141),"",ReferenceData!$AF$141),"")</f>
        <v>2798.7959999999998</v>
      </c>
      <c r="AG141">
        <f ca="1">IFERROR(IF(0=LEN(ReferenceData!$AG$141),"",ReferenceData!$AG$141),"")</f>
        <v>2629.7759999999998</v>
      </c>
      <c r="AH141">
        <f ca="1">IFERROR(IF(0=LEN(ReferenceData!$AH$141),"",ReferenceData!$AH$141),"")</f>
        <v>2630.3440000000001</v>
      </c>
      <c r="AI141">
        <f ca="1">IFERROR(IF(0=LEN(ReferenceData!$AI$141),"",ReferenceData!$AI$141),"")</f>
        <v>2985.9119999999998</v>
      </c>
      <c r="AJ141">
        <f ca="1">IFERROR(IF(0=LEN(ReferenceData!$AJ$141),"",ReferenceData!$AJ$141),"")</f>
        <v>2719.06</v>
      </c>
      <c r="AK141">
        <f ca="1">IFERROR(IF(0=LEN(ReferenceData!$AK$141),"",ReferenceData!$AK$141),"")</f>
        <v>2805.7820000000002</v>
      </c>
      <c r="AL141">
        <f ca="1">IFERROR(IF(0=LEN(ReferenceData!$AL$141),"",ReferenceData!$AL$141),"")</f>
        <v>4016.3330000000001</v>
      </c>
      <c r="AM141">
        <f ca="1">IFERROR(IF(0=LEN(ReferenceData!$AM$141),"",ReferenceData!$AM$141),"")</f>
        <v>5266.4629999999997</v>
      </c>
      <c r="AN141">
        <f ca="1">IFERROR(IF(0=LEN(ReferenceData!$AN$141),"",ReferenceData!$AN$141),"")</f>
        <v>6576.8469999999998</v>
      </c>
      <c r="AO141">
        <f ca="1">IFERROR(IF(0=LEN(ReferenceData!$AO$141),"",ReferenceData!$AO$141),"")</f>
        <v>6900.8680000000004</v>
      </c>
      <c r="AP141">
        <f ca="1">IFERROR(IF(0=LEN(ReferenceData!$AP$141),"",ReferenceData!$AP$141),"")</f>
        <v>7651.8010000000004</v>
      </c>
      <c r="AQ141">
        <f ca="1">IFERROR(IF(0=LEN(ReferenceData!$AQ$141),"",ReferenceData!$AQ$141),"")</f>
        <v>8281.9259999999995</v>
      </c>
      <c r="AR141">
        <f ca="1">IFERROR(IF(0=LEN(ReferenceData!$AR$141),"",ReferenceData!$AR$141),"")</f>
        <v>11156.143</v>
      </c>
      <c r="AS141">
        <f ca="1">IFERROR(IF(0=LEN(ReferenceData!$AS$141),"",ReferenceData!$AS$141),"")</f>
        <v>9705.8690000000006</v>
      </c>
      <c r="AT141">
        <f ca="1">IFERROR(IF(0=LEN(ReferenceData!$AT$141),"",ReferenceData!$AT$141),"")</f>
        <v>10624.098</v>
      </c>
      <c r="AU141">
        <f ca="1">IFERROR(IF(0=LEN(ReferenceData!$AU$141),"",ReferenceData!$AU$141),"")</f>
        <v>11400.891</v>
      </c>
      <c r="AV141">
        <f ca="1">IFERROR(IF(0=LEN(ReferenceData!$AV$141),"",ReferenceData!$AV$141),"")</f>
        <v>10819.849</v>
      </c>
      <c r="AW141">
        <f ca="1">IFERROR(IF(0=LEN(ReferenceData!$AW$141),"",ReferenceData!$AW$141),"")</f>
        <v>8834.0689999999995</v>
      </c>
      <c r="AX141">
        <f ca="1">IFERROR(IF(0=LEN(ReferenceData!$AX$141),"",ReferenceData!$AX$141),"")</f>
        <v>8564.7029999999995</v>
      </c>
      <c r="AY141">
        <f ca="1">IFERROR(IF(0=LEN(ReferenceData!$AY$141),"",ReferenceData!$AY$141),"")</f>
        <v>8034.9279999999999</v>
      </c>
      <c r="AZ141">
        <f ca="1">IFERROR(IF(0=LEN(ReferenceData!$AZ$141),"",ReferenceData!$AZ$141),"")</f>
        <v>6495.43</v>
      </c>
      <c r="BA141">
        <f ca="1">IFERROR(IF(0=LEN(ReferenceData!$BA$141),"",ReferenceData!$BA$141),"")</f>
        <v>6713.1779999999999</v>
      </c>
      <c r="BB141">
        <f ca="1">IFERROR(IF(0=LEN(ReferenceData!$BB$141),"",ReferenceData!$BB$141),"")</f>
        <v>6119.4660000000003</v>
      </c>
      <c r="BC141">
        <f ca="1">IFERROR(IF(0=LEN(ReferenceData!$BC$141),"",ReferenceData!$BC$141),"")</f>
        <v>4967.2299999999996</v>
      </c>
      <c r="BD141">
        <f ca="1">IFERROR(IF(0=LEN(ReferenceData!$BD$141),"",ReferenceData!$BD$141),"")</f>
        <v>3665.6909999999998</v>
      </c>
      <c r="BE141">
        <f ca="1">IFERROR(IF(0=LEN(ReferenceData!$BE$141),"",ReferenceData!$BE$141),"")</f>
        <v>3424.4789999999998</v>
      </c>
      <c r="BF141">
        <f ca="1">IFERROR(IF(0=LEN(ReferenceData!$BF$141),"",ReferenceData!$BF$141),"")</f>
        <v>4131.9589999999998</v>
      </c>
      <c r="BG141">
        <f ca="1">IFERROR(IF(0=LEN(ReferenceData!$BG$141),"",ReferenceData!$BG$141),"")</f>
        <v>3847.2730000000001</v>
      </c>
      <c r="BH141">
        <f ca="1">IFERROR(IF(0=LEN(ReferenceData!$BH$141),"",ReferenceData!$BH$141),"")</f>
        <v>3843.6320000000001</v>
      </c>
      <c r="BI141">
        <f ca="1">IFERROR(IF(0=LEN(ReferenceData!$BI$141),"",ReferenceData!$BI$141),"")</f>
        <v>3570.3180000000002</v>
      </c>
      <c r="BJ141">
        <f ca="1">IFERROR(IF(0=LEN(ReferenceData!$BJ$141),"",ReferenceData!$BJ$141),"")</f>
        <v>3107.0079999999998</v>
      </c>
      <c r="BK141">
        <f ca="1">IFERROR(IF(0=LEN(ReferenceData!$BK$141),"",ReferenceData!$BK$141),"")</f>
        <v>1323.9514999999999</v>
      </c>
      <c r="BL141">
        <f ca="1">IFERROR(IF(0=LEN(ReferenceData!$BL$141),"",ReferenceData!$BL$141),"")</f>
        <v>750.14300000000003</v>
      </c>
      <c r="BM141">
        <f ca="1">IFERROR(IF(0=LEN(ReferenceData!$BM$141),"",ReferenceData!$BM$141),"")</f>
        <v>734.51099999999997</v>
      </c>
    </row>
    <row r="142" spans="1:65">
      <c r="A142" t="str">
        <f>IFERROR(IF(0=LEN(ReferenceData!$A$142),"",ReferenceData!$A$142),"")</f>
        <v xml:space="preserve">    Total Residential REITs</v>
      </c>
      <c r="B142" t="str">
        <f>IFERROR(IF(0=LEN(ReferenceData!$B$142),"",ReferenceData!$B$142),"")</f>
        <v>RECFDVRS Index</v>
      </c>
      <c r="C142" t="str">
        <f>IFERROR(IF(0=LEN(ReferenceData!$C$142),"",ReferenceData!$C$142),"")</f>
        <v>PR005</v>
      </c>
      <c r="D142" t="str">
        <f>IFERROR(IF(0=LEN(ReferenceData!$D$142),"",ReferenceData!$D$142),"")</f>
        <v>PX_LAST</v>
      </c>
      <c r="E142" t="str">
        <f>IFERROR(IF(0=LEN(ReferenceData!$E$142),"",ReferenceData!$E$142),"")</f>
        <v>动态</v>
      </c>
      <c r="F142">
        <f ca="1">IFERROR(IF(0=LEN(ReferenceData!$F$142),"",ReferenceData!$F$142),"")</f>
        <v>9201.7170000000006</v>
      </c>
      <c r="G142">
        <f ca="1">IFERROR(IF(0=LEN(ReferenceData!$G$142),"",ReferenceData!$G$142),"")</f>
        <v>9315.2880000000005</v>
      </c>
      <c r="H142">
        <f ca="1">IFERROR(IF(0=LEN(ReferenceData!$H$142),"",ReferenceData!$H$142),"")</f>
        <v>10603.96</v>
      </c>
      <c r="I142">
        <f ca="1">IFERROR(IF(0=LEN(ReferenceData!$I$142),"",ReferenceData!$I$142),"")</f>
        <v>10791.998</v>
      </c>
      <c r="J142">
        <f ca="1">IFERROR(IF(0=LEN(ReferenceData!$J$142),"",ReferenceData!$J$142),"")</f>
        <v>11402.929</v>
      </c>
      <c r="K142">
        <f ca="1">IFERROR(IF(0=LEN(ReferenceData!$K$142),"",ReferenceData!$K$142),"")</f>
        <v>9632.6720000000005</v>
      </c>
      <c r="L142">
        <f ca="1">IFERROR(IF(0=LEN(ReferenceData!$L$142),"",ReferenceData!$L$142),"")</f>
        <v>9983.1170000000002</v>
      </c>
      <c r="M142">
        <f ca="1">IFERROR(IF(0=LEN(ReferenceData!$M$142),"",ReferenceData!$M$142),"")</f>
        <v>10913.353999999999</v>
      </c>
      <c r="N142">
        <f ca="1">IFERROR(IF(0=LEN(ReferenceData!$N$142),"",ReferenceData!$N$142),"")</f>
        <v>10789.512000000001</v>
      </c>
      <c r="O142">
        <f ca="1">IFERROR(IF(0=LEN(ReferenceData!$O$142),"",ReferenceData!$O$142),"")</f>
        <v>11447.496999999999</v>
      </c>
      <c r="P142">
        <f ca="1">IFERROR(IF(0=LEN(ReferenceData!$P$142),"",ReferenceData!$P$142),"")</f>
        <v>12931.945</v>
      </c>
      <c r="Q142">
        <f ca="1">IFERROR(IF(0=LEN(ReferenceData!$Q$142),"",ReferenceData!$Q$142),"")</f>
        <v>12751.938</v>
      </c>
      <c r="R142">
        <f ca="1">IFERROR(IF(0=LEN(ReferenceData!$R$142),"",ReferenceData!$R$142),"")</f>
        <v>11814.862999999999</v>
      </c>
      <c r="S142">
        <f ca="1">IFERROR(IF(0=LEN(ReferenceData!$S$142),"",ReferenceData!$S$142),"")</f>
        <v>10451.9</v>
      </c>
      <c r="T142">
        <f ca="1">IFERROR(IF(0=LEN(ReferenceData!$T$142),"",ReferenceData!$T$142),"")</f>
        <v>10571.867</v>
      </c>
      <c r="U142">
        <f ca="1">IFERROR(IF(0=LEN(ReferenceData!$U$142),"",ReferenceData!$U$142),"")</f>
        <v>10697.297</v>
      </c>
      <c r="V142">
        <f ca="1">IFERROR(IF(0=LEN(ReferenceData!$V$142),"",ReferenceData!$V$142),"")</f>
        <v>10859.084000000001</v>
      </c>
      <c r="W142">
        <f ca="1">IFERROR(IF(0=LEN(ReferenceData!$W$142),"",ReferenceData!$W$142),"")</f>
        <v>10250.932000000001</v>
      </c>
      <c r="X142">
        <f ca="1">IFERROR(IF(0=LEN(ReferenceData!$X$142),"",ReferenceData!$X$142),"")</f>
        <v>9914.8709999999992</v>
      </c>
      <c r="Y142">
        <f ca="1">IFERROR(IF(0=LEN(ReferenceData!$Y$142),"",ReferenceData!$Y$142),"")</f>
        <v>9475.3770000000004</v>
      </c>
      <c r="Z142">
        <f ca="1">IFERROR(IF(0=LEN(ReferenceData!$Z$142),"",ReferenceData!$Z$142),"")</f>
        <v>7950.8119999999999</v>
      </c>
      <c r="AA142">
        <f ca="1">IFERROR(IF(0=LEN(ReferenceData!$AA$142),"",ReferenceData!$AA$142),"")</f>
        <v>6931.4210000000003</v>
      </c>
      <c r="AB142">
        <f ca="1">IFERROR(IF(0=LEN(ReferenceData!$AB$142),"",ReferenceData!$AB$142),"")</f>
        <v>7284.7790000000005</v>
      </c>
      <c r="AC142">
        <f ca="1">IFERROR(IF(0=LEN(ReferenceData!$AC$142),"",ReferenceData!$AC$142),"")</f>
        <v>6422.75</v>
      </c>
      <c r="AD142">
        <f ca="1">IFERROR(IF(0=LEN(ReferenceData!$AD$142),"",ReferenceData!$AD$142),"")</f>
        <v>5992.3950000000004</v>
      </c>
      <c r="AE142">
        <f ca="1">IFERROR(IF(0=LEN(ReferenceData!$AE$142),"",ReferenceData!$AE$142),"")</f>
        <v>4389.1779999999999</v>
      </c>
      <c r="AF142">
        <f ca="1">IFERROR(IF(0=LEN(ReferenceData!$AF$142),"",ReferenceData!$AF$142),"")</f>
        <v>4082.692</v>
      </c>
      <c r="AG142">
        <f ca="1">IFERROR(IF(0=LEN(ReferenceData!$AG$142),"",ReferenceData!$AG$142),"")</f>
        <v>2849.893</v>
      </c>
      <c r="AH142">
        <f ca="1">IFERROR(IF(0=LEN(ReferenceData!$AH$142),"",ReferenceData!$AH$142),"")</f>
        <v>2800.0740000000001</v>
      </c>
      <c r="AI142">
        <f ca="1">IFERROR(IF(0=LEN(ReferenceData!$AI$142),"",ReferenceData!$AI$142),"")</f>
        <v>3178.5259999999998</v>
      </c>
      <c r="AJ142">
        <f ca="1">IFERROR(IF(0=LEN(ReferenceData!$AJ$142),"",ReferenceData!$AJ$142),"")</f>
        <v>2967.5189999999998</v>
      </c>
      <c r="AK142">
        <f ca="1">IFERROR(IF(0=LEN(ReferenceData!$AK$142),"",ReferenceData!$AK$142),"")</f>
        <v>2869.6419999999998</v>
      </c>
      <c r="AL142">
        <f ca="1">IFERROR(IF(0=LEN(ReferenceData!$AL$142),"",ReferenceData!$AL$142),"")</f>
        <v>3237.7640000000001</v>
      </c>
      <c r="AM142">
        <f ca="1">IFERROR(IF(0=LEN(ReferenceData!$AM$142),"",ReferenceData!$AM$142),"")</f>
        <v>3788.1439999999998</v>
      </c>
      <c r="AN142">
        <f ca="1">IFERROR(IF(0=LEN(ReferenceData!$AN$142),"",ReferenceData!$AN$142),"")</f>
        <v>4414.37</v>
      </c>
      <c r="AO142">
        <f ca="1">IFERROR(IF(0=LEN(ReferenceData!$AO$142),"",ReferenceData!$AO$142),"")</f>
        <v>4931.3860000000004</v>
      </c>
      <c r="AP142">
        <f ca="1">IFERROR(IF(0=LEN(ReferenceData!$AP$142),"",ReferenceData!$AP$142),"")</f>
        <v>5821.3590000000004</v>
      </c>
      <c r="AQ142">
        <f ca="1">IFERROR(IF(0=LEN(ReferenceData!$AQ$142),"",ReferenceData!$AQ$142),"")</f>
        <v>6732.74</v>
      </c>
      <c r="AR142">
        <f ca="1">IFERROR(IF(0=LEN(ReferenceData!$AR$142),"",ReferenceData!$AR$142),"")</f>
        <v>8238.2270000000008</v>
      </c>
      <c r="AS142">
        <f ca="1">IFERROR(IF(0=LEN(ReferenceData!$AS$142),"",ReferenceData!$AS$142),"")</f>
        <v>9191.6270000000004</v>
      </c>
      <c r="AT142">
        <f ca="1">IFERROR(IF(0=LEN(ReferenceData!$AT$142),"",ReferenceData!$AT$142),"")</f>
        <v>9017.8369999999995</v>
      </c>
      <c r="AU142">
        <f ca="1">IFERROR(IF(0=LEN(ReferenceData!$AU$142),"",ReferenceData!$AU$142),"")</f>
        <v>8290.8960000000006</v>
      </c>
      <c r="AV142">
        <f ca="1">IFERROR(IF(0=LEN(ReferenceData!$AV$142),"",ReferenceData!$AV$142),"")</f>
        <v>8385.1826860000001</v>
      </c>
      <c r="AW142">
        <f ca="1">IFERROR(IF(0=LEN(ReferenceData!$AW$142),"",ReferenceData!$AW$142),"")</f>
        <v>7032.6120000000001</v>
      </c>
      <c r="AX142">
        <f ca="1">IFERROR(IF(0=LEN(ReferenceData!$AX$142),"",ReferenceData!$AX$142),"")</f>
        <v>8744.1319999999996</v>
      </c>
      <c r="AY142">
        <f ca="1">IFERROR(IF(0=LEN(ReferenceData!$AY$142),"",ReferenceData!$AY$142),"")</f>
        <v>8456.8860000000004</v>
      </c>
      <c r="AZ142">
        <f ca="1">IFERROR(IF(0=LEN(ReferenceData!$AZ$142),"",ReferenceData!$AZ$142),"")</f>
        <v>7331.125</v>
      </c>
      <c r="BA142">
        <f ca="1">IFERROR(IF(0=LEN(ReferenceData!$BA$142),"",ReferenceData!$BA$142),"")</f>
        <v>6940.3109999999997</v>
      </c>
      <c r="BB142">
        <f ca="1">IFERROR(IF(0=LEN(ReferenceData!$BB$142),"",ReferenceData!$BB$142),"")</f>
        <v>6109.4440000000004</v>
      </c>
      <c r="BC142">
        <f ca="1">IFERROR(IF(0=LEN(ReferenceData!$BC$142),"",ReferenceData!$BC$142),"")</f>
        <v>5788.1019999999999</v>
      </c>
      <c r="BD142">
        <f ca="1">IFERROR(IF(0=LEN(ReferenceData!$BD$142),"",ReferenceData!$BD$142),"")</f>
        <v>6312.4719999999998</v>
      </c>
      <c r="BE142">
        <f ca="1">IFERROR(IF(0=LEN(ReferenceData!$BE$142),"",ReferenceData!$BE$142),"")</f>
        <v>4143.7330000000002</v>
      </c>
      <c r="BF142">
        <f ca="1">IFERROR(IF(0=LEN(ReferenceData!$BF$142),"",ReferenceData!$BF$142),"")</f>
        <v>3747.2289999999998</v>
      </c>
      <c r="BG142">
        <f ca="1">IFERROR(IF(0=LEN(ReferenceData!$BG$142),"",ReferenceData!$BG$142),"")</f>
        <v>3364.6120000000001</v>
      </c>
      <c r="BH142">
        <f ca="1">IFERROR(IF(0=LEN(ReferenceData!$BH$142),"",ReferenceData!$BH$142),"")</f>
        <v>3516.268</v>
      </c>
      <c r="BI142">
        <f ca="1">IFERROR(IF(0=LEN(ReferenceData!$BI$142),"",ReferenceData!$BI$142),"")</f>
        <v>3542.6075000000001</v>
      </c>
      <c r="BJ142">
        <f ca="1">IFERROR(IF(0=LEN(ReferenceData!$BJ$142),"",ReferenceData!$BJ$142),"")</f>
        <v>3930.3380000000002</v>
      </c>
      <c r="BK142">
        <f ca="1">IFERROR(IF(0=LEN(ReferenceData!$BK$142),"",ReferenceData!$BK$142),"")</f>
        <v>1065.9000000000001</v>
      </c>
      <c r="BL142">
        <f ca="1">IFERROR(IF(0=LEN(ReferenceData!$BL$142),"",ReferenceData!$BL$142),"")</f>
        <v>1148.8</v>
      </c>
      <c r="BM142">
        <f ca="1">IFERROR(IF(0=LEN(ReferenceData!$BM$142),"",ReferenceData!$BM$142),"")</f>
        <v>1177.2</v>
      </c>
    </row>
    <row r="143" spans="1:65">
      <c r="A143" t="str">
        <f>IFERROR(IF(0=LEN(ReferenceData!$A$143),"",ReferenceData!$A$143),"")</f>
        <v xml:space="preserve">    Total Diversified REITs</v>
      </c>
      <c r="B143" t="str">
        <f>IFERROR(IF(0=LEN(ReferenceData!$B$143),"",ReferenceData!$B$143),"")</f>
        <v>RECFDVDV Index</v>
      </c>
      <c r="C143" t="str">
        <f>IFERROR(IF(0=LEN(ReferenceData!$C$143),"",ReferenceData!$C$143),"")</f>
        <v>PR005</v>
      </c>
      <c r="D143" t="str">
        <f>IFERROR(IF(0=LEN(ReferenceData!$D$143),"",ReferenceData!$D$143),"")</f>
        <v>PX_LAST</v>
      </c>
      <c r="E143" t="str">
        <f>IFERROR(IF(0=LEN(ReferenceData!$E$143),"",ReferenceData!$E$143),"")</f>
        <v>动态</v>
      </c>
      <c r="F143">
        <f ca="1">IFERROR(IF(0=LEN(ReferenceData!$F$143),"",ReferenceData!$F$143),"")</f>
        <v>5769.5770000000002</v>
      </c>
      <c r="G143">
        <f ca="1">IFERROR(IF(0=LEN(ReferenceData!$G$143),"",ReferenceData!$G$143),"")</f>
        <v>5813.8230000000003</v>
      </c>
      <c r="H143">
        <f ca="1">IFERROR(IF(0=LEN(ReferenceData!$H$143),"",ReferenceData!$H$143),"")</f>
        <v>3224.0239999999999</v>
      </c>
      <c r="I143">
        <f ca="1">IFERROR(IF(0=LEN(ReferenceData!$I$143),"",ReferenceData!$I$143),"")</f>
        <v>3427.4169999999999</v>
      </c>
      <c r="J143">
        <f ca="1">IFERROR(IF(0=LEN(ReferenceData!$J$143),"",ReferenceData!$J$143),"")</f>
        <v>4027.058</v>
      </c>
      <c r="K143">
        <f ca="1">IFERROR(IF(0=LEN(ReferenceData!$K$143),"",ReferenceData!$K$143),"")</f>
        <v>4197.58</v>
      </c>
      <c r="L143">
        <f ca="1">IFERROR(IF(0=LEN(ReferenceData!$L$143),"",ReferenceData!$L$143),"")</f>
        <v>4686.085</v>
      </c>
      <c r="M143">
        <f ca="1">IFERROR(IF(0=LEN(ReferenceData!$M$143),"",ReferenceData!$M$143),"")</f>
        <v>2585.306</v>
      </c>
      <c r="N143">
        <f ca="1">IFERROR(IF(0=LEN(ReferenceData!$N$143),"",ReferenceData!$N$143),"")</f>
        <v>2657.64</v>
      </c>
      <c r="O143">
        <f ca="1">IFERROR(IF(0=LEN(ReferenceData!$O$143),"",ReferenceData!$O$143),"")</f>
        <v>3309.8290000000002</v>
      </c>
      <c r="P143">
        <f ca="1">IFERROR(IF(0=LEN(ReferenceData!$P$143),"",ReferenceData!$P$143),"")</f>
        <v>3465.2139999999999</v>
      </c>
      <c r="Q143">
        <f ca="1">IFERROR(IF(0=LEN(ReferenceData!$Q$143),"",ReferenceData!$Q$143),"")</f>
        <v>3500.6509999999998</v>
      </c>
      <c r="R143">
        <f ca="1">IFERROR(IF(0=LEN(ReferenceData!$R$143),"",ReferenceData!$R$143),"")</f>
        <v>3460.6460000000002</v>
      </c>
      <c r="S143">
        <f ca="1">IFERROR(IF(0=LEN(ReferenceData!$S$143),"",ReferenceData!$S$143),"")</f>
        <v>2908.62</v>
      </c>
      <c r="T143">
        <f ca="1">IFERROR(IF(0=LEN(ReferenceData!$T$143),"",ReferenceData!$T$143),"")</f>
        <v>2834.4189999999999</v>
      </c>
      <c r="U143">
        <f ca="1">IFERROR(IF(0=LEN(ReferenceData!$U$143),"",ReferenceData!$U$143),"")</f>
        <v>2655.1570000000002</v>
      </c>
      <c r="V143">
        <f ca="1">IFERROR(IF(0=LEN(ReferenceData!$V$143),"",ReferenceData!$V$143),"")</f>
        <v>2396.7860000000001</v>
      </c>
      <c r="W143">
        <f ca="1">IFERROR(IF(0=LEN(ReferenceData!$W$143),"",ReferenceData!$W$143),"")</f>
        <v>1154.8019999999999</v>
      </c>
      <c r="X143">
        <f ca="1">IFERROR(IF(0=LEN(ReferenceData!$X$143),"",ReferenceData!$X$143),"")</f>
        <v>1053.9259999999999</v>
      </c>
      <c r="Y143">
        <f ca="1">IFERROR(IF(0=LEN(ReferenceData!$Y$143),"",ReferenceData!$Y$143),"")</f>
        <v>454.27100000000002</v>
      </c>
      <c r="Z143">
        <f ca="1">IFERROR(IF(0=LEN(ReferenceData!$Z$143),"",ReferenceData!$Z$143),"")</f>
        <v>310.37900000000002</v>
      </c>
      <c r="AA143">
        <f ca="1">IFERROR(IF(0=LEN(ReferenceData!$AA$143),"",ReferenceData!$AA$143),"")</f>
        <v>330.14100000000002</v>
      </c>
      <c r="AB143">
        <f ca="1">IFERROR(IF(0=LEN(ReferenceData!$AB$143),"",ReferenceData!$AB$143),"")</f>
        <v>346.81799999999998</v>
      </c>
      <c r="AC143">
        <f ca="1">IFERROR(IF(0=LEN(ReferenceData!$AC$143),"",ReferenceData!$AC$143),"")</f>
        <v>233.374</v>
      </c>
      <c r="AD143">
        <f ca="1">IFERROR(IF(0=LEN(ReferenceData!$AD$143),"",ReferenceData!$AD$143),"")</f>
        <v>239.2</v>
      </c>
      <c r="AE143">
        <f ca="1">IFERROR(IF(0=LEN(ReferenceData!$AE$143),"",ReferenceData!$AE$143),"")</f>
        <v>215.28</v>
      </c>
      <c r="AF143">
        <f ca="1">IFERROR(IF(0=LEN(ReferenceData!$AF$143),"",ReferenceData!$AF$143),"")</f>
        <v>133.38</v>
      </c>
      <c r="AG143">
        <f ca="1">IFERROR(IF(0=LEN(ReferenceData!$AG$143),"",ReferenceData!$AG$143),"")</f>
        <v>19.2</v>
      </c>
      <c r="AH143">
        <f ca="1">IFERROR(IF(0=LEN(ReferenceData!$AH$143),"",ReferenceData!$AH$143),"")</f>
        <v>14.122</v>
      </c>
      <c r="AI143">
        <f ca="1">IFERROR(IF(0=LEN(ReferenceData!$AI$143),"",ReferenceData!$AI$143),"")</f>
        <v>10.391</v>
      </c>
      <c r="AJ143">
        <f ca="1">IFERROR(IF(0=LEN(ReferenceData!$AJ$143),"",ReferenceData!$AJ$143),"")</f>
        <v>4.0999999999999996</v>
      </c>
      <c r="AK143">
        <f ca="1">IFERROR(IF(0=LEN(ReferenceData!$AK$143),"",ReferenceData!$AK$143),"")</f>
        <v>4.2</v>
      </c>
      <c r="AL143">
        <f ca="1">IFERROR(IF(0=LEN(ReferenceData!$AL$143),"",ReferenceData!$AL$143),"")</f>
        <v>177.3</v>
      </c>
      <c r="AM143">
        <f ca="1">IFERROR(IF(0=LEN(ReferenceData!$AM$143),"",ReferenceData!$AM$143),"")</f>
        <v>215.8</v>
      </c>
      <c r="AN143">
        <f ca="1">IFERROR(IF(0=LEN(ReferenceData!$AN$143),"",ReferenceData!$AN$143),"")</f>
        <v>277.7</v>
      </c>
      <c r="AO143">
        <f ca="1">IFERROR(IF(0=LEN(ReferenceData!$AO$143),"",ReferenceData!$AO$143),"")</f>
        <v>429.065</v>
      </c>
      <c r="AP143">
        <f ca="1">IFERROR(IF(0=LEN(ReferenceData!$AP$143),"",ReferenceData!$AP$143),"")</f>
        <v>719.88199999999995</v>
      </c>
      <c r="AQ143">
        <f ca="1">IFERROR(IF(0=LEN(ReferenceData!$AQ$143),"",ReferenceData!$AQ$143),"")</f>
        <v>997.78200000000004</v>
      </c>
      <c r="AR143">
        <f ca="1">IFERROR(IF(0=LEN(ReferenceData!$AR$143),"",ReferenceData!$AR$143),"")</f>
        <v>1005.47</v>
      </c>
      <c r="AS143">
        <f ca="1">IFERROR(IF(0=LEN(ReferenceData!$AS$143),"",ReferenceData!$AS$143),"")</f>
        <v>1152.55</v>
      </c>
      <c r="AT143">
        <f ca="1">IFERROR(IF(0=LEN(ReferenceData!$AT$143),"",ReferenceData!$AT$143),"")</f>
        <v>1347.55</v>
      </c>
      <c r="AU143">
        <f ca="1">IFERROR(IF(0=LEN(ReferenceData!$AU$143),"",ReferenceData!$AU$143),"")</f>
        <v>1492.85</v>
      </c>
      <c r="AV143">
        <f ca="1">IFERROR(IF(0=LEN(ReferenceData!$AV$143),"",ReferenceData!$AV$143),"")</f>
        <v>2559.35</v>
      </c>
      <c r="AW143">
        <f ca="1">IFERROR(IF(0=LEN(ReferenceData!$AW$143),"",ReferenceData!$AW$143),"")</f>
        <v>2259.0569999999998</v>
      </c>
      <c r="AX143">
        <f ca="1">IFERROR(IF(0=LEN(ReferenceData!$AX$143),"",ReferenceData!$AX$143),"")</f>
        <v>2134.6999999999998</v>
      </c>
      <c r="AY143">
        <f ca="1">IFERROR(IF(0=LEN(ReferenceData!$AY$143),"",ReferenceData!$AY$143),"")</f>
        <v>2683.3</v>
      </c>
      <c r="AZ143">
        <f ca="1">IFERROR(IF(0=LEN(ReferenceData!$AZ$143),"",ReferenceData!$AZ$143),"")</f>
        <v>2197.4</v>
      </c>
      <c r="BA143">
        <f ca="1">IFERROR(IF(0=LEN(ReferenceData!$BA$143),"",ReferenceData!$BA$143),"")</f>
        <v>2107.1999999999998</v>
      </c>
      <c r="BB143">
        <f ca="1">IFERROR(IF(0=LEN(ReferenceData!$BB$143),"",ReferenceData!$BB$143),"")</f>
        <v>1781.9</v>
      </c>
      <c r="BC143">
        <f ca="1">IFERROR(IF(0=LEN(ReferenceData!$BC$143),"",ReferenceData!$BC$143),"")</f>
        <v>1692.5</v>
      </c>
      <c r="BD143">
        <f ca="1">IFERROR(IF(0=LEN(ReferenceData!$BD$143),"",ReferenceData!$BD$143),"")</f>
        <v>1498.8</v>
      </c>
      <c r="BE143">
        <f ca="1">IFERROR(IF(0=LEN(ReferenceData!$BE$143),"",ReferenceData!$BE$143),"")</f>
        <v>935.3</v>
      </c>
      <c r="BF143">
        <f ca="1">IFERROR(IF(0=LEN(ReferenceData!$BF$143),"",ReferenceData!$BF$143),"")</f>
        <v>746.3</v>
      </c>
      <c r="BG143">
        <f ca="1">IFERROR(IF(0=LEN(ReferenceData!$BG$143),"",ReferenceData!$BG$143),"")</f>
        <v>629.5</v>
      </c>
      <c r="BH143">
        <f ca="1">IFERROR(IF(0=LEN(ReferenceData!$BH$143),"",ReferenceData!$BH$143),"")</f>
        <v>574.29999999999995</v>
      </c>
      <c r="BI143">
        <f ca="1">IFERROR(IF(0=LEN(ReferenceData!$BI$143),"",ReferenceData!$BI$143),"")</f>
        <v>491.4</v>
      </c>
      <c r="BJ143">
        <f ca="1">IFERROR(IF(0=LEN(ReferenceData!$BJ$143),"",ReferenceData!$BJ$143),"")</f>
        <v>506.8</v>
      </c>
      <c r="BK143">
        <f ca="1">IFERROR(IF(0=LEN(ReferenceData!$BK$143),"",ReferenceData!$BK$143),"")</f>
        <v>189</v>
      </c>
      <c r="BL143">
        <f ca="1">IFERROR(IF(0=LEN(ReferenceData!$BL$143),"",ReferenceData!$BL$143),"")</f>
        <v>189.3</v>
      </c>
      <c r="BM143">
        <f ca="1">IFERROR(IF(0=LEN(ReferenceData!$BM$143),"",ReferenceData!$BM$143),"")</f>
        <v>188.6</v>
      </c>
    </row>
    <row r="144" spans="1:65">
      <c r="A144" t="str">
        <f>IFERROR(IF(0=LEN(ReferenceData!$A$144),"",ReferenceData!$A$144),"")</f>
        <v xml:space="preserve">    Total Lodging/Resort REITs</v>
      </c>
      <c r="B144" t="str">
        <f>IFERROR(IF(0=LEN(ReferenceData!$B$144),"",ReferenceData!$B$144),"")</f>
        <v>RECFDVLR Index</v>
      </c>
      <c r="C144" t="str">
        <f>IFERROR(IF(0=LEN(ReferenceData!$C$144),"",ReferenceData!$C$144),"")</f>
        <v>PR005</v>
      </c>
      <c r="D144" t="str">
        <f>IFERROR(IF(0=LEN(ReferenceData!$D$144),"",ReferenceData!$D$144),"")</f>
        <v>PX_LAST</v>
      </c>
      <c r="E144" t="str">
        <f>IFERROR(IF(0=LEN(ReferenceData!$E$144),"",ReferenceData!$E$144),"")</f>
        <v>动态</v>
      </c>
      <c r="F144">
        <f ca="1">IFERROR(IF(0=LEN(ReferenceData!$F$144),"",ReferenceData!$F$144),"")</f>
        <v>800</v>
      </c>
      <c r="G144">
        <f ca="1">IFERROR(IF(0=LEN(ReferenceData!$G$144),"",ReferenceData!$G$144),"")</f>
        <v>800</v>
      </c>
      <c r="H144">
        <f ca="1">IFERROR(IF(0=LEN(ReferenceData!$H$144),"",ReferenceData!$H$144),"")</f>
        <v>800</v>
      </c>
      <c r="I144">
        <f ca="1">IFERROR(IF(0=LEN(ReferenceData!$I$144),"",ReferenceData!$I$144),"")</f>
        <v>800</v>
      </c>
      <c r="J144">
        <f ca="1">IFERROR(IF(0=LEN(ReferenceData!$J$144),"",ReferenceData!$J$144),"")</f>
        <v>800</v>
      </c>
      <c r="K144">
        <f ca="1">IFERROR(IF(0=LEN(ReferenceData!$K$144),"",ReferenceData!$K$144),"")</f>
        <v>800</v>
      </c>
      <c r="L144">
        <f ca="1">IFERROR(IF(0=LEN(ReferenceData!$L$144),"",ReferenceData!$L$144),"")</f>
        <v>800</v>
      </c>
      <c r="M144">
        <f ca="1">IFERROR(IF(0=LEN(ReferenceData!$M$144),"",ReferenceData!$M$144),"")</f>
        <v>800</v>
      </c>
      <c r="N144">
        <f ca="1">IFERROR(IF(0=LEN(ReferenceData!$N$144),"",ReferenceData!$N$144),"")</f>
        <v>0</v>
      </c>
      <c r="O144">
        <f ca="1">IFERROR(IF(0=LEN(ReferenceData!$O$144),"",ReferenceData!$O$144),"")</f>
        <v>45</v>
      </c>
      <c r="P144">
        <f ca="1">IFERROR(IF(0=LEN(ReferenceData!$P$144),"",ReferenceData!$P$144),"")</f>
        <v>75</v>
      </c>
      <c r="Q144">
        <f ca="1">IFERROR(IF(0=LEN(ReferenceData!$Q$144),"",ReferenceData!$Q$144),"")</f>
        <v>313</v>
      </c>
      <c r="R144">
        <f ca="1">IFERROR(IF(0=LEN(ReferenceData!$R$144),"",ReferenceData!$R$144),"")</f>
        <v>240</v>
      </c>
      <c r="S144">
        <f ca="1">IFERROR(IF(0=LEN(ReferenceData!$S$144),"",ReferenceData!$S$144),"")</f>
        <v>240</v>
      </c>
      <c r="T144">
        <f ca="1">IFERROR(IF(0=LEN(ReferenceData!$T$144),"",ReferenceData!$T$144),"")</f>
        <v>240</v>
      </c>
      <c r="U144">
        <f ca="1">IFERROR(IF(0=LEN(ReferenceData!$U$144),"",ReferenceData!$U$144),"")</f>
        <v>240</v>
      </c>
      <c r="V144">
        <f ca="1">IFERROR(IF(0=LEN(ReferenceData!$V$144),"",ReferenceData!$V$144),"")</f>
        <v>240</v>
      </c>
      <c r="W144">
        <f ca="1">IFERROR(IF(0=LEN(ReferenceData!$W$144),"",ReferenceData!$W$144),"")</f>
        <v>0</v>
      </c>
      <c r="X144">
        <f ca="1">IFERROR(IF(0=LEN(ReferenceData!$X$144),"",ReferenceData!$X$144),"")</f>
        <v>0</v>
      </c>
      <c r="Y144">
        <f ca="1">IFERROR(IF(0=LEN(ReferenceData!$Y$144),"",ReferenceData!$Y$144),"")</f>
        <v>0</v>
      </c>
      <c r="Z144">
        <f ca="1">IFERROR(IF(0=LEN(ReferenceData!$Z$144),"",ReferenceData!$Z$144),"")</f>
        <v>0</v>
      </c>
      <c r="AA144">
        <f ca="1">IFERROR(IF(0=LEN(ReferenceData!$AA$144),"",ReferenceData!$AA$144),"")</f>
        <v>0</v>
      </c>
      <c r="AB144">
        <f ca="1">IFERROR(IF(0=LEN(ReferenceData!$AB$144),"",ReferenceData!$AB$144),"")</f>
        <v>0</v>
      </c>
      <c r="AC144">
        <f ca="1">IFERROR(IF(0=LEN(ReferenceData!$AC$144),"",ReferenceData!$AC$144),"")</f>
        <v>0</v>
      </c>
      <c r="AD144">
        <f ca="1">IFERROR(IF(0=LEN(ReferenceData!$AD$144),"",ReferenceData!$AD$144),"")</f>
        <v>0</v>
      </c>
      <c r="AE144">
        <f ca="1">IFERROR(IF(0=LEN(ReferenceData!$AE$144),"",ReferenceData!$AE$144),"")</f>
        <v>0</v>
      </c>
      <c r="AF144">
        <f ca="1">IFERROR(IF(0=LEN(ReferenceData!$AF$144),"",ReferenceData!$AF$144),"")</f>
        <v>0</v>
      </c>
      <c r="AG144">
        <f ca="1">IFERROR(IF(0=LEN(ReferenceData!$AG$144),"",ReferenceData!$AG$144),"")</f>
        <v>0</v>
      </c>
      <c r="AH144">
        <f ca="1">IFERROR(IF(0=LEN(ReferenceData!$AH$144),"",ReferenceData!$AH$144),"")</f>
        <v>0</v>
      </c>
      <c r="AI144">
        <f ca="1">IFERROR(IF(0=LEN(ReferenceData!$AI$144),"",ReferenceData!$AI$144),"")</f>
        <v>0</v>
      </c>
      <c r="AJ144">
        <f ca="1">IFERROR(IF(0=LEN(ReferenceData!$AJ$144),"",ReferenceData!$AJ$144),"")</f>
        <v>0</v>
      </c>
      <c r="AK144">
        <f ca="1">IFERROR(IF(0=LEN(ReferenceData!$AK$144),"",ReferenceData!$AK$144),"")</f>
        <v>0</v>
      </c>
      <c r="AL144">
        <f ca="1">IFERROR(IF(0=LEN(ReferenceData!$AL$144),"",ReferenceData!$AL$144),"")</f>
        <v>0</v>
      </c>
      <c r="AM144">
        <f ca="1">IFERROR(IF(0=LEN(ReferenceData!$AM$144),"",ReferenceData!$AM$144),"")</f>
        <v>0</v>
      </c>
      <c r="AN144">
        <f ca="1">IFERROR(IF(0=LEN(ReferenceData!$AN$144),"",ReferenceData!$AN$144),"")</f>
        <v>0</v>
      </c>
      <c r="AO144">
        <f ca="1">IFERROR(IF(0=LEN(ReferenceData!$AO$144),"",ReferenceData!$AO$144),"")</f>
        <v>0</v>
      </c>
      <c r="AP144">
        <f ca="1">IFERROR(IF(0=LEN(ReferenceData!$AP$144),"",ReferenceData!$AP$144),"")</f>
        <v>0</v>
      </c>
      <c r="AQ144">
        <f ca="1">IFERROR(IF(0=LEN(ReferenceData!$AQ$144),"",ReferenceData!$AQ$144),"")</f>
        <v>0</v>
      </c>
      <c r="AR144">
        <f ca="1">IFERROR(IF(0=LEN(ReferenceData!$AR$144),"",ReferenceData!$AR$144),"")</f>
        <v>0</v>
      </c>
      <c r="AS144">
        <f ca="1">IFERROR(IF(0=LEN(ReferenceData!$AS$144),"",ReferenceData!$AS$144),"")</f>
        <v>0</v>
      </c>
      <c r="AT144">
        <f ca="1">IFERROR(IF(0=LEN(ReferenceData!$AT$144),"",ReferenceData!$AT$144),"")</f>
        <v>0</v>
      </c>
      <c r="AU144">
        <f ca="1">IFERROR(IF(0=LEN(ReferenceData!$AU$144),"",ReferenceData!$AU$144),"")</f>
        <v>0</v>
      </c>
      <c r="AV144">
        <f ca="1">IFERROR(IF(0=LEN(ReferenceData!$AV$144),"",ReferenceData!$AV$144),"")</f>
        <v>0</v>
      </c>
      <c r="AW144">
        <f ca="1">IFERROR(IF(0=LEN(ReferenceData!$AW$144),"",ReferenceData!$AW$144),"")</f>
        <v>0</v>
      </c>
      <c r="AX144">
        <f ca="1">IFERROR(IF(0=LEN(ReferenceData!$AX$144),"",ReferenceData!$AX$144),"")</f>
        <v>0</v>
      </c>
      <c r="AY144">
        <f ca="1">IFERROR(IF(0=LEN(ReferenceData!$AY$144),"",ReferenceData!$AY$144),"")</f>
        <v>0</v>
      </c>
      <c r="AZ144">
        <f ca="1">IFERROR(IF(0=LEN(ReferenceData!$AZ$144),"",ReferenceData!$AZ$144),"")</f>
        <v>0</v>
      </c>
      <c r="BA144">
        <f ca="1">IFERROR(IF(0=LEN(ReferenceData!$BA$144),"",ReferenceData!$BA$144),"")</f>
        <v>0</v>
      </c>
      <c r="BB144">
        <f ca="1">IFERROR(IF(0=LEN(ReferenceData!$BB$144),"",ReferenceData!$BB$144),"")</f>
        <v>0</v>
      </c>
      <c r="BC144">
        <f ca="1">IFERROR(IF(0=LEN(ReferenceData!$BC$144),"",ReferenceData!$BC$144),"")</f>
        <v>0</v>
      </c>
      <c r="BD144">
        <f ca="1">IFERROR(IF(0=LEN(ReferenceData!$BD$144),"",ReferenceData!$BD$144),"")</f>
        <v>0</v>
      </c>
      <c r="BE144">
        <f ca="1">IFERROR(IF(0=LEN(ReferenceData!$BE$144),"",ReferenceData!$BE$144),"")</f>
        <v>0</v>
      </c>
      <c r="BF144">
        <f ca="1">IFERROR(IF(0=LEN(ReferenceData!$BF$144),"",ReferenceData!$BF$144),"")</f>
        <v>0</v>
      </c>
      <c r="BG144">
        <f ca="1">IFERROR(IF(0=LEN(ReferenceData!$BG$144),"",ReferenceData!$BG$144),"")</f>
        <v>0</v>
      </c>
      <c r="BH144">
        <f ca="1">IFERROR(IF(0=LEN(ReferenceData!$BH$144),"",ReferenceData!$BH$144),"")</f>
        <v>0</v>
      </c>
      <c r="BI144">
        <f ca="1">IFERROR(IF(0=LEN(ReferenceData!$BI$144),"",ReferenceData!$BI$144),"")</f>
        <v>0</v>
      </c>
      <c r="BJ144">
        <f ca="1">IFERROR(IF(0=LEN(ReferenceData!$BJ$144),"",ReferenceData!$BJ$144),"")</f>
        <v>0</v>
      </c>
      <c r="BK144">
        <f ca="1">IFERROR(IF(0=LEN(ReferenceData!$BK$144),"",ReferenceData!$BK$144),"")</f>
        <v>0</v>
      </c>
      <c r="BL144">
        <f ca="1">IFERROR(IF(0=LEN(ReferenceData!$BL$144),"",ReferenceData!$BL$144),"")</f>
        <v>0</v>
      </c>
      <c r="BM144">
        <f ca="1">IFERROR(IF(0=LEN(ReferenceData!$BM$144),"",ReferenceData!$BM$144),"")</f>
        <v>0</v>
      </c>
    </row>
    <row r="145" spans="1:65">
      <c r="A145" t="str">
        <f>IFERROR(IF(0=LEN(ReferenceData!$A$145),"",ReferenceData!$A$145),"")</f>
        <v xml:space="preserve">    Total Self Storage REITs</v>
      </c>
      <c r="B145" t="str">
        <f>IFERROR(IF(0=LEN(ReferenceData!$B$145),"",ReferenceData!$B$145),"")</f>
        <v>RECFDVSS Index</v>
      </c>
      <c r="C145" t="str">
        <f>IFERROR(IF(0=LEN(ReferenceData!$C$145),"",ReferenceData!$C$145),"")</f>
        <v>PR005</v>
      </c>
      <c r="D145" t="str">
        <f>IFERROR(IF(0=LEN(ReferenceData!$D$145),"",ReferenceData!$D$145),"")</f>
        <v>PX_LAST</v>
      </c>
      <c r="E145" t="str">
        <f>IFERROR(IF(0=LEN(ReferenceData!$E$145),"",ReferenceData!$E$145),"")</f>
        <v>动态</v>
      </c>
      <c r="F145">
        <f ca="1">IFERROR(IF(0=LEN(ReferenceData!$F$145),"",ReferenceData!$F$145),"")</f>
        <v>597.5</v>
      </c>
      <c r="G145">
        <f ca="1">IFERROR(IF(0=LEN(ReferenceData!$G$145),"",ReferenceData!$G$145),"")</f>
        <v>645.29999999999995</v>
      </c>
      <c r="H145">
        <f ca="1">IFERROR(IF(0=LEN(ReferenceData!$H$145),"",ReferenceData!$H$145),"")</f>
        <v>805.49</v>
      </c>
      <c r="I145">
        <f ca="1">IFERROR(IF(0=LEN(ReferenceData!$I$145),"",ReferenceData!$I$145),"")</f>
        <v>781.19</v>
      </c>
      <c r="J145">
        <f ca="1">IFERROR(IF(0=LEN(ReferenceData!$J$145),"",ReferenceData!$J$145),"")</f>
        <v>824.89</v>
      </c>
      <c r="K145">
        <f ca="1">IFERROR(IF(0=LEN(ReferenceData!$K$145),"",ReferenceData!$K$145),"")</f>
        <v>846.15</v>
      </c>
      <c r="L145">
        <f ca="1">IFERROR(IF(0=LEN(ReferenceData!$L$145),"",ReferenceData!$L$145),"")</f>
        <v>728.2</v>
      </c>
      <c r="M145">
        <f ca="1">IFERROR(IF(0=LEN(ReferenceData!$M$145),"",ReferenceData!$M$145),"")</f>
        <v>712.6</v>
      </c>
      <c r="N145">
        <f ca="1">IFERROR(IF(0=LEN(ReferenceData!$N$145),"",ReferenceData!$N$145),"")</f>
        <v>544.70000000000005</v>
      </c>
      <c r="O145">
        <f ca="1">IFERROR(IF(0=LEN(ReferenceData!$O$145),"",ReferenceData!$O$145),"")</f>
        <v>539.9</v>
      </c>
      <c r="P145">
        <f ca="1">IFERROR(IF(0=LEN(ReferenceData!$P$145),"",ReferenceData!$P$145),"")</f>
        <v>524.9</v>
      </c>
      <c r="Q145">
        <f ca="1">IFERROR(IF(0=LEN(ReferenceData!$Q$145),"",ReferenceData!$Q$145),"")</f>
        <v>502.6</v>
      </c>
      <c r="R145">
        <f ca="1">IFERROR(IF(0=LEN(ReferenceData!$R$145),"",ReferenceData!$R$145),"")</f>
        <v>462.9</v>
      </c>
      <c r="S145">
        <f ca="1">IFERROR(IF(0=LEN(ReferenceData!$S$145),"",ReferenceData!$S$145),"")</f>
        <v>79.885000000000005</v>
      </c>
      <c r="T145">
        <f ca="1">IFERROR(IF(0=LEN(ReferenceData!$T$145),"",ReferenceData!$T$145),"")</f>
        <v>79.885000000000005</v>
      </c>
      <c r="U145">
        <f ca="1">IFERROR(IF(0=LEN(ReferenceData!$U$145),"",ReferenceData!$U$145),"")</f>
        <v>81.5</v>
      </c>
      <c r="V145">
        <f ca="1">IFERROR(IF(0=LEN(ReferenceData!$V$145),"",ReferenceData!$V$145),"")</f>
        <v>0</v>
      </c>
      <c r="W145">
        <f ca="1">IFERROR(IF(0=LEN(ReferenceData!$W$145),"",ReferenceData!$W$145),"")</f>
        <v>0</v>
      </c>
      <c r="X145">
        <f ca="1">IFERROR(IF(0=LEN(ReferenceData!$X$145),"",ReferenceData!$X$145),"")</f>
        <v>0</v>
      </c>
      <c r="Y145">
        <f ca="1">IFERROR(IF(0=LEN(ReferenceData!$Y$145),"",ReferenceData!$Y$145),"")</f>
        <v>0</v>
      </c>
      <c r="Z145">
        <f ca="1">IFERROR(IF(0=LEN(ReferenceData!$Z$145),"",ReferenceData!$Z$145),"")</f>
        <v>0</v>
      </c>
      <c r="AA145">
        <f ca="1">IFERROR(IF(0=LEN(ReferenceData!$AA$145),"",ReferenceData!$AA$145),"")</f>
        <v>0</v>
      </c>
      <c r="AB145">
        <f ca="1">IFERROR(IF(0=LEN(ReferenceData!$AB$145),"",ReferenceData!$AB$145),"")</f>
        <v>11.102</v>
      </c>
      <c r="AC145">
        <f ca="1">IFERROR(IF(0=LEN(ReferenceData!$AC$145),"",ReferenceData!$AC$145),"")</f>
        <v>11.102</v>
      </c>
      <c r="AD145">
        <f ca="1">IFERROR(IF(0=LEN(ReferenceData!$AD$145),"",ReferenceData!$AD$145),"")</f>
        <v>11.102</v>
      </c>
      <c r="AE145">
        <f ca="1">IFERROR(IF(0=LEN(ReferenceData!$AE$145),"",ReferenceData!$AE$145),"")</f>
        <v>11.102</v>
      </c>
      <c r="AF145">
        <f ca="1">IFERROR(IF(0=LEN(ReferenceData!$AF$145),"",ReferenceData!$AF$145),"")</f>
        <v>11.102</v>
      </c>
      <c r="AG145">
        <f ca="1">IFERROR(IF(0=LEN(ReferenceData!$AG$145),"",ReferenceData!$AG$145),"")</f>
        <v>21.881</v>
      </c>
      <c r="AH145">
        <f ca="1">IFERROR(IF(0=LEN(ReferenceData!$AH$145),"",ReferenceData!$AH$145),"")</f>
        <v>58.118000000000002</v>
      </c>
      <c r="AI145">
        <f ca="1">IFERROR(IF(0=LEN(ReferenceData!$AI$145),"",ReferenceData!$AI$145),"")</f>
        <v>58.118000000000002</v>
      </c>
      <c r="AJ145">
        <f ca="1">IFERROR(IF(0=LEN(ReferenceData!$AJ$145),"",ReferenceData!$AJ$145),"")</f>
        <v>68.861000000000004</v>
      </c>
      <c r="AK145">
        <f ca="1">IFERROR(IF(0=LEN(ReferenceData!$AK$145),"",ReferenceData!$AK$145),"")</f>
        <v>90.567999999999998</v>
      </c>
      <c r="AL145">
        <f ca="1">IFERROR(IF(0=LEN(ReferenceData!$AL$145),"",ReferenceData!$AL$145),"")</f>
        <v>100.871</v>
      </c>
      <c r="AM145">
        <f ca="1">IFERROR(IF(0=LEN(ReferenceData!$AM$145),"",ReferenceData!$AM$145),"")</f>
        <v>139.32900000000001</v>
      </c>
      <c r="AN145">
        <f ca="1">IFERROR(IF(0=LEN(ReferenceData!$AN$145),"",ReferenceData!$AN$145),"")</f>
        <v>171.58199999999999</v>
      </c>
      <c r="AO145">
        <f ca="1">IFERROR(IF(0=LEN(ReferenceData!$AO$145),"",ReferenceData!$AO$145),"")</f>
        <v>163.477</v>
      </c>
      <c r="AP145">
        <f ca="1">IFERROR(IF(0=LEN(ReferenceData!$AP$145),"",ReferenceData!$AP$145),"")</f>
        <v>181.84299999999999</v>
      </c>
      <c r="AQ145">
        <f ca="1">IFERROR(IF(0=LEN(ReferenceData!$AQ$145),"",ReferenceData!$AQ$145),"")</f>
        <v>233.20699999999999</v>
      </c>
      <c r="AR145">
        <f ca="1">IFERROR(IF(0=LEN(ReferenceData!$AR$145),"",ReferenceData!$AR$145),"")</f>
        <v>254.68</v>
      </c>
      <c r="AS145">
        <f ca="1">IFERROR(IF(0=LEN(ReferenceData!$AS$145),"",ReferenceData!$AS$145),"")</f>
        <v>228.24700000000001</v>
      </c>
      <c r="AT145">
        <f ca="1">IFERROR(IF(0=LEN(ReferenceData!$AT$145),"",ReferenceData!$AT$145),"")</f>
        <v>342.09399999999999</v>
      </c>
      <c r="AU145">
        <f ca="1">IFERROR(IF(0=LEN(ReferenceData!$AU$145),"",ReferenceData!$AU$145),"")</f>
        <v>442.673</v>
      </c>
      <c r="AV145">
        <f ca="1">IFERROR(IF(0=LEN(ReferenceData!$AV$145),"",ReferenceData!$AV$145),"")</f>
        <v>419.64800000000002</v>
      </c>
      <c r="AW145">
        <f ca="1">IFERROR(IF(0=LEN(ReferenceData!$AW$145),"",ReferenceData!$AW$145),"")</f>
        <v>430.327</v>
      </c>
      <c r="AX145">
        <f ca="1">IFERROR(IF(0=LEN(ReferenceData!$AX$145),"",ReferenceData!$AX$145),"")</f>
        <v>266.08100000000002</v>
      </c>
      <c r="AY145">
        <f ca="1">IFERROR(IF(0=LEN(ReferenceData!$AY$145),"",ReferenceData!$AY$145),"")</f>
        <v>219.2</v>
      </c>
      <c r="AZ145">
        <f ca="1">IFERROR(IF(0=LEN(ReferenceData!$AZ$145),"",ReferenceData!$AZ$145),"")</f>
        <v>372.63600000000002</v>
      </c>
      <c r="BA145">
        <f ca="1">IFERROR(IF(0=LEN(ReferenceData!$BA$145),"",ReferenceData!$BA$145),"")</f>
        <v>420.51600000000002</v>
      </c>
      <c r="BB145">
        <f ca="1">IFERROR(IF(0=LEN(ReferenceData!$BB$145),"",ReferenceData!$BB$145),"")</f>
        <v>431.084</v>
      </c>
      <c r="BC145">
        <f ca="1">IFERROR(IF(0=LEN(ReferenceData!$BC$145),"",ReferenceData!$BC$145),"")</f>
        <v>407.81799999999998</v>
      </c>
      <c r="BD145">
        <f ca="1">IFERROR(IF(0=LEN(ReferenceData!$BD$145),"",ReferenceData!$BD$145),"")</f>
        <v>362.66899999999998</v>
      </c>
      <c r="BE145">
        <f ca="1">IFERROR(IF(0=LEN(ReferenceData!$BE$145),"",ReferenceData!$BE$145),"")</f>
        <v>347.42399999999998</v>
      </c>
      <c r="BF145">
        <f ca="1">IFERROR(IF(0=LEN(ReferenceData!$BF$145),"",ReferenceData!$BF$145),"")</f>
        <v>336.25700000000001</v>
      </c>
      <c r="BG145">
        <f ca="1">IFERROR(IF(0=LEN(ReferenceData!$BG$145),"",ReferenceData!$BG$145),"")</f>
        <v>263.29399999999998</v>
      </c>
      <c r="BH145">
        <f ca="1">IFERROR(IF(0=LEN(ReferenceData!$BH$145),"",ReferenceData!$BH$145),"")</f>
        <v>226.834</v>
      </c>
      <c r="BI145">
        <f ca="1">IFERROR(IF(0=LEN(ReferenceData!$BI$145),"",ReferenceData!$BI$145),"")</f>
        <v>233.22399999999999</v>
      </c>
      <c r="BJ145">
        <f ca="1">IFERROR(IF(0=LEN(ReferenceData!$BJ$145),"",ReferenceData!$BJ$145),"")</f>
        <v>240.23599999999999</v>
      </c>
      <c r="BK145">
        <f ca="1">IFERROR(IF(0=LEN(ReferenceData!$BK$145),"",ReferenceData!$BK$145),"")</f>
        <v>0</v>
      </c>
      <c r="BL145">
        <f ca="1">IFERROR(IF(0=LEN(ReferenceData!$BL$145),"",ReferenceData!$BL$145),"")</f>
        <v>0</v>
      </c>
      <c r="BM145">
        <f ca="1">IFERROR(IF(0=LEN(ReferenceData!$BM$145),"",ReferenceData!$BM$145),"")</f>
        <v>0</v>
      </c>
    </row>
    <row r="146" spans="1:65">
      <c r="A146" t="str">
        <f>IFERROR(IF(0=LEN(ReferenceData!$A$146),"",ReferenceData!$A$146),"")</f>
        <v xml:space="preserve">    Total Health Care REITs</v>
      </c>
      <c r="B146" t="str">
        <f>IFERROR(IF(0=LEN(ReferenceData!$B$146),"",ReferenceData!$B$146),"")</f>
        <v>RECFDVHC Index</v>
      </c>
      <c r="C146" t="str">
        <f>IFERROR(IF(0=LEN(ReferenceData!$C$146),"",ReferenceData!$C$146),"")</f>
        <v>PR005</v>
      </c>
      <c r="D146" t="str">
        <f>IFERROR(IF(0=LEN(ReferenceData!$D$146),"",ReferenceData!$D$146),"")</f>
        <v>PX_LAST</v>
      </c>
      <c r="E146" t="str">
        <f>IFERROR(IF(0=LEN(ReferenceData!$E$146),"",ReferenceData!$E$146),"")</f>
        <v>动态</v>
      </c>
      <c r="F146">
        <f ca="1">IFERROR(IF(0=LEN(ReferenceData!$F$146),"",ReferenceData!$F$146),"")</f>
        <v>2284.0830000000001</v>
      </c>
      <c r="G146">
        <f ca="1">IFERROR(IF(0=LEN(ReferenceData!$G$146),"",ReferenceData!$G$146),"")</f>
        <v>2194.5309999999999</v>
      </c>
      <c r="H146">
        <f ca="1">IFERROR(IF(0=LEN(ReferenceData!$H$146),"",ReferenceData!$H$146),"")</f>
        <v>2283.5929999999998</v>
      </c>
      <c r="I146">
        <f ca="1">IFERROR(IF(0=LEN(ReferenceData!$I$146),"",ReferenceData!$I$146),"")</f>
        <v>2413.663</v>
      </c>
      <c r="J146">
        <f ca="1">IFERROR(IF(0=LEN(ReferenceData!$J$146),"",ReferenceData!$J$146),"")</f>
        <v>2508.674</v>
      </c>
      <c r="K146">
        <f ca="1">IFERROR(IF(0=LEN(ReferenceData!$K$146),"",ReferenceData!$K$146),"")</f>
        <v>2225.6320000000001</v>
      </c>
      <c r="L146">
        <f ca="1">IFERROR(IF(0=LEN(ReferenceData!$L$146),"",ReferenceData!$L$146),"")</f>
        <v>2344.8919999999998</v>
      </c>
      <c r="M146">
        <f ca="1">IFERROR(IF(0=LEN(ReferenceData!$M$146),"",ReferenceData!$M$146),"")</f>
        <v>2329.424</v>
      </c>
      <c r="N146">
        <f ca="1">IFERROR(IF(0=LEN(ReferenceData!$N$146),"",ReferenceData!$N$146),"")</f>
        <v>2083.6390000000001</v>
      </c>
      <c r="O146">
        <f ca="1">IFERROR(IF(0=LEN(ReferenceData!$O$146),"",ReferenceData!$O$146),"")</f>
        <v>1837.806</v>
      </c>
      <c r="P146">
        <f ca="1">IFERROR(IF(0=LEN(ReferenceData!$P$146),"",ReferenceData!$P$146),"")</f>
        <v>1580.5340000000001</v>
      </c>
      <c r="Q146">
        <f ca="1">IFERROR(IF(0=LEN(ReferenceData!$Q$146),"",ReferenceData!$Q$146),"")</f>
        <v>1266.2860000000001</v>
      </c>
      <c r="R146">
        <f ca="1">IFERROR(IF(0=LEN(ReferenceData!$R$146),"",ReferenceData!$R$146),"")</f>
        <v>879.05899999999997</v>
      </c>
      <c r="S146">
        <f ca="1">IFERROR(IF(0=LEN(ReferenceData!$S$146),"",ReferenceData!$S$146),"")</f>
        <v>722.94</v>
      </c>
      <c r="T146">
        <f ca="1">IFERROR(IF(0=LEN(ReferenceData!$T$146),"",ReferenceData!$T$146),"")</f>
        <v>536.46699999999998</v>
      </c>
      <c r="U146">
        <f ca="1">IFERROR(IF(0=LEN(ReferenceData!$U$146),"",ReferenceData!$U$146),"")</f>
        <v>627.23099999999999</v>
      </c>
      <c r="V146">
        <f ca="1">IFERROR(IF(0=LEN(ReferenceData!$V$146),"",ReferenceData!$V$146),"")</f>
        <v>648.00400000000002</v>
      </c>
      <c r="W146">
        <f ca="1">IFERROR(IF(0=LEN(ReferenceData!$W$146),"",ReferenceData!$W$146),"")</f>
        <v>727.33699999999999</v>
      </c>
      <c r="X146">
        <f ca="1">IFERROR(IF(0=LEN(ReferenceData!$X$146),"",ReferenceData!$X$146),"")</f>
        <v>696.85400000000004</v>
      </c>
      <c r="Y146">
        <f ca="1">IFERROR(IF(0=LEN(ReferenceData!$Y$146),"",ReferenceData!$Y$146),"")</f>
        <v>576.29100000000005</v>
      </c>
      <c r="Z146">
        <f ca="1">IFERROR(IF(0=LEN(ReferenceData!$Z$146),"",ReferenceData!$Z$146),"")</f>
        <v>507.75900000000001</v>
      </c>
      <c r="AA146">
        <f ca="1">IFERROR(IF(0=LEN(ReferenceData!$AA$146),"",ReferenceData!$AA$146),"")</f>
        <v>562.86199999999997</v>
      </c>
      <c r="AB146">
        <f ca="1">IFERROR(IF(0=LEN(ReferenceData!$AB$146),"",ReferenceData!$AB$146),"")</f>
        <v>579.84199999999998</v>
      </c>
      <c r="AC146">
        <f ca="1">IFERROR(IF(0=LEN(ReferenceData!$AC$146),"",ReferenceData!$AC$146),"")</f>
        <v>525.58699999999999</v>
      </c>
      <c r="AD146">
        <f ca="1">IFERROR(IF(0=LEN(ReferenceData!$AD$146),"",ReferenceData!$AD$146),"")</f>
        <v>665.96799999999996</v>
      </c>
      <c r="AE146">
        <f ca="1">IFERROR(IF(0=LEN(ReferenceData!$AE$146),"",ReferenceData!$AE$146),"")</f>
        <v>815.99099999999999</v>
      </c>
      <c r="AF146">
        <f ca="1">IFERROR(IF(0=LEN(ReferenceData!$AF$146),"",ReferenceData!$AF$146),"")</f>
        <v>600.92200000000003</v>
      </c>
      <c r="AG146">
        <f ca="1">IFERROR(IF(0=LEN(ReferenceData!$AG$146),"",ReferenceData!$AG$146),"")</f>
        <v>794.13900000000001</v>
      </c>
      <c r="AH146">
        <f ca="1">IFERROR(IF(0=LEN(ReferenceData!$AH$146),"",ReferenceData!$AH$146),"")</f>
        <v>827.01400000000001</v>
      </c>
      <c r="AI146">
        <f ca="1">IFERROR(IF(0=LEN(ReferenceData!$AI$146),"",ReferenceData!$AI$146),"")</f>
        <v>796.04</v>
      </c>
      <c r="AJ146">
        <f ca="1">IFERROR(IF(0=LEN(ReferenceData!$AJ$146),"",ReferenceData!$AJ$146),"")</f>
        <v>828.40499999999997</v>
      </c>
      <c r="AK146">
        <f ca="1">IFERROR(IF(0=LEN(ReferenceData!$AK$146),"",ReferenceData!$AK$146),"")</f>
        <v>772.72500000000002</v>
      </c>
      <c r="AL146">
        <f ca="1">IFERROR(IF(0=LEN(ReferenceData!$AL$146),"",ReferenceData!$AL$146),"")</f>
        <v>1152.1420000000001</v>
      </c>
      <c r="AM146">
        <f ca="1">IFERROR(IF(0=LEN(ReferenceData!$AM$146),"",ReferenceData!$AM$146),"")</f>
        <v>1531.9380000000001</v>
      </c>
      <c r="AN146">
        <f ca="1">IFERROR(IF(0=LEN(ReferenceData!$AN$146),"",ReferenceData!$AN$146),"")</f>
        <v>1696.5730000000001</v>
      </c>
      <c r="AO146">
        <f ca="1">IFERROR(IF(0=LEN(ReferenceData!$AO$146),"",ReferenceData!$AO$146),"")</f>
        <v>1825.1990000000001</v>
      </c>
      <c r="AP146">
        <f ca="1">IFERROR(IF(0=LEN(ReferenceData!$AP$146),"",ReferenceData!$AP$146),"")</f>
        <v>1874.527</v>
      </c>
      <c r="AQ146">
        <f ca="1">IFERROR(IF(0=LEN(ReferenceData!$AQ$146),"",ReferenceData!$AQ$146),"")</f>
        <v>2163.991</v>
      </c>
      <c r="AR146">
        <f ca="1">IFERROR(IF(0=LEN(ReferenceData!$AR$146),"",ReferenceData!$AR$146),"")</f>
        <v>1844.5139999999999</v>
      </c>
      <c r="AS146">
        <f ca="1">IFERROR(IF(0=LEN(ReferenceData!$AS$146),"",ReferenceData!$AS$146),"")</f>
        <v>1812.3789999999999</v>
      </c>
      <c r="AT146">
        <f ca="1">IFERROR(IF(0=LEN(ReferenceData!$AT$146),"",ReferenceData!$AT$146),"")</f>
        <v>1811.2049999999999</v>
      </c>
      <c r="AU146">
        <f ca="1">IFERROR(IF(0=LEN(ReferenceData!$AU$146),"",ReferenceData!$AU$146),"")</f>
        <v>1477.847</v>
      </c>
      <c r="AV146">
        <f ca="1">IFERROR(IF(0=LEN(ReferenceData!$AV$146),"",ReferenceData!$AV$146),"")</f>
        <v>821.73699999999997</v>
      </c>
      <c r="AW146">
        <f ca="1">IFERROR(IF(0=LEN(ReferenceData!$AW$146),"",ReferenceData!$AW$146),"")</f>
        <v>768.86500000000001</v>
      </c>
      <c r="AX146">
        <f ca="1">IFERROR(IF(0=LEN(ReferenceData!$AX$146),"",ReferenceData!$AX$146),"")</f>
        <v>749.86599999999999</v>
      </c>
      <c r="AY146">
        <f ca="1">IFERROR(IF(0=LEN(ReferenceData!$AY$146),"",ReferenceData!$AY$146),"")</f>
        <v>636.58900000000006</v>
      </c>
      <c r="AZ146">
        <f ca="1">IFERROR(IF(0=LEN(ReferenceData!$AZ$146),"",ReferenceData!$AZ$146),"")</f>
        <v>626.46299999999997</v>
      </c>
      <c r="BA146">
        <f ca="1">IFERROR(IF(0=LEN(ReferenceData!$BA$146),"",ReferenceData!$BA$146),"")</f>
        <v>463.779</v>
      </c>
      <c r="BB146">
        <f ca="1">IFERROR(IF(0=LEN(ReferenceData!$BB$146),"",ReferenceData!$BB$146),"")</f>
        <v>237.21</v>
      </c>
      <c r="BC146">
        <f ca="1">IFERROR(IF(0=LEN(ReferenceData!$BC$146),"",ReferenceData!$BC$146),"")</f>
        <v>248.5</v>
      </c>
      <c r="BD146">
        <f ca="1">IFERROR(IF(0=LEN(ReferenceData!$BD$146),"",ReferenceData!$BD$146),"")</f>
        <v>57.905000000000001</v>
      </c>
      <c r="BE146">
        <f ca="1">IFERROR(IF(0=LEN(ReferenceData!$BE$146),"",ReferenceData!$BE$146),"")</f>
        <v>68.81</v>
      </c>
      <c r="BF146">
        <f ca="1">IFERROR(IF(0=LEN(ReferenceData!$BF$146),"",ReferenceData!$BF$146),"")</f>
        <v>70.900000000000006</v>
      </c>
      <c r="BG146">
        <f ca="1">IFERROR(IF(0=LEN(ReferenceData!$BG$146),"",ReferenceData!$BG$146),"")</f>
        <v>102.72</v>
      </c>
      <c r="BH146">
        <f ca="1">IFERROR(IF(0=LEN(ReferenceData!$BH$146),"",ReferenceData!$BH$146),"")</f>
        <v>101.145</v>
      </c>
      <c r="BI146">
        <f ca="1">IFERROR(IF(0=LEN(ReferenceData!$BI$146),"",ReferenceData!$BI$146),"")</f>
        <v>54.145000000000003</v>
      </c>
      <c r="BJ146">
        <f ca="1">IFERROR(IF(0=LEN(ReferenceData!$BJ$146),"",ReferenceData!$BJ$146),"")</f>
        <v>43.311999999999998</v>
      </c>
      <c r="BK146">
        <f ca="1">IFERROR(IF(0=LEN(ReferenceData!$BK$146),"",ReferenceData!$BK$146),"")</f>
        <v>0</v>
      </c>
      <c r="BL146">
        <f ca="1">IFERROR(IF(0=LEN(ReferenceData!$BL$146),"",ReferenceData!$BL$146),"")</f>
        <v>0</v>
      </c>
      <c r="BM146">
        <f ca="1">IFERROR(IF(0=LEN(ReferenceData!$BM$146),"",ReferenceData!$BM$146),"")</f>
        <v>0</v>
      </c>
    </row>
    <row r="147" spans="1:65">
      <c r="A147" t="str">
        <f>IFERROR(IF(0=LEN(ReferenceData!$A$147),"",ReferenceData!$A$147),"")</f>
        <v xml:space="preserve">    Total Data Center REITs</v>
      </c>
      <c r="B147" t="str">
        <f>IFERROR(IF(0=LEN(ReferenceData!$B$147),"",ReferenceData!$B$147),"")</f>
        <v>RECFDVDC Index</v>
      </c>
      <c r="C147" t="str">
        <f>IFERROR(IF(0=LEN(ReferenceData!$C$147),"",ReferenceData!$C$147),"")</f>
        <v>PR005</v>
      </c>
      <c r="D147" t="str">
        <f>IFERROR(IF(0=LEN(ReferenceData!$D$147),"",ReferenceData!$D$147),"")</f>
        <v>PX_LAST</v>
      </c>
      <c r="E147" t="str">
        <f>IFERROR(IF(0=LEN(ReferenceData!$E$147),"",ReferenceData!$E$147),"")</f>
        <v>动态</v>
      </c>
      <c r="F147">
        <f ca="1">IFERROR(IF(0=LEN(ReferenceData!$F$147),"",ReferenceData!$F$147),"")</f>
        <v>2045.88</v>
      </c>
      <c r="G147">
        <f ca="1">IFERROR(IF(0=LEN(ReferenceData!$G$147),"",ReferenceData!$G$147),"")</f>
        <v>2081.8820000000001</v>
      </c>
      <c r="H147">
        <f ca="1">IFERROR(IF(0=LEN(ReferenceData!$H$147),"",ReferenceData!$H$147),"")</f>
        <v>2053.2559999999999</v>
      </c>
      <c r="I147">
        <f ca="1">IFERROR(IF(0=LEN(ReferenceData!$I$147),"",ReferenceData!$I$147),"")</f>
        <v>2249.605</v>
      </c>
      <c r="J147">
        <f ca="1">IFERROR(IF(0=LEN(ReferenceData!$J$147),"",ReferenceData!$J$147),"")</f>
        <v>2325.6320000000001</v>
      </c>
      <c r="K147">
        <f ca="1">IFERROR(IF(0=LEN(ReferenceData!$K$147),"",ReferenceData!$K$147),"")</f>
        <v>1494.7819999999999</v>
      </c>
      <c r="L147">
        <f ca="1">IFERROR(IF(0=LEN(ReferenceData!$L$147),"",ReferenceData!$L$147),"")</f>
        <v>1453.357</v>
      </c>
      <c r="M147">
        <f ca="1">IFERROR(IF(0=LEN(ReferenceData!$M$147),"",ReferenceData!$M$147),"")</f>
        <v>1804.9190000000001</v>
      </c>
      <c r="N147">
        <f ca="1">IFERROR(IF(0=LEN(ReferenceData!$N$147),"",ReferenceData!$N$147),"")</f>
        <v>1265.0119999999999</v>
      </c>
      <c r="O147">
        <f ca="1">IFERROR(IF(0=LEN(ReferenceData!$O$147),"",ReferenceData!$O$147),"")</f>
        <v>1085.8230000000001</v>
      </c>
      <c r="P147">
        <f ca="1">IFERROR(IF(0=LEN(ReferenceData!$P$147),"",ReferenceData!$P$147),"")</f>
        <v>959.46600000000001</v>
      </c>
      <c r="Q147">
        <f ca="1">IFERROR(IF(0=LEN(ReferenceData!$Q$147),"",ReferenceData!$Q$147),"")</f>
        <v>1107.827</v>
      </c>
      <c r="R147">
        <f ca="1">IFERROR(IF(0=LEN(ReferenceData!$R$147),"",ReferenceData!$R$147),"")</f>
        <v>1335.2550000000001</v>
      </c>
      <c r="S147">
        <f ca="1">IFERROR(IF(0=LEN(ReferenceData!$S$147),"",ReferenceData!$S$147),"")</f>
        <v>1311.9490000000001</v>
      </c>
      <c r="T147">
        <f ca="1">IFERROR(IF(0=LEN(ReferenceData!$T$147),"",ReferenceData!$T$147),"")</f>
        <v>1432.6869999999999</v>
      </c>
      <c r="U147">
        <f ca="1">IFERROR(IF(0=LEN(ReferenceData!$U$147),"",ReferenceData!$U$147),"")</f>
        <v>1296.2729999999999</v>
      </c>
      <c r="V147">
        <f ca="1">IFERROR(IF(0=LEN(ReferenceData!$V$147),"",ReferenceData!$V$147),"")</f>
        <v>1460.2139999999999</v>
      </c>
      <c r="W147">
        <f ca="1">IFERROR(IF(0=LEN(ReferenceData!$W$147),"",ReferenceData!$W$147),"")</f>
        <v>309.60000000000002</v>
      </c>
      <c r="X147">
        <f ca="1">IFERROR(IF(0=LEN(ReferenceData!$X$147),"",ReferenceData!$X$147),"")</f>
        <v>323</v>
      </c>
      <c r="Y147">
        <f ca="1">IFERROR(IF(0=LEN(ReferenceData!$Y$147),"",ReferenceData!$Y$147),"")</f>
        <v>205</v>
      </c>
      <c r="Z147">
        <f ca="1">IFERROR(IF(0=LEN(ReferenceData!$Z$147),"",ReferenceData!$Z$147),"")</f>
        <v>87.2</v>
      </c>
      <c r="AA147">
        <f ca="1">IFERROR(IF(0=LEN(ReferenceData!$AA$147),"",ReferenceData!$AA$147),"")</f>
        <v>103.8</v>
      </c>
      <c r="AB147">
        <f ca="1">IFERROR(IF(0=LEN(ReferenceData!$AB$147),"",ReferenceData!$AB$147),"")</f>
        <v>44.5</v>
      </c>
      <c r="AC147">
        <f ca="1">IFERROR(IF(0=LEN(ReferenceData!$AC$147),"",ReferenceData!$AC$147),"")</f>
        <v>64.5</v>
      </c>
      <c r="AD147">
        <f ca="1">IFERROR(IF(0=LEN(ReferenceData!$AD$147),"",ReferenceData!$AD$147),"")</f>
        <v>54.3</v>
      </c>
      <c r="AE147">
        <f ca="1">IFERROR(IF(0=LEN(ReferenceData!$AE$147),"",ReferenceData!$AE$147),"")</f>
        <v>289.3</v>
      </c>
      <c r="AF147">
        <f ca="1">IFERROR(IF(0=LEN(ReferenceData!$AF$147),"",ReferenceData!$AF$147),"")</f>
        <v>422</v>
      </c>
      <c r="AG147">
        <f ca="1">IFERROR(IF(0=LEN(ReferenceData!$AG$147),"",ReferenceData!$AG$147),"")</f>
        <v>432</v>
      </c>
      <c r="AH147">
        <f ca="1">IFERROR(IF(0=LEN(ReferenceData!$AH$147),"",ReferenceData!$AH$147),"")</f>
        <v>457</v>
      </c>
      <c r="AI147">
        <f ca="1">IFERROR(IF(0=LEN(ReferenceData!$AI$147),"",ReferenceData!$AI$147),"")</f>
        <v>592</v>
      </c>
      <c r="AJ147">
        <f ca="1">IFERROR(IF(0=LEN(ReferenceData!$AJ$147),"",ReferenceData!$AJ$147),"")</f>
        <v>600</v>
      </c>
      <c r="AK147">
        <f ca="1">IFERROR(IF(0=LEN(ReferenceData!$AK$147),"",ReferenceData!$AK$147),"")</f>
        <v>215</v>
      </c>
      <c r="AL147">
        <f ca="1">IFERROR(IF(0=LEN(ReferenceData!$AL$147),"",ReferenceData!$AL$147),"")</f>
        <v>215</v>
      </c>
      <c r="AM147">
        <f ca="1">IFERROR(IF(0=LEN(ReferenceData!$AM$147),"",ReferenceData!$AM$147),"")</f>
        <v>0</v>
      </c>
      <c r="AN147">
        <f ca="1">IFERROR(IF(0=LEN(ReferenceData!$AN$147),"",ReferenceData!$AN$147),"")</f>
        <v>165</v>
      </c>
      <c r="AO147">
        <f ca="1">IFERROR(IF(0=LEN(ReferenceData!$AO$147),"",ReferenceData!$AO$147),"")</f>
        <v>165</v>
      </c>
      <c r="AP147">
        <f ca="1">IFERROR(IF(0=LEN(ReferenceData!$AP$147),"",ReferenceData!$AP$147),"")</f>
        <v>660</v>
      </c>
      <c r="AQ147">
        <f ca="1">IFERROR(IF(0=LEN(ReferenceData!$AQ$147),"",ReferenceData!$AQ$147),"")</f>
        <v>380</v>
      </c>
      <c r="AR147">
        <f ca="1">IFERROR(IF(0=LEN(ReferenceData!$AR$147),"",ReferenceData!$AR$147),"")</f>
        <v>1010</v>
      </c>
      <c r="AS147">
        <f ca="1">IFERROR(IF(0=LEN(ReferenceData!$AS$147),"",ReferenceData!$AS$147),"")</f>
        <v>1010</v>
      </c>
      <c r="AT147">
        <f ca="1">IFERROR(IF(0=LEN(ReferenceData!$AT$147),"",ReferenceData!$AT$147),"")</f>
        <v>1030</v>
      </c>
      <c r="AU147">
        <f ca="1">IFERROR(IF(0=LEN(ReferenceData!$AU$147),"",ReferenceData!$AU$147),"")</f>
        <v>0</v>
      </c>
      <c r="AV147">
        <f ca="1">IFERROR(IF(0=LEN(ReferenceData!$AV$147),"",ReferenceData!$AV$147),"")</f>
        <v>0</v>
      </c>
      <c r="AW147">
        <f ca="1">IFERROR(IF(0=LEN(ReferenceData!$AW$147),"",ReferenceData!$AW$147),"")</f>
        <v>0</v>
      </c>
      <c r="AX147">
        <f ca="1">IFERROR(IF(0=LEN(ReferenceData!$AX$147),"",ReferenceData!$AX$147),"")</f>
        <v>0</v>
      </c>
      <c r="AY147">
        <f ca="1">IFERROR(IF(0=LEN(ReferenceData!$AY$147),"",ReferenceData!$AY$147),"")</f>
        <v>0</v>
      </c>
      <c r="AZ147">
        <f ca="1">IFERROR(IF(0=LEN(ReferenceData!$AZ$147),"",ReferenceData!$AZ$147),"")</f>
        <v>0</v>
      </c>
      <c r="BA147">
        <f ca="1">IFERROR(IF(0=LEN(ReferenceData!$BA$147),"",ReferenceData!$BA$147),"")</f>
        <v>0</v>
      </c>
      <c r="BB147">
        <f ca="1">IFERROR(IF(0=LEN(ReferenceData!$BB$147),"",ReferenceData!$BB$147),"")</f>
        <v>0</v>
      </c>
      <c r="BC147">
        <f ca="1">IFERROR(IF(0=LEN(ReferenceData!$BC$147),"",ReferenceData!$BC$147),"")</f>
        <v>0</v>
      </c>
      <c r="BD147">
        <f ca="1">IFERROR(IF(0=LEN(ReferenceData!$BD$147),"",ReferenceData!$BD$147),"")</f>
        <v>0</v>
      </c>
      <c r="BE147">
        <f ca="1">IFERROR(IF(0=LEN(ReferenceData!$BE$147),"",ReferenceData!$BE$147),"")</f>
        <v>0</v>
      </c>
      <c r="BF147">
        <f ca="1">IFERROR(IF(0=LEN(ReferenceData!$BF$147),"",ReferenceData!$BF$147),"")</f>
        <v>0</v>
      </c>
      <c r="BG147">
        <f ca="1">IFERROR(IF(0=LEN(ReferenceData!$BG$147),"",ReferenceData!$BG$147),"")</f>
        <v>0</v>
      </c>
      <c r="BH147">
        <f ca="1">IFERROR(IF(0=LEN(ReferenceData!$BH$147),"",ReferenceData!$BH$147),"")</f>
        <v>0</v>
      </c>
      <c r="BI147">
        <f ca="1">IFERROR(IF(0=LEN(ReferenceData!$BI$147),"",ReferenceData!$BI$147),"")</f>
        <v>0</v>
      </c>
      <c r="BJ147">
        <f ca="1">IFERROR(IF(0=LEN(ReferenceData!$BJ$147),"",ReferenceData!$BJ$147),"")</f>
        <v>0</v>
      </c>
      <c r="BK147">
        <f ca="1">IFERROR(IF(0=LEN(ReferenceData!$BK$147),"",ReferenceData!$BK$147),"")</f>
        <v>0</v>
      </c>
      <c r="BL147">
        <f ca="1">IFERROR(IF(0=LEN(ReferenceData!$BL$147),"",ReferenceData!$BL$147),"")</f>
        <v>0</v>
      </c>
      <c r="BM147">
        <f ca="1">IFERROR(IF(0=LEN(ReferenceData!$BM$147),"",ReferenceData!$BM$147),"")</f>
        <v>0</v>
      </c>
    </row>
    <row r="148" spans="1:65">
      <c r="A148" t="str">
        <f>IFERROR(IF(0=LEN(ReferenceData!$A$148),"",ReferenceData!$A$148),"")</f>
        <v xml:space="preserve">    Total Specialty REITs</v>
      </c>
      <c r="B148" t="str">
        <f>IFERROR(IF(0=LEN(ReferenceData!$B$148),"",ReferenceData!$B$148),"")</f>
        <v>RECFDVSP Index</v>
      </c>
      <c r="C148" t="str">
        <f>IFERROR(IF(0=LEN(ReferenceData!$C$148),"",ReferenceData!$C$148),"")</f>
        <v>PR005</v>
      </c>
      <c r="D148" t="str">
        <f>IFERROR(IF(0=LEN(ReferenceData!$D$148),"",ReferenceData!$D$148),"")</f>
        <v>PX_LAST</v>
      </c>
      <c r="E148" t="str">
        <f>IFERROR(IF(0=LEN(ReferenceData!$E$148),"",ReferenceData!$E$148),"")</f>
        <v>动态</v>
      </c>
      <c r="F148">
        <f ca="1">IFERROR(IF(0=LEN(ReferenceData!$F$148),"",ReferenceData!$F$148),"")</f>
        <v>638.82000000000005</v>
      </c>
      <c r="G148">
        <f ca="1">IFERROR(IF(0=LEN(ReferenceData!$G$148),"",ReferenceData!$G$148),"")</f>
        <v>844.52099999999996</v>
      </c>
      <c r="H148">
        <f ca="1">IFERROR(IF(0=LEN(ReferenceData!$H$148),"",ReferenceData!$H$148),"")</f>
        <v>813.23400000000004</v>
      </c>
      <c r="I148">
        <f ca="1">IFERROR(IF(0=LEN(ReferenceData!$I$148),"",ReferenceData!$I$148),"")</f>
        <v>921.74199999999996</v>
      </c>
      <c r="J148">
        <f ca="1">IFERROR(IF(0=LEN(ReferenceData!$J$148),"",ReferenceData!$J$148),"")</f>
        <v>768.99300000000005</v>
      </c>
      <c r="K148">
        <f ca="1">IFERROR(IF(0=LEN(ReferenceData!$K$148),"",ReferenceData!$K$148),"")</f>
        <v>774.72500000000002</v>
      </c>
      <c r="L148">
        <f ca="1">IFERROR(IF(0=LEN(ReferenceData!$L$148),"",ReferenceData!$L$148),"")</f>
        <v>877.35799999999995</v>
      </c>
      <c r="M148">
        <f ca="1">IFERROR(IF(0=LEN(ReferenceData!$M$148),"",ReferenceData!$M$148),"")</f>
        <v>767.46600000000001</v>
      </c>
      <c r="N148">
        <f ca="1">IFERROR(IF(0=LEN(ReferenceData!$N$148),"",ReferenceData!$N$148),"")</f>
        <v>721.55399999999997</v>
      </c>
      <c r="O148">
        <f ca="1">IFERROR(IF(0=LEN(ReferenceData!$O$148),"",ReferenceData!$O$148),"")</f>
        <v>0</v>
      </c>
      <c r="P148">
        <f ca="1">IFERROR(IF(0=LEN(ReferenceData!$P$148),"",ReferenceData!$P$148),"")</f>
        <v>0</v>
      </c>
      <c r="Q148">
        <f ca="1">IFERROR(IF(0=LEN(ReferenceData!$Q$148),"",ReferenceData!$Q$148),"")</f>
        <v>0</v>
      </c>
      <c r="R148">
        <f ca="1">IFERROR(IF(0=LEN(ReferenceData!$R$148),"",ReferenceData!$R$148),"")</f>
        <v>0</v>
      </c>
      <c r="S148">
        <f ca="1">IFERROR(IF(0=LEN(ReferenceData!$S$148),"",ReferenceData!$S$148),"")</f>
        <v>0</v>
      </c>
      <c r="T148">
        <f ca="1">IFERROR(IF(0=LEN(ReferenceData!$T$148),"",ReferenceData!$T$148),"")</f>
        <v>0</v>
      </c>
      <c r="U148">
        <f ca="1">IFERROR(IF(0=LEN(ReferenceData!$U$148),"",ReferenceData!$U$148),"")</f>
        <v>0</v>
      </c>
      <c r="V148">
        <f ca="1">IFERROR(IF(0=LEN(ReferenceData!$V$148),"",ReferenceData!$V$148),"")</f>
        <v>0</v>
      </c>
      <c r="W148">
        <f ca="1">IFERROR(IF(0=LEN(ReferenceData!$W$148),"",ReferenceData!$W$148),"")</f>
        <v>0</v>
      </c>
      <c r="X148">
        <f ca="1">IFERROR(IF(0=LEN(ReferenceData!$X$148),"",ReferenceData!$X$148),"")</f>
        <v>0</v>
      </c>
      <c r="Y148">
        <f ca="1">IFERROR(IF(0=LEN(ReferenceData!$Y$148),"",ReferenceData!$Y$148),"")</f>
        <v>0</v>
      </c>
      <c r="Z148">
        <f ca="1">IFERROR(IF(0=LEN(ReferenceData!$Z$148),"",ReferenceData!$Z$148),"")</f>
        <v>0</v>
      </c>
      <c r="AA148">
        <f ca="1">IFERROR(IF(0=LEN(ReferenceData!$AA$148),"",ReferenceData!$AA$148),"")</f>
        <v>0</v>
      </c>
      <c r="AB148">
        <f ca="1">IFERROR(IF(0=LEN(ReferenceData!$AB$148),"",ReferenceData!$AB$148),"")</f>
        <v>0</v>
      </c>
      <c r="AC148">
        <f ca="1">IFERROR(IF(0=LEN(ReferenceData!$AC$148),"",ReferenceData!$AC$148),"")</f>
        <v>0</v>
      </c>
      <c r="AD148">
        <f ca="1">IFERROR(IF(0=LEN(ReferenceData!$AD$148),"",ReferenceData!$AD$148),"")</f>
        <v>0</v>
      </c>
      <c r="AE148">
        <f ca="1">IFERROR(IF(0=LEN(ReferenceData!$AE$148),"",ReferenceData!$AE$148),"")</f>
        <v>0</v>
      </c>
      <c r="AF148">
        <f ca="1">IFERROR(IF(0=LEN(ReferenceData!$AF$148),"",ReferenceData!$AF$148),"")</f>
        <v>0</v>
      </c>
      <c r="AG148">
        <f ca="1">IFERROR(IF(0=LEN(ReferenceData!$AG$148),"",ReferenceData!$AG$148),"")</f>
        <v>0</v>
      </c>
      <c r="AH148">
        <f ca="1">IFERROR(IF(0=LEN(ReferenceData!$AH$148),"",ReferenceData!$AH$148),"")</f>
        <v>0</v>
      </c>
      <c r="AI148">
        <f ca="1">IFERROR(IF(0=LEN(ReferenceData!$AI$148),"",ReferenceData!$AI$148),"")</f>
        <v>0</v>
      </c>
      <c r="AJ148">
        <f ca="1">IFERROR(IF(0=LEN(ReferenceData!$AJ$148),"",ReferenceData!$AJ$148),"")</f>
        <v>0</v>
      </c>
      <c r="AK148">
        <f ca="1">IFERROR(IF(0=LEN(ReferenceData!$AK$148),"",ReferenceData!$AK$148),"")</f>
        <v>0</v>
      </c>
      <c r="AL148">
        <f ca="1">IFERROR(IF(0=LEN(ReferenceData!$AL$148),"",ReferenceData!$AL$148),"")</f>
        <v>0</v>
      </c>
      <c r="AM148">
        <f ca="1">IFERROR(IF(0=LEN(ReferenceData!$AM$148),"",ReferenceData!$AM$148),"")</f>
        <v>0</v>
      </c>
      <c r="AN148">
        <f ca="1">IFERROR(IF(0=LEN(ReferenceData!$AN$148),"",ReferenceData!$AN$148),"")</f>
        <v>0</v>
      </c>
      <c r="AO148">
        <f ca="1">IFERROR(IF(0=LEN(ReferenceData!$AO$148),"",ReferenceData!$AO$148),"")</f>
        <v>0</v>
      </c>
      <c r="AP148">
        <f ca="1">IFERROR(IF(0=LEN(ReferenceData!$AP$148),"",ReferenceData!$AP$148),"")</f>
        <v>0</v>
      </c>
      <c r="AQ148">
        <f ca="1">IFERROR(IF(0=LEN(ReferenceData!$AQ$148),"",ReferenceData!$AQ$148),"")</f>
        <v>21.7</v>
      </c>
      <c r="AR148">
        <f ca="1">IFERROR(IF(0=LEN(ReferenceData!$AR$148),"",ReferenceData!$AR$148),"")</f>
        <v>21.7</v>
      </c>
      <c r="AS148">
        <f ca="1">IFERROR(IF(0=LEN(ReferenceData!$AS$148),"",ReferenceData!$AS$148),"")</f>
        <v>13.2</v>
      </c>
      <c r="AT148">
        <f ca="1">IFERROR(IF(0=LEN(ReferenceData!$AT$148),"",ReferenceData!$AT$148),"")</f>
        <v>0</v>
      </c>
      <c r="AU148">
        <f ca="1">IFERROR(IF(0=LEN(ReferenceData!$AU$148),"",ReferenceData!$AU$148),"")</f>
        <v>0</v>
      </c>
      <c r="AV148">
        <f ca="1">IFERROR(IF(0=LEN(ReferenceData!$AV$148),"",ReferenceData!$AV$148),"")</f>
        <v>0</v>
      </c>
      <c r="AW148">
        <f ca="1">IFERROR(IF(0=LEN(ReferenceData!$AW$148),"",ReferenceData!$AW$148),"")</f>
        <v>0</v>
      </c>
      <c r="AX148">
        <f ca="1">IFERROR(IF(0=LEN(ReferenceData!$AX$148),"",ReferenceData!$AX$148),"")</f>
        <v>0</v>
      </c>
      <c r="AY148">
        <f ca="1">IFERROR(IF(0=LEN(ReferenceData!$AY$148),"",ReferenceData!$AY$148),"")</f>
        <v>0</v>
      </c>
      <c r="AZ148">
        <f ca="1">IFERROR(IF(0=LEN(ReferenceData!$AZ$148),"",ReferenceData!$AZ$148),"")</f>
        <v>0</v>
      </c>
      <c r="BA148">
        <f ca="1">IFERROR(IF(0=LEN(ReferenceData!$BA$148),"",ReferenceData!$BA$148),"")</f>
        <v>0</v>
      </c>
      <c r="BB148">
        <f ca="1">IFERROR(IF(0=LEN(ReferenceData!$BB$148),"",ReferenceData!$BB$148),"")</f>
        <v>0</v>
      </c>
      <c r="BC148">
        <f ca="1">IFERROR(IF(0=LEN(ReferenceData!$BC$148),"",ReferenceData!$BC$148),"")</f>
        <v>0</v>
      </c>
      <c r="BD148">
        <f ca="1">IFERROR(IF(0=LEN(ReferenceData!$BD$148),"",ReferenceData!$BD$148),"")</f>
        <v>0</v>
      </c>
      <c r="BE148">
        <f ca="1">IFERROR(IF(0=LEN(ReferenceData!$BE$148),"",ReferenceData!$BE$148),"")</f>
        <v>1706.7</v>
      </c>
      <c r="BF148">
        <f ca="1">IFERROR(IF(0=LEN(ReferenceData!$BF$148),"",ReferenceData!$BF$148),"")</f>
        <v>1944.4739999999999</v>
      </c>
      <c r="BG148">
        <f ca="1">IFERROR(IF(0=LEN(ReferenceData!$BG$148),"",ReferenceData!$BG$148),"")</f>
        <v>35.799999999999997</v>
      </c>
      <c r="BH148">
        <f ca="1">IFERROR(IF(0=LEN(ReferenceData!$BH$148),"",ReferenceData!$BH$148),"")</f>
        <v>0</v>
      </c>
      <c r="BI148">
        <f ca="1">IFERROR(IF(0=LEN(ReferenceData!$BI$148),"",ReferenceData!$BI$148),"")</f>
        <v>0</v>
      </c>
      <c r="BJ148">
        <f ca="1">IFERROR(IF(0=LEN(ReferenceData!$BJ$148),"",ReferenceData!$BJ$148),"")</f>
        <v>0</v>
      </c>
      <c r="BK148">
        <f ca="1">IFERROR(IF(0=LEN(ReferenceData!$BK$148),"",ReferenceData!$BK$148),"")</f>
        <v>0</v>
      </c>
      <c r="BL148">
        <f ca="1">IFERROR(IF(0=LEN(ReferenceData!$BL$148),"",ReferenceData!$BL$148),"")</f>
        <v>0</v>
      </c>
      <c r="BM148">
        <f ca="1">IFERROR(IF(0=LEN(ReferenceData!$BM$148),"",ReferenceData!$BM$148),"")</f>
        <v>0</v>
      </c>
    </row>
    <row r="149" spans="1:65">
      <c r="A149" t="str">
        <f>IFERROR(IF(0=LEN(ReferenceData!$A$149),"",ReferenceData!$A$149),"")</f>
        <v xml:space="preserve">    </v>
      </c>
      <c r="B149" t="str">
        <f>IFERROR(IF(0=LEN(ReferenceData!$B$149),"",ReferenceData!$B$149),"")</f>
        <v/>
      </c>
      <c r="C149" t="str">
        <f>IFERROR(IF(0=LEN(ReferenceData!$C$149),"",ReferenceData!$C$149),"")</f>
        <v/>
      </c>
      <c r="D149" t="str">
        <f>IFERROR(IF(0=LEN(ReferenceData!$D$149),"",ReferenceData!$D$149),"")</f>
        <v/>
      </c>
      <c r="E149" t="str">
        <f>IFERROR(IF(0=LEN(ReferenceData!$E$149),"",ReferenceData!$E$149),"")</f>
        <v>静态</v>
      </c>
      <c r="F149" t="str">
        <f ca="1">IFERROR(IF(0=LEN(ReferenceData!$F$149),"",ReferenceData!$F$149),"")</f>
        <v/>
      </c>
      <c r="G149" t="str">
        <f ca="1">IFERROR(IF(0=LEN(ReferenceData!$G$149),"",ReferenceData!$G$149),"")</f>
        <v/>
      </c>
      <c r="H149" t="str">
        <f ca="1">IFERROR(IF(0=LEN(ReferenceData!$H$149),"",ReferenceData!$H$149),"")</f>
        <v/>
      </c>
      <c r="I149" t="str">
        <f ca="1">IFERROR(IF(0=LEN(ReferenceData!$I$149),"",ReferenceData!$I$149),"")</f>
        <v/>
      </c>
      <c r="J149" t="str">
        <f ca="1">IFERROR(IF(0=LEN(ReferenceData!$J$149),"",ReferenceData!$J$149),"")</f>
        <v/>
      </c>
      <c r="K149" t="str">
        <f ca="1">IFERROR(IF(0=LEN(ReferenceData!$K$149),"",ReferenceData!$K$149),"")</f>
        <v/>
      </c>
      <c r="L149" t="str">
        <f ca="1">IFERROR(IF(0=LEN(ReferenceData!$L$149),"",ReferenceData!$L$149),"")</f>
        <v/>
      </c>
      <c r="M149" t="str">
        <f ca="1">IFERROR(IF(0=LEN(ReferenceData!$M$149),"",ReferenceData!$M$149),"")</f>
        <v/>
      </c>
      <c r="N149" t="str">
        <f ca="1">IFERROR(IF(0=LEN(ReferenceData!$N$149),"",ReferenceData!$N$149),"")</f>
        <v/>
      </c>
      <c r="O149" t="str">
        <f ca="1">IFERROR(IF(0=LEN(ReferenceData!$O$149),"",ReferenceData!$O$149),"")</f>
        <v/>
      </c>
      <c r="P149" t="str">
        <f ca="1">IFERROR(IF(0=LEN(ReferenceData!$P$149),"",ReferenceData!$P$149),"")</f>
        <v/>
      </c>
      <c r="Q149" t="str">
        <f ca="1">IFERROR(IF(0=LEN(ReferenceData!$Q$149),"",ReferenceData!$Q$149),"")</f>
        <v/>
      </c>
      <c r="R149" t="str">
        <f ca="1">IFERROR(IF(0=LEN(ReferenceData!$R$149),"",ReferenceData!$R$149),"")</f>
        <v/>
      </c>
      <c r="S149" t="str">
        <f ca="1">IFERROR(IF(0=LEN(ReferenceData!$S$149),"",ReferenceData!$S$149),"")</f>
        <v/>
      </c>
      <c r="T149" t="str">
        <f ca="1">IFERROR(IF(0=LEN(ReferenceData!$T$149),"",ReferenceData!$T$149),"")</f>
        <v/>
      </c>
      <c r="U149" t="str">
        <f ca="1">IFERROR(IF(0=LEN(ReferenceData!$U$149),"",ReferenceData!$U$149),"")</f>
        <v/>
      </c>
      <c r="V149" t="str">
        <f ca="1">IFERROR(IF(0=LEN(ReferenceData!$V$149),"",ReferenceData!$V$149),"")</f>
        <v/>
      </c>
      <c r="W149" t="str">
        <f ca="1">IFERROR(IF(0=LEN(ReferenceData!$W$149),"",ReferenceData!$W$149),"")</f>
        <v/>
      </c>
      <c r="X149" t="str">
        <f ca="1">IFERROR(IF(0=LEN(ReferenceData!$X$149),"",ReferenceData!$X$149),"")</f>
        <v/>
      </c>
      <c r="Y149" t="str">
        <f ca="1">IFERROR(IF(0=LEN(ReferenceData!$Y$149),"",ReferenceData!$Y$149),"")</f>
        <v/>
      </c>
      <c r="Z149" t="str">
        <f ca="1">IFERROR(IF(0=LEN(ReferenceData!$Z$149),"",ReferenceData!$Z$149),"")</f>
        <v/>
      </c>
      <c r="AA149" t="str">
        <f ca="1">IFERROR(IF(0=LEN(ReferenceData!$AA$149),"",ReferenceData!$AA$149),"")</f>
        <v/>
      </c>
      <c r="AB149" t="str">
        <f ca="1">IFERROR(IF(0=LEN(ReferenceData!$AB$149),"",ReferenceData!$AB$149),"")</f>
        <v/>
      </c>
      <c r="AC149" t="str">
        <f ca="1">IFERROR(IF(0=LEN(ReferenceData!$AC$149),"",ReferenceData!$AC$149),"")</f>
        <v/>
      </c>
      <c r="AD149" t="str">
        <f ca="1">IFERROR(IF(0=LEN(ReferenceData!$AD$149),"",ReferenceData!$AD$149),"")</f>
        <v/>
      </c>
      <c r="AE149" t="str">
        <f ca="1">IFERROR(IF(0=LEN(ReferenceData!$AE$149),"",ReferenceData!$AE$149),"")</f>
        <v/>
      </c>
      <c r="AF149" t="str">
        <f ca="1">IFERROR(IF(0=LEN(ReferenceData!$AF$149),"",ReferenceData!$AF$149),"")</f>
        <v/>
      </c>
      <c r="AG149" t="str">
        <f ca="1">IFERROR(IF(0=LEN(ReferenceData!$AG$149),"",ReferenceData!$AG$149),"")</f>
        <v/>
      </c>
      <c r="AH149" t="str">
        <f ca="1">IFERROR(IF(0=LEN(ReferenceData!$AH$149),"",ReferenceData!$AH$149),"")</f>
        <v/>
      </c>
      <c r="AI149" t="str">
        <f ca="1">IFERROR(IF(0=LEN(ReferenceData!$AI$149),"",ReferenceData!$AI$149),"")</f>
        <v/>
      </c>
      <c r="AJ149" t="str">
        <f ca="1">IFERROR(IF(0=LEN(ReferenceData!$AJ$149),"",ReferenceData!$AJ$149),"")</f>
        <v/>
      </c>
      <c r="AK149" t="str">
        <f ca="1">IFERROR(IF(0=LEN(ReferenceData!$AK$149),"",ReferenceData!$AK$149),"")</f>
        <v/>
      </c>
      <c r="AL149" t="str">
        <f ca="1">IFERROR(IF(0=LEN(ReferenceData!$AL$149),"",ReferenceData!$AL$149),"")</f>
        <v/>
      </c>
      <c r="AM149" t="str">
        <f ca="1">IFERROR(IF(0=LEN(ReferenceData!$AM$149),"",ReferenceData!$AM$149),"")</f>
        <v/>
      </c>
      <c r="AN149" t="str">
        <f ca="1">IFERROR(IF(0=LEN(ReferenceData!$AN$149),"",ReferenceData!$AN$149),"")</f>
        <v/>
      </c>
      <c r="AO149" t="str">
        <f ca="1">IFERROR(IF(0=LEN(ReferenceData!$AO$149),"",ReferenceData!$AO$149),"")</f>
        <v/>
      </c>
      <c r="AP149" t="str">
        <f ca="1">IFERROR(IF(0=LEN(ReferenceData!$AP$149),"",ReferenceData!$AP$149),"")</f>
        <v/>
      </c>
      <c r="AQ149" t="str">
        <f ca="1">IFERROR(IF(0=LEN(ReferenceData!$AQ$149),"",ReferenceData!$AQ$149),"")</f>
        <v/>
      </c>
      <c r="AR149" t="str">
        <f ca="1">IFERROR(IF(0=LEN(ReferenceData!$AR$149),"",ReferenceData!$AR$149),"")</f>
        <v/>
      </c>
      <c r="AS149" t="str">
        <f ca="1">IFERROR(IF(0=LEN(ReferenceData!$AS$149),"",ReferenceData!$AS$149),"")</f>
        <v/>
      </c>
      <c r="AT149" t="str">
        <f ca="1">IFERROR(IF(0=LEN(ReferenceData!$AT$149),"",ReferenceData!$AT$149),"")</f>
        <v/>
      </c>
      <c r="AU149" t="str">
        <f ca="1">IFERROR(IF(0=LEN(ReferenceData!$AU$149),"",ReferenceData!$AU$149),"")</f>
        <v/>
      </c>
      <c r="AV149" t="str">
        <f ca="1">IFERROR(IF(0=LEN(ReferenceData!$AV$149),"",ReferenceData!$AV$149),"")</f>
        <v/>
      </c>
      <c r="AW149" t="str">
        <f ca="1">IFERROR(IF(0=LEN(ReferenceData!$AW$149),"",ReferenceData!$AW$149),"")</f>
        <v/>
      </c>
      <c r="AX149" t="str">
        <f ca="1">IFERROR(IF(0=LEN(ReferenceData!$AX$149),"",ReferenceData!$AX$149),"")</f>
        <v/>
      </c>
      <c r="AY149" t="str">
        <f ca="1">IFERROR(IF(0=LEN(ReferenceData!$AY$149),"",ReferenceData!$AY$149),"")</f>
        <v/>
      </c>
      <c r="AZ149" t="str">
        <f ca="1">IFERROR(IF(0=LEN(ReferenceData!$AZ$149),"",ReferenceData!$AZ$149),"")</f>
        <v/>
      </c>
      <c r="BA149" t="str">
        <f ca="1">IFERROR(IF(0=LEN(ReferenceData!$BA$149),"",ReferenceData!$BA$149),"")</f>
        <v/>
      </c>
      <c r="BB149" t="str">
        <f ca="1">IFERROR(IF(0=LEN(ReferenceData!$BB$149),"",ReferenceData!$BB$149),"")</f>
        <v/>
      </c>
      <c r="BC149" t="str">
        <f ca="1">IFERROR(IF(0=LEN(ReferenceData!$BC$149),"",ReferenceData!$BC$149),"")</f>
        <v/>
      </c>
      <c r="BD149" t="str">
        <f ca="1">IFERROR(IF(0=LEN(ReferenceData!$BD$149),"",ReferenceData!$BD$149),"")</f>
        <v/>
      </c>
      <c r="BE149" t="str">
        <f ca="1">IFERROR(IF(0=LEN(ReferenceData!$BE$149),"",ReferenceData!$BE$149),"")</f>
        <v/>
      </c>
      <c r="BF149" t="str">
        <f ca="1">IFERROR(IF(0=LEN(ReferenceData!$BF$149),"",ReferenceData!$BF$149),"")</f>
        <v/>
      </c>
      <c r="BG149" t="str">
        <f ca="1">IFERROR(IF(0=LEN(ReferenceData!$BG$149),"",ReferenceData!$BG$149),"")</f>
        <v/>
      </c>
      <c r="BH149" t="str">
        <f ca="1">IFERROR(IF(0=LEN(ReferenceData!$BH$149),"",ReferenceData!$BH$149),"")</f>
        <v/>
      </c>
      <c r="BI149" t="str">
        <f ca="1">IFERROR(IF(0=LEN(ReferenceData!$BI$149),"",ReferenceData!$BI$149),"")</f>
        <v/>
      </c>
      <c r="BJ149" t="str">
        <f ca="1">IFERROR(IF(0=LEN(ReferenceData!$BJ$149),"",ReferenceData!$BJ$149),"")</f>
        <v/>
      </c>
      <c r="BK149" t="str">
        <f ca="1">IFERROR(IF(0=LEN(ReferenceData!$BK$149),"",ReferenceData!$BK$149),"")</f>
        <v/>
      </c>
      <c r="BL149" t="str">
        <f ca="1">IFERROR(IF(0=LEN(ReferenceData!$BL$149),"",ReferenceData!$BL$149),"")</f>
        <v/>
      </c>
      <c r="BM149" t="str">
        <f ca="1">IFERROR(IF(0=LEN(ReferenceData!$BM$149),"",ReferenceData!$BM$149),"")</f>
        <v/>
      </c>
    </row>
    <row r="150" spans="1:65">
      <c r="A150" t="str">
        <f>IFERROR(IF(0=LEN(ReferenceData!$A$150),"",ReferenceData!$A$150),"")</f>
        <v>REITs' Average Occupancy</v>
      </c>
      <c r="B150" t="str">
        <f>IFERROR(IF(0=LEN(ReferenceData!$B$150),"",ReferenceData!$B$150),"")</f>
        <v/>
      </c>
      <c r="C150" t="str">
        <f>IFERROR(IF(0=LEN(ReferenceData!$C$150),"",ReferenceData!$C$150),"")</f>
        <v/>
      </c>
      <c r="D150" t="str">
        <f>IFERROR(IF(0=LEN(ReferenceData!$D$150),"",ReferenceData!$D$150),"")</f>
        <v/>
      </c>
      <c r="E150" t="str">
        <f>IFERROR(IF(0=LEN(ReferenceData!$E$150),"",ReferenceData!$E$150),"")</f>
        <v>静态</v>
      </c>
      <c r="F150" t="str">
        <f ca="1">IFERROR(IF(0=LEN(ReferenceData!$F$150),"",ReferenceData!$F$150),"")</f>
        <v/>
      </c>
      <c r="G150" t="str">
        <f ca="1">IFERROR(IF(0=LEN(ReferenceData!$G$150),"",ReferenceData!$G$150),"")</f>
        <v/>
      </c>
      <c r="H150" t="str">
        <f ca="1">IFERROR(IF(0=LEN(ReferenceData!$H$150),"",ReferenceData!$H$150),"")</f>
        <v/>
      </c>
      <c r="I150" t="str">
        <f ca="1">IFERROR(IF(0=LEN(ReferenceData!$I$150),"",ReferenceData!$I$150),"")</f>
        <v/>
      </c>
      <c r="J150" t="str">
        <f ca="1">IFERROR(IF(0=LEN(ReferenceData!$J$150),"",ReferenceData!$J$150),"")</f>
        <v/>
      </c>
      <c r="K150" t="str">
        <f ca="1">IFERROR(IF(0=LEN(ReferenceData!$K$150),"",ReferenceData!$K$150),"")</f>
        <v/>
      </c>
      <c r="L150" t="str">
        <f ca="1">IFERROR(IF(0=LEN(ReferenceData!$L$150),"",ReferenceData!$L$150),"")</f>
        <v/>
      </c>
      <c r="M150" t="str">
        <f ca="1">IFERROR(IF(0=LEN(ReferenceData!$M$150),"",ReferenceData!$M$150),"")</f>
        <v/>
      </c>
      <c r="N150" t="str">
        <f ca="1">IFERROR(IF(0=LEN(ReferenceData!$N$150),"",ReferenceData!$N$150),"")</f>
        <v/>
      </c>
      <c r="O150" t="str">
        <f ca="1">IFERROR(IF(0=LEN(ReferenceData!$O$150),"",ReferenceData!$O$150),"")</f>
        <v/>
      </c>
      <c r="P150" t="str">
        <f ca="1">IFERROR(IF(0=LEN(ReferenceData!$P$150),"",ReferenceData!$P$150),"")</f>
        <v/>
      </c>
      <c r="Q150" t="str">
        <f ca="1">IFERROR(IF(0=LEN(ReferenceData!$Q$150),"",ReferenceData!$Q$150),"")</f>
        <v/>
      </c>
      <c r="R150" t="str">
        <f ca="1">IFERROR(IF(0=LEN(ReferenceData!$R$150),"",ReferenceData!$R$150),"")</f>
        <v/>
      </c>
      <c r="S150" t="str">
        <f ca="1">IFERROR(IF(0=LEN(ReferenceData!$S$150),"",ReferenceData!$S$150),"")</f>
        <v/>
      </c>
      <c r="T150" t="str">
        <f ca="1">IFERROR(IF(0=LEN(ReferenceData!$T$150),"",ReferenceData!$T$150),"")</f>
        <v/>
      </c>
      <c r="U150" t="str">
        <f ca="1">IFERROR(IF(0=LEN(ReferenceData!$U$150),"",ReferenceData!$U$150),"")</f>
        <v/>
      </c>
      <c r="V150" t="str">
        <f ca="1">IFERROR(IF(0=LEN(ReferenceData!$V$150),"",ReferenceData!$V$150),"")</f>
        <v/>
      </c>
      <c r="W150" t="str">
        <f ca="1">IFERROR(IF(0=LEN(ReferenceData!$W$150),"",ReferenceData!$W$150),"")</f>
        <v/>
      </c>
      <c r="X150" t="str">
        <f ca="1">IFERROR(IF(0=LEN(ReferenceData!$X$150),"",ReferenceData!$X$150),"")</f>
        <v/>
      </c>
      <c r="Y150" t="str">
        <f ca="1">IFERROR(IF(0=LEN(ReferenceData!$Y$150),"",ReferenceData!$Y$150),"")</f>
        <v/>
      </c>
      <c r="Z150" t="str">
        <f ca="1">IFERROR(IF(0=LEN(ReferenceData!$Z$150),"",ReferenceData!$Z$150),"")</f>
        <v/>
      </c>
      <c r="AA150" t="str">
        <f ca="1">IFERROR(IF(0=LEN(ReferenceData!$AA$150),"",ReferenceData!$AA$150),"")</f>
        <v/>
      </c>
      <c r="AB150" t="str">
        <f ca="1">IFERROR(IF(0=LEN(ReferenceData!$AB$150),"",ReferenceData!$AB$150),"")</f>
        <v/>
      </c>
      <c r="AC150" t="str">
        <f ca="1">IFERROR(IF(0=LEN(ReferenceData!$AC$150),"",ReferenceData!$AC$150),"")</f>
        <v/>
      </c>
      <c r="AD150" t="str">
        <f ca="1">IFERROR(IF(0=LEN(ReferenceData!$AD$150),"",ReferenceData!$AD$150),"")</f>
        <v/>
      </c>
      <c r="AE150" t="str">
        <f ca="1">IFERROR(IF(0=LEN(ReferenceData!$AE$150),"",ReferenceData!$AE$150),"")</f>
        <v/>
      </c>
      <c r="AF150" t="str">
        <f ca="1">IFERROR(IF(0=LEN(ReferenceData!$AF$150),"",ReferenceData!$AF$150),"")</f>
        <v/>
      </c>
      <c r="AG150" t="str">
        <f ca="1">IFERROR(IF(0=LEN(ReferenceData!$AG$150),"",ReferenceData!$AG$150),"")</f>
        <v/>
      </c>
      <c r="AH150" t="str">
        <f ca="1">IFERROR(IF(0=LEN(ReferenceData!$AH$150),"",ReferenceData!$AH$150),"")</f>
        <v/>
      </c>
      <c r="AI150" t="str">
        <f ca="1">IFERROR(IF(0=LEN(ReferenceData!$AI$150),"",ReferenceData!$AI$150),"")</f>
        <v/>
      </c>
      <c r="AJ150" t="str">
        <f ca="1">IFERROR(IF(0=LEN(ReferenceData!$AJ$150),"",ReferenceData!$AJ$150),"")</f>
        <v/>
      </c>
      <c r="AK150" t="str">
        <f ca="1">IFERROR(IF(0=LEN(ReferenceData!$AK$150),"",ReferenceData!$AK$150),"")</f>
        <v/>
      </c>
      <c r="AL150" t="str">
        <f ca="1">IFERROR(IF(0=LEN(ReferenceData!$AL$150),"",ReferenceData!$AL$150),"")</f>
        <v/>
      </c>
      <c r="AM150" t="str">
        <f ca="1">IFERROR(IF(0=LEN(ReferenceData!$AM$150),"",ReferenceData!$AM$150),"")</f>
        <v/>
      </c>
      <c r="AN150" t="str">
        <f ca="1">IFERROR(IF(0=LEN(ReferenceData!$AN$150),"",ReferenceData!$AN$150),"")</f>
        <v/>
      </c>
      <c r="AO150" t="str">
        <f ca="1">IFERROR(IF(0=LEN(ReferenceData!$AO$150),"",ReferenceData!$AO$150),"")</f>
        <v/>
      </c>
      <c r="AP150" t="str">
        <f ca="1">IFERROR(IF(0=LEN(ReferenceData!$AP$150),"",ReferenceData!$AP$150),"")</f>
        <v/>
      </c>
      <c r="AQ150" t="str">
        <f ca="1">IFERROR(IF(0=LEN(ReferenceData!$AQ$150),"",ReferenceData!$AQ$150),"")</f>
        <v/>
      </c>
      <c r="AR150" t="str">
        <f ca="1">IFERROR(IF(0=LEN(ReferenceData!$AR$150),"",ReferenceData!$AR$150),"")</f>
        <v/>
      </c>
      <c r="AS150" t="str">
        <f ca="1">IFERROR(IF(0=LEN(ReferenceData!$AS$150),"",ReferenceData!$AS$150),"")</f>
        <v/>
      </c>
      <c r="AT150" t="str">
        <f ca="1">IFERROR(IF(0=LEN(ReferenceData!$AT$150),"",ReferenceData!$AT$150),"")</f>
        <v/>
      </c>
      <c r="AU150" t="str">
        <f ca="1">IFERROR(IF(0=LEN(ReferenceData!$AU$150),"",ReferenceData!$AU$150),"")</f>
        <v/>
      </c>
      <c r="AV150" t="str">
        <f ca="1">IFERROR(IF(0=LEN(ReferenceData!$AV$150),"",ReferenceData!$AV$150),"")</f>
        <v/>
      </c>
      <c r="AW150" t="str">
        <f ca="1">IFERROR(IF(0=LEN(ReferenceData!$AW$150),"",ReferenceData!$AW$150),"")</f>
        <v/>
      </c>
      <c r="AX150" t="str">
        <f ca="1">IFERROR(IF(0=LEN(ReferenceData!$AX$150),"",ReferenceData!$AX$150),"")</f>
        <v/>
      </c>
      <c r="AY150" t="str">
        <f ca="1">IFERROR(IF(0=LEN(ReferenceData!$AY$150),"",ReferenceData!$AY$150),"")</f>
        <v/>
      </c>
      <c r="AZ150" t="str">
        <f ca="1">IFERROR(IF(0=LEN(ReferenceData!$AZ$150),"",ReferenceData!$AZ$150),"")</f>
        <v/>
      </c>
      <c r="BA150" t="str">
        <f ca="1">IFERROR(IF(0=LEN(ReferenceData!$BA$150),"",ReferenceData!$BA$150),"")</f>
        <v/>
      </c>
      <c r="BB150" t="str">
        <f ca="1">IFERROR(IF(0=LEN(ReferenceData!$BB$150),"",ReferenceData!$BB$150),"")</f>
        <v/>
      </c>
      <c r="BC150" t="str">
        <f ca="1">IFERROR(IF(0=LEN(ReferenceData!$BC$150),"",ReferenceData!$BC$150),"")</f>
        <v/>
      </c>
      <c r="BD150" t="str">
        <f ca="1">IFERROR(IF(0=LEN(ReferenceData!$BD$150),"",ReferenceData!$BD$150),"")</f>
        <v/>
      </c>
      <c r="BE150" t="str">
        <f ca="1">IFERROR(IF(0=LEN(ReferenceData!$BE$150),"",ReferenceData!$BE$150),"")</f>
        <v/>
      </c>
      <c r="BF150" t="str">
        <f ca="1">IFERROR(IF(0=LEN(ReferenceData!$BF$150),"",ReferenceData!$BF$150),"")</f>
        <v/>
      </c>
      <c r="BG150" t="str">
        <f ca="1">IFERROR(IF(0=LEN(ReferenceData!$BG$150),"",ReferenceData!$BG$150),"")</f>
        <v/>
      </c>
      <c r="BH150" t="str">
        <f ca="1">IFERROR(IF(0=LEN(ReferenceData!$BH$150),"",ReferenceData!$BH$150),"")</f>
        <v/>
      </c>
      <c r="BI150" t="str">
        <f ca="1">IFERROR(IF(0=LEN(ReferenceData!$BI$150),"",ReferenceData!$BI$150),"")</f>
        <v/>
      </c>
      <c r="BJ150" t="str">
        <f ca="1">IFERROR(IF(0=LEN(ReferenceData!$BJ$150),"",ReferenceData!$BJ$150),"")</f>
        <v/>
      </c>
      <c r="BK150" t="str">
        <f ca="1">IFERROR(IF(0=LEN(ReferenceData!$BK$150),"",ReferenceData!$BK$150),"")</f>
        <v/>
      </c>
      <c r="BL150" t="str">
        <f ca="1">IFERROR(IF(0=LEN(ReferenceData!$BL$150),"",ReferenceData!$BL$150),"")</f>
        <v/>
      </c>
      <c r="BM150" t="str">
        <f ca="1">IFERROR(IF(0=LEN(ReferenceData!$BM$150),"",ReferenceData!$BM$150),"")</f>
        <v/>
      </c>
    </row>
    <row r="151" spans="1:65">
      <c r="A151" t="str">
        <f>IFERROR(IF(0=LEN(ReferenceData!$A$151),"",ReferenceData!$A$151),"")</f>
        <v xml:space="preserve">    All Equity REITs</v>
      </c>
      <c r="B151" t="str">
        <f>IFERROR(IF(0=LEN(ReferenceData!$B$151),"",ReferenceData!$B$151),"")</f>
        <v>RECFAVEQ Index</v>
      </c>
      <c r="C151" t="str">
        <f>IFERROR(IF(0=LEN(ReferenceData!$C$151),"",ReferenceData!$C$151),"")</f>
        <v>PR005</v>
      </c>
      <c r="D151" t="str">
        <f>IFERROR(IF(0=LEN(ReferenceData!$D$151),"",ReferenceData!$D$151),"")</f>
        <v>PX_LAST</v>
      </c>
      <c r="E151" t="str">
        <f>IFERROR(IF(0=LEN(ReferenceData!$E$151),"",ReferenceData!$E$151),"")</f>
        <v>动态</v>
      </c>
      <c r="F151">
        <f ca="1">IFERROR(IF(0=LEN(ReferenceData!$F$151),"",ReferenceData!$F$151),"")</f>
        <v>93.839020770000005</v>
      </c>
      <c r="G151">
        <f ca="1">IFERROR(IF(0=LEN(ReferenceData!$G$151),"",ReferenceData!$G$151),"")</f>
        <v>93.637235189999998</v>
      </c>
      <c r="H151">
        <f ca="1">IFERROR(IF(0=LEN(ReferenceData!$H$151),"",ReferenceData!$H$151),"")</f>
        <v>93.449819320000003</v>
      </c>
      <c r="I151">
        <f ca="1">IFERROR(IF(0=LEN(ReferenceData!$I$151),"",ReferenceData!$I$151),"")</f>
        <v>93.353949779999994</v>
      </c>
      <c r="J151">
        <f ca="1">IFERROR(IF(0=LEN(ReferenceData!$J$151),"",ReferenceData!$J$151),"")</f>
        <v>93.653485320000001</v>
      </c>
      <c r="K151">
        <f ca="1">IFERROR(IF(0=LEN(ReferenceData!$K$151),"",ReferenceData!$K$151),"")</f>
        <v>93.696951749999997</v>
      </c>
      <c r="L151">
        <f ca="1">IFERROR(IF(0=LEN(ReferenceData!$L$151),"",ReferenceData!$L$151),"")</f>
        <v>93.63070519</v>
      </c>
      <c r="M151">
        <f ca="1">IFERROR(IF(0=LEN(ReferenceData!$M$151),"",ReferenceData!$M$151),"")</f>
        <v>93.139382370000007</v>
      </c>
      <c r="N151">
        <f ca="1">IFERROR(IF(0=LEN(ReferenceData!$N$151),"",ReferenceData!$N$151),"")</f>
        <v>93.329412840000003</v>
      </c>
      <c r="O151">
        <f ca="1">IFERROR(IF(0=LEN(ReferenceData!$O$151),"",ReferenceData!$O$151),"")</f>
        <v>93.245833259999998</v>
      </c>
      <c r="P151">
        <f ca="1">IFERROR(IF(0=LEN(ReferenceData!$P$151),"",ReferenceData!$P$151),"")</f>
        <v>93.360787209999998</v>
      </c>
      <c r="Q151">
        <f ca="1">IFERROR(IF(0=LEN(ReferenceData!$Q$151),"",ReferenceData!$Q$151),"")</f>
        <v>92.8576221</v>
      </c>
      <c r="R151">
        <f ca="1">IFERROR(IF(0=LEN(ReferenceData!$R$151),"",ReferenceData!$R$151),"")</f>
        <v>93.177335240000005</v>
      </c>
      <c r="S151">
        <f ca="1">IFERROR(IF(0=LEN(ReferenceData!$S$151),"",ReferenceData!$S$151),"")</f>
        <v>93.380552420000001</v>
      </c>
      <c r="T151">
        <f ca="1">IFERROR(IF(0=LEN(ReferenceData!$T$151),"",ReferenceData!$T$151),"")</f>
        <v>93.240657220000003</v>
      </c>
      <c r="U151">
        <f ca="1">IFERROR(IF(0=LEN(ReferenceData!$U$151),"",ReferenceData!$U$151),"")</f>
        <v>92.625064800000004</v>
      </c>
      <c r="V151">
        <f ca="1">IFERROR(IF(0=LEN(ReferenceData!$V$151),"",ReferenceData!$V$151),"")</f>
        <v>92.783665959999993</v>
      </c>
      <c r="W151">
        <f ca="1">IFERROR(IF(0=LEN(ReferenceData!$W$151),"",ReferenceData!$W$151),"")</f>
        <v>92.250777420000006</v>
      </c>
      <c r="X151">
        <f ca="1">IFERROR(IF(0=LEN(ReferenceData!$X$151),"",ReferenceData!$X$151),"")</f>
        <v>92.180305189999999</v>
      </c>
      <c r="Y151">
        <f ca="1">IFERROR(IF(0=LEN(ReferenceData!$Y$151),"",ReferenceData!$Y$151),"")</f>
        <v>91.02063905</v>
      </c>
      <c r="Z151">
        <f ca="1">IFERROR(IF(0=LEN(ReferenceData!$Z$151),"",ReferenceData!$Z$151),"")</f>
        <v>91.348231299999995</v>
      </c>
      <c r="AA151">
        <f ca="1">IFERROR(IF(0=LEN(ReferenceData!$AA$151),"",ReferenceData!$AA$151),"")</f>
        <v>91.337649970000001</v>
      </c>
      <c r="AB151">
        <f ca="1">IFERROR(IF(0=LEN(ReferenceData!$AB$151),"",ReferenceData!$AB$151),"")</f>
        <v>90.739060199999997</v>
      </c>
      <c r="AC151">
        <f ca="1">IFERROR(IF(0=LEN(ReferenceData!$AC$151),"",ReferenceData!$AC$151),"")</f>
        <v>89.750134549999999</v>
      </c>
      <c r="AD151">
        <f ca="1">IFERROR(IF(0=LEN(ReferenceData!$AD$151),"",ReferenceData!$AD$151),"")</f>
        <v>89.843771989999993</v>
      </c>
      <c r="AE151">
        <f ca="1">IFERROR(IF(0=LEN(ReferenceData!$AE$151),"",ReferenceData!$AE$151),"")</f>
        <v>90.054104730000006</v>
      </c>
      <c r="AF151">
        <f ca="1">IFERROR(IF(0=LEN(ReferenceData!$AF$151),"",ReferenceData!$AF$151),"")</f>
        <v>89.696012280000005</v>
      </c>
      <c r="AG151">
        <f ca="1">IFERROR(IF(0=LEN(ReferenceData!$AG$151),"",ReferenceData!$AG$151),"")</f>
        <v>88.258734680000003</v>
      </c>
      <c r="AH151">
        <f ca="1">IFERROR(IF(0=LEN(ReferenceData!$AH$151),"",ReferenceData!$AH$151),"")</f>
        <v>88.890333889999994</v>
      </c>
      <c r="AI151">
        <f ca="1">IFERROR(IF(0=LEN(ReferenceData!$AI$151),"",ReferenceData!$AI$151),"")</f>
        <v>89.161922439999998</v>
      </c>
      <c r="AJ151">
        <f ca="1">IFERROR(IF(0=LEN(ReferenceData!$AJ$151),"",ReferenceData!$AJ$151),"")</f>
        <v>88.787733200000005</v>
      </c>
      <c r="AK151">
        <f ca="1">IFERROR(IF(0=LEN(ReferenceData!$AK$151),"",ReferenceData!$AK$151),"")</f>
        <v>87.626351389999996</v>
      </c>
      <c r="AL151">
        <f ca="1">IFERROR(IF(0=LEN(ReferenceData!$AL$151),"",ReferenceData!$AL$151),"")</f>
        <v>88.031203489999996</v>
      </c>
      <c r="AM151">
        <f ca="1">IFERROR(IF(0=LEN(ReferenceData!$AM$151),"",ReferenceData!$AM$151),"")</f>
        <v>88.125705539999998</v>
      </c>
      <c r="AN151">
        <f ca="1">IFERROR(IF(0=LEN(ReferenceData!$AN$151),"",ReferenceData!$AN$151),"")</f>
        <v>89.063488669999998</v>
      </c>
      <c r="AO151">
        <f ca="1">IFERROR(IF(0=LEN(ReferenceData!$AO$151),"",ReferenceData!$AO$151),"")</f>
        <v>88.574935359999998</v>
      </c>
      <c r="AP151">
        <f ca="1">IFERROR(IF(0=LEN(ReferenceData!$AP$151),"",ReferenceData!$AP$151),"")</f>
        <v>90.559564519999995</v>
      </c>
      <c r="AQ151">
        <f ca="1">IFERROR(IF(0=LEN(ReferenceData!$AQ$151),"",ReferenceData!$AQ$151),"")</f>
        <v>91.416099990000006</v>
      </c>
      <c r="AR151">
        <f ca="1">IFERROR(IF(0=LEN(ReferenceData!$AR$151),"",ReferenceData!$AR$151),"")</f>
        <v>91.273224130000003</v>
      </c>
      <c r="AS151">
        <f ca="1">IFERROR(IF(0=LEN(ReferenceData!$AS$151),"",ReferenceData!$AS$151),"")</f>
        <v>90.567886849999994</v>
      </c>
      <c r="AT151">
        <f ca="1">IFERROR(IF(0=LEN(ReferenceData!$AT$151),"",ReferenceData!$AT$151),"")</f>
        <v>91.561562120000005</v>
      </c>
      <c r="AU151">
        <f ca="1">IFERROR(IF(0=LEN(ReferenceData!$AU$151),"",ReferenceData!$AU$151),"")</f>
        <v>91.73445778</v>
      </c>
      <c r="AV151">
        <f ca="1">IFERROR(IF(0=LEN(ReferenceData!$AV$151),"",ReferenceData!$AV$151),"")</f>
        <v>91.620791269999998</v>
      </c>
      <c r="AW151">
        <f ca="1">IFERROR(IF(0=LEN(ReferenceData!$AW$151),"",ReferenceData!$AW$151),"")</f>
        <v>91.196881750000003</v>
      </c>
      <c r="AX151">
        <f ca="1">IFERROR(IF(0=LEN(ReferenceData!$AX$151),"",ReferenceData!$AX$151),"")</f>
        <v>91.321421270000002</v>
      </c>
      <c r="AY151">
        <f ca="1">IFERROR(IF(0=LEN(ReferenceData!$AY$151),"",ReferenceData!$AY$151),"")</f>
        <v>91.398166279999998</v>
      </c>
      <c r="AZ151">
        <f ca="1">IFERROR(IF(0=LEN(ReferenceData!$AZ$151),"",ReferenceData!$AZ$151),"")</f>
        <v>90.470097429999996</v>
      </c>
      <c r="BA151">
        <f ca="1">IFERROR(IF(0=LEN(ReferenceData!$BA$151),"",ReferenceData!$BA$151),"")</f>
        <v>90.219640679999998</v>
      </c>
      <c r="BB151">
        <f ca="1">IFERROR(IF(0=LEN(ReferenceData!$BB$151),"",ReferenceData!$BB$151),"")</f>
        <v>90.202611669999996</v>
      </c>
      <c r="BC151">
        <f ca="1">IFERROR(IF(0=LEN(ReferenceData!$BC$151),"",ReferenceData!$BC$151),"")</f>
        <v>90.755925099999999</v>
      </c>
      <c r="BD151">
        <f ca="1">IFERROR(IF(0=LEN(ReferenceData!$BD$151),"",ReferenceData!$BD$151),"")</f>
        <v>90.337967599999999</v>
      </c>
      <c r="BE151">
        <f ca="1">IFERROR(IF(0=LEN(ReferenceData!$BE$151),"",ReferenceData!$BE$151),"")</f>
        <v>89.456845310000006</v>
      </c>
      <c r="BF151">
        <f ca="1">IFERROR(IF(0=LEN(ReferenceData!$BF$151),"",ReferenceData!$BF$151),"")</f>
        <v>90.328292329999996</v>
      </c>
      <c r="BG151">
        <f ca="1">IFERROR(IF(0=LEN(ReferenceData!$BG$151),"",ReferenceData!$BG$151),"")</f>
        <v>90.115803209999996</v>
      </c>
      <c r="BH151">
        <f ca="1">IFERROR(IF(0=LEN(ReferenceData!$BH$151),"",ReferenceData!$BH$151),"")</f>
        <v>89.957359800000006</v>
      </c>
      <c r="BI151">
        <f ca="1">IFERROR(IF(0=LEN(ReferenceData!$BI$151),"",ReferenceData!$BI$151),"")</f>
        <v>89.370341159999995</v>
      </c>
      <c r="BJ151">
        <f ca="1">IFERROR(IF(0=LEN(ReferenceData!$BJ$151),"",ReferenceData!$BJ$151),"")</f>
        <v>89.112787589999996</v>
      </c>
      <c r="BK151">
        <f ca="1">IFERROR(IF(0=LEN(ReferenceData!$BK$151),"",ReferenceData!$BK$151),"")</f>
        <v>89.30599599</v>
      </c>
      <c r="BL151">
        <f ca="1">IFERROR(IF(0=LEN(ReferenceData!$BL$151),"",ReferenceData!$BL$151),"")</f>
        <v>88.86156665</v>
      </c>
      <c r="BM151">
        <f ca="1">IFERROR(IF(0=LEN(ReferenceData!$BM$151),"",ReferenceData!$BM$151),"")</f>
        <v>88.252004790000001</v>
      </c>
    </row>
    <row r="152" spans="1:65">
      <c r="A152" t="str">
        <f>IFERROR(IF(0=LEN(ReferenceData!$A$152),"",ReferenceData!$A$152),"")</f>
        <v xml:space="preserve">    Apartment REITs</v>
      </c>
      <c r="B152" t="str">
        <f>IFERROR(IF(0=LEN(ReferenceData!$B$152),"",ReferenceData!$B$152),"")</f>
        <v>RECFAVAP Index</v>
      </c>
      <c r="C152" t="str">
        <f>IFERROR(IF(0=LEN(ReferenceData!$C$152),"",ReferenceData!$C$152),"")</f>
        <v>PR005</v>
      </c>
      <c r="D152" t="str">
        <f>IFERROR(IF(0=LEN(ReferenceData!$D$152),"",ReferenceData!$D$152),"")</f>
        <v>PX_LAST</v>
      </c>
      <c r="E152" t="str">
        <f>IFERROR(IF(0=LEN(ReferenceData!$E$152),"",ReferenceData!$E$152),"")</f>
        <v>动态</v>
      </c>
      <c r="F152">
        <f ca="1">IFERROR(IF(0=LEN(ReferenceData!$F$152),"",ReferenceData!$F$152),"")</f>
        <v>95.695894269999997</v>
      </c>
      <c r="G152">
        <f ca="1">IFERROR(IF(0=LEN(ReferenceData!$G$152),"",ReferenceData!$G$152),"")</f>
        <v>94.038482939999994</v>
      </c>
      <c r="H152">
        <f ca="1">IFERROR(IF(0=LEN(ReferenceData!$H$152),"",ReferenceData!$H$152),"")</f>
        <v>94.014835349999998</v>
      </c>
      <c r="I152">
        <f ca="1">IFERROR(IF(0=LEN(ReferenceData!$I$152),"",ReferenceData!$I$152),"")</f>
        <v>95.114441679999999</v>
      </c>
      <c r="J152">
        <f ca="1">IFERROR(IF(0=LEN(ReferenceData!$J$152),"",ReferenceData!$J$152),"")</f>
        <v>95.100766030000003</v>
      </c>
      <c r="K152">
        <f ca="1">IFERROR(IF(0=LEN(ReferenceData!$K$152),"",ReferenceData!$K$152),"")</f>
        <v>94.508641760000003</v>
      </c>
      <c r="L152">
        <f ca="1">IFERROR(IF(0=LEN(ReferenceData!$L$152),"",ReferenceData!$L$152),"")</f>
        <v>94.219786130000003</v>
      </c>
      <c r="M152">
        <f ca="1">IFERROR(IF(0=LEN(ReferenceData!$M$152),"",ReferenceData!$M$152),"")</f>
        <v>95.170143170000003</v>
      </c>
      <c r="N152">
        <f ca="1">IFERROR(IF(0=LEN(ReferenceData!$N$152),"",ReferenceData!$N$152),"")</f>
        <v>95.180003069999998</v>
      </c>
      <c r="O152">
        <f ca="1">IFERROR(IF(0=LEN(ReferenceData!$O$152),"",ReferenceData!$O$152),"")</f>
        <v>94.086792299999999</v>
      </c>
      <c r="P152">
        <f ca="1">IFERROR(IF(0=LEN(ReferenceData!$P$152),"",ReferenceData!$P$152),"")</f>
        <v>94.461427779999994</v>
      </c>
      <c r="Q152">
        <f ca="1">IFERROR(IF(0=LEN(ReferenceData!$Q$152),"",ReferenceData!$Q$152),"")</f>
        <v>95.404404119999995</v>
      </c>
      <c r="R152">
        <f ca="1">IFERROR(IF(0=LEN(ReferenceData!$R$152),"",ReferenceData!$R$152),"")</f>
        <v>95.173413999999994</v>
      </c>
      <c r="S152">
        <f ca="1">IFERROR(IF(0=LEN(ReferenceData!$S$152),"",ReferenceData!$S$152),"")</f>
        <v>94.899925890000006</v>
      </c>
      <c r="T152">
        <f ca="1">IFERROR(IF(0=LEN(ReferenceData!$T$152),"",ReferenceData!$T$152),"")</f>
        <v>94.545527089999993</v>
      </c>
      <c r="U152">
        <f ca="1">IFERROR(IF(0=LEN(ReferenceData!$U$152),"",ReferenceData!$U$152),"")</f>
        <v>94.928373579999999</v>
      </c>
      <c r="V152">
        <f ca="1">IFERROR(IF(0=LEN(ReferenceData!$V$152),"",ReferenceData!$V$152),"")</f>
        <v>94.644578999999993</v>
      </c>
      <c r="W152">
        <f ca="1">IFERROR(IF(0=LEN(ReferenceData!$W$152),"",ReferenceData!$W$152),"")</f>
        <v>94.430190670000002</v>
      </c>
      <c r="X152">
        <f ca="1">IFERROR(IF(0=LEN(ReferenceData!$X$152),"",ReferenceData!$X$152),"")</f>
        <v>94.342628199999993</v>
      </c>
      <c r="Y152">
        <f ca="1">IFERROR(IF(0=LEN(ReferenceData!$Y$152),"",ReferenceData!$Y$152),"")</f>
        <v>95.037719319999994</v>
      </c>
      <c r="Z152">
        <f ca="1">IFERROR(IF(0=LEN(ReferenceData!$Z$152),"",ReferenceData!$Z$152),"")</f>
        <v>94.701269269999997</v>
      </c>
      <c r="AA152">
        <f ca="1">IFERROR(IF(0=LEN(ReferenceData!$AA$152),"",ReferenceData!$AA$152),"")</f>
        <v>94.857585709999995</v>
      </c>
      <c r="AB152">
        <f ca="1">IFERROR(IF(0=LEN(ReferenceData!$AB$152),"",ReferenceData!$AB$152),"")</f>
        <v>94.797411089999997</v>
      </c>
      <c r="AC152">
        <f ca="1">IFERROR(IF(0=LEN(ReferenceData!$AC$152),"",ReferenceData!$AC$152),"")</f>
        <v>94.93660989</v>
      </c>
      <c r="AD152">
        <f ca="1">IFERROR(IF(0=LEN(ReferenceData!$AD$152),"",ReferenceData!$AD$152),"")</f>
        <v>94.594109419999995</v>
      </c>
      <c r="AE152">
        <f ca="1">IFERROR(IF(0=LEN(ReferenceData!$AE$152),"",ReferenceData!$AE$152),"")</f>
        <v>94.874988970000004</v>
      </c>
      <c r="AF152">
        <f ca="1">IFERROR(IF(0=LEN(ReferenceData!$AF$152),"",ReferenceData!$AF$152),"")</f>
        <v>94.864143609999999</v>
      </c>
      <c r="AG152">
        <f ca="1">IFERROR(IF(0=LEN(ReferenceData!$AG$152),"",ReferenceData!$AG$152),"")</f>
        <v>94.990902750000004</v>
      </c>
      <c r="AH152">
        <f ca="1">IFERROR(IF(0=LEN(ReferenceData!$AH$152),"",ReferenceData!$AH$152),"")</f>
        <v>94.374151830000002</v>
      </c>
      <c r="AI152">
        <f ca="1">IFERROR(IF(0=LEN(ReferenceData!$AI$152),"",ReferenceData!$AI$152),"")</f>
        <v>94.581091869999995</v>
      </c>
      <c r="AJ152">
        <f ca="1">IFERROR(IF(0=LEN(ReferenceData!$AJ$152),"",ReferenceData!$AJ$152),"")</f>
        <v>94.302038339999996</v>
      </c>
      <c r="AK152">
        <f ca="1">IFERROR(IF(0=LEN(ReferenceData!$AK$152),"",ReferenceData!$AK$152),"")</f>
        <v>94.410003979999999</v>
      </c>
      <c r="AL152">
        <f ca="1">IFERROR(IF(0=LEN(ReferenceData!$AL$152),"",ReferenceData!$AL$152),"")</f>
        <v>94.166688859999994</v>
      </c>
      <c r="AM152">
        <f ca="1">IFERROR(IF(0=LEN(ReferenceData!$AM$152),"",ReferenceData!$AM$152),"")</f>
        <v>93.828456369999998</v>
      </c>
      <c r="AN152">
        <f ca="1">IFERROR(IF(0=LEN(ReferenceData!$AN$152),"",ReferenceData!$AN$152),"")</f>
        <v>93.261447750000002</v>
      </c>
      <c r="AO152">
        <f ca="1">IFERROR(IF(0=LEN(ReferenceData!$AO$152),"",ReferenceData!$AO$152),"")</f>
        <v>93.313847920000001</v>
      </c>
      <c r="AP152">
        <f ca="1">IFERROR(IF(0=LEN(ReferenceData!$AP$152),"",ReferenceData!$AP$152),"")</f>
        <v>93.398596810000001</v>
      </c>
      <c r="AQ152">
        <f ca="1">IFERROR(IF(0=LEN(ReferenceData!$AQ$152),"",ReferenceData!$AQ$152),"")</f>
        <v>94.720909879999994</v>
      </c>
      <c r="AR152">
        <f ca="1">IFERROR(IF(0=LEN(ReferenceData!$AR$152),"",ReferenceData!$AR$152),"")</f>
        <v>92.374716500000005</v>
      </c>
      <c r="AS152">
        <f ca="1">IFERROR(IF(0=LEN(ReferenceData!$AS$152),"",ReferenceData!$AS$152),"")</f>
        <v>93.462990520000005</v>
      </c>
      <c r="AT152">
        <f ca="1">IFERROR(IF(0=LEN(ReferenceData!$AT$152),"",ReferenceData!$AT$152),"")</f>
        <v>93.176707789999995</v>
      </c>
      <c r="AU152">
        <f ca="1">IFERROR(IF(0=LEN(ReferenceData!$AU$152),"",ReferenceData!$AU$152),"")</f>
        <v>93.896769950000007</v>
      </c>
      <c r="AV152">
        <f ca="1">IFERROR(IF(0=LEN(ReferenceData!$AV$152),"",ReferenceData!$AV$152),"")</f>
        <v>93.263467500000004</v>
      </c>
      <c r="AW152">
        <f ca="1">IFERROR(IF(0=LEN(ReferenceData!$AW$152),"",ReferenceData!$AW$152),"")</f>
        <v>93.519480470000005</v>
      </c>
      <c r="AX152">
        <f ca="1">IFERROR(IF(0=LEN(ReferenceData!$AX$152),"",ReferenceData!$AX$152),"")</f>
        <v>93.688273980000005</v>
      </c>
      <c r="AY152">
        <f ca="1">IFERROR(IF(0=LEN(ReferenceData!$AY$152),"",ReferenceData!$AY$152),"")</f>
        <v>94.268315139999999</v>
      </c>
      <c r="AZ152">
        <f ca="1">IFERROR(IF(0=LEN(ReferenceData!$AZ$152),"",ReferenceData!$AZ$152),"")</f>
        <v>94.136888870000007</v>
      </c>
      <c r="BA152">
        <f ca="1">IFERROR(IF(0=LEN(ReferenceData!$BA$152),"",ReferenceData!$BA$152),"")</f>
        <v>94.966185769999996</v>
      </c>
      <c r="BB152">
        <f ca="1">IFERROR(IF(0=LEN(ReferenceData!$BB$152),"",ReferenceData!$BB$152),"")</f>
        <v>94.229379510000001</v>
      </c>
      <c r="BC152">
        <f ca="1">IFERROR(IF(0=LEN(ReferenceData!$BC$152),"",ReferenceData!$BC$152),"")</f>
        <v>94.967780529999999</v>
      </c>
      <c r="BD152">
        <f ca="1">IFERROR(IF(0=LEN(ReferenceData!$BD$152),"",ReferenceData!$BD$152),"")</f>
        <v>94.128579419999994</v>
      </c>
      <c r="BE152">
        <f ca="1">IFERROR(IF(0=LEN(ReferenceData!$BE$152),"",ReferenceData!$BE$152),"")</f>
        <v>93.844436650000006</v>
      </c>
      <c r="BF152">
        <f ca="1">IFERROR(IF(0=LEN(ReferenceData!$BF$152),"",ReferenceData!$BF$152),"")</f>
        <v>93.546542509999995</v>
      </c>
      <c r="BG152">
        <f ca="1">IFERROR(IF(0=LEN(ReferenceData!$BG$152),"",ReferenceData!$BG$152),"")</f>
        <v>94.359349469999998</v>
      </c>
      <c r="BH152">
        <f ca="1">IFERROR(IF(0=LEN(ReferenceData!$BH$152),"",ReferenceData!$BH$152),"")</f>
        <v>94.101068920000003</v>
      </c>
      <c r="BI152">
        <f ca="1">IFERROR(IF(0=LEN(ReferenceData!$BI$152),"",ReferenceData!$BI$152),"")</f>
        <v>93.844498759999993</v>
      </c>
      <c r="BJ152">
        <f ca="1">IFERROR(IF(0=LEN(ReferenceData!$BJ$152),"",ReferenceData!$BJ$152),"")</f>
        <v>92.885629800000004</v>
      </c>
      <c r="BK152">
        <f ca="1">IFERROR(IF(0=LEN(ReferenceData!$BK$152),"",ReferenceData!$BK$152),"")</f>
        <v>93.067995909999993</v>
      </c>
      <c r="BL152">
        <f ca="1">IFERROR(IF(0=LEN(ReferenceData!$BL$152),"",ReferenceData!$BL$152),"")</f>
        <v>93.003353219999994</v>
      </c>
      <c r="BM152">
        <f ca="1">IFERROR(IF(0=LEN(ReferenceData!$BM$152),"",ReferenceData!$BM$152),"")</f>
        <v>91.500287310000004</v>
      </c>
    </row>
    <row r="153" spans="1:65">
      <c r="A153" t="str">
        <f>IFERROR(IF(0=LEN(ReferenceData!$A$153),"",ReferenceData!$A$153),"")</f>
        <v xml:space="preserve">    Retail REITs</v>
      </c>
      <c r="B153" t="str">
        <f>IFERROR(IF(0=LEN(ReferenceData!$B$153),"",ReferenceData!$B$153),"")</f>
        <v>RECFAVRT Index</v>
      </c>
      <c r="C153" t="str">
        <f>IFERROR(IF(0=LEN(ReferenceData!$C$153),"",ReferenceData!$C$153),"")</f>
        <v>PR005</v>
      </c>
      <c r="D153" t="str">
        <f>IFERROR(IF(0=LEN(ReferenceData!$D$153),"",ReferenceData!$D$153),"")</f>
        <v>PX_LAST</v>
      </c>
      <c r="E153" t="str">
        <f>IFERROR(IF(0=LEN(ReferenceData!$E$153),"",ReferenceData!$E$153),"")</f>
        <v>动态</v>
      </c>
      <c r="F153">
        <f ca="1">IFERROR(IF(0=LEN(ReferenceData!$F$153),"",ReferenceData!$F$153),"")</f>
        <v>95.821447309999996</v>
      </c>
      <c r="G153">
        <f ca="1">IFERROR(IF(0=LEN(ReferenceData!$G$153),"",ReferenceData!$G$153),"")</f>
        <v>95.426039799999998</v>
      </c>
      <c r="H153">
        <f ca="1">IFERROR(IF(0=LEN(ReferenceData!$H$153),"",ReferenceData!$H$153),"")</f>
        <v>95.178818579999998</v>
      </c>
      <c r="I153">
        <f ca="1">IFERROR(IF(0=LEN(ReferenceData!$I$153),"",ReferenceData!$I$153),"")</f>
        <v>95.383843519999999</v>
      </c>
      <c r="J153">
        <f ca="1">IFERROR(IF(0=LEN(ReferenceData!$J$153),"",ReferenceData!$J$153),"")</f>
        <v>96.122713160000004</v>
      </c>
      <c r="K153">
        <f ca="1">IFERROR(IF(0=LEN(ReferenceData!$K$153),"",ReferenceData!$K$153),"")</f>
        <v>95.874294340000006</v>
      </c>
      <c r="L153">
        <f ca="1">IFERROR(IF(0=LEN(ReferenceData!$L$153),"",ReferenceData!$L$153),"")</f>
        <v>95.814612740000001</v>
      </c>
      <c r="M153">
        <f ca="1">IFERROR(IF(0=LEN(ReferenceData!$M$153),"",ReferenceData!$M$153),"")</f>
        <v>95.667681810000005</v>
      </c>
      <c r="N153">
        <f ca="1">IFERROR(IF(0=LEN(ReferenceData!$N$153),"",ReferenceData!$N$153),"")</f>
        <v>95.965453440000005</v>
      </c>
      <c r="O153">
        <f ca="1">IFERROR(IF(0=LEN(ReferenceData!$O$153),"",ReferenceData!$O$153),"")</f>
        <v>95.735079279999994</v>
      </c>
      <c r="P153">
        <f ca="1">IFERROR(IF(0=LEN(ReferenceData!$P$153),"",ReferenceData!$P$153),"")</f>
        <v>95.301366060000007</v>
      </c>
      <c r="Q153">
        <f ca="1">IFERROR(IF(0=LEN(ReferenceData!$Q$153),"",ReferenceData!$Q$153),"")</f>
        <v>95.526291689999994</v>
      </c>
      <c r="R153">
        <f ca="1">IFERROR(IF(0=LEN(ReferenceData!$R$153),"",ReferenceData!$R$153),"")</f>
        <v>96.339548519999994</v>
      </c>
      <c r="S153">
        <f ca="1">IFERROR(IF(0=LEN(ReferenceData!$S$153),"",ReferenceData!$S$153),"")</f>
        <v>95.903189260000005</v>
      </c>
      <c r="T153">
        <f ca="1">IFERROR(IF(0=LEN(ReferenceData!$T$153),"",ReferenceData!$T$153),"")</f>
        <v>95.66214076</v>
      </c>
      <c r="U153">
        <f ca="1">IFERROR(IF(0=LEN(ReferenceData!$U$153),"",ReferenceData!$U$153),"")</f>
        <v>95.54289378</v>
      </c>
      <c r="V153">
        <f ca="1">IFERROR(IF(0=LEN(ReferenceData!$V$153),"",ReferenceData!$V$153),"")</f>
        <v>95.556497329999999</v>
      </c>
      <c r="W153">
        <f ca="1">IFERROR(IF(0=LEN(ReferenceData!$W$153),"",ReferenceData!$W$153),"")</f>
        <v>95.663597929999995</v>
      </c>
      <c r="X153">
        <f ca="1">IFERROR(IF(0=LEN(ReferenceData!$X$153),"",ReferenceData!$X$153),"")</f>
        <v>95.234216750000002</v>
      </c>
      <c r="Y153">
        <f ca="1">IFERROR(IF(0=LEN(ReferenceData!$Y$153),"",ReferenceData!$Y$153),"")</f>
        <v>94.506528360000004</v>
      </c>
      <c r="Z153">
        <f ca="1">IFERROR(IF(0=LEN(ReferenceData!$Z$153),"",ReferenceData!$Z$153),"")</f>
        <v>94.772415780000003</v>
      </c>
      <c r="AA153">
        <f ca="1">IFERROR(IF(0=LEN(ReferenceData!$AA$153),"",ReferenceData!$AA$153),"")</f>
        <v>94.302747120000006</v>
      </c>
      <c r="AB153">
        <f ca="1">IFERROR(IF(0=LEN(ReferenceData!$AB$153),"",ReferenceData!$AB$153),"")</f>
        <v>93.305031049999997</v>
      </c>
      <c r="AC153">
        <f ca="1">IFERROR(IF(0=LEN(ReferenceData!$AC$153),"",ReferenceData!$AC$153),"")</f>
        <v>92.962049199999996</v>
      </c>
      <c r="AD153">
        <f ca="1">IFERROR(IF(0=LEN(ReferenceData!$AD$153),"",ReferenceData!$AD$153),"")</f>
        <v>93.664397070000007</v>
      </c>
      <c r="AE153">
        <f ca="1">IFERROR(IF(0=LEN(ReferenceData!$AE$153),"",ReferenceData!$AE$153),"")</f>
        <v>92.572086290000001</v>
      </c>
      <c r="AF153">
        <f ca="1">IFERROR(IF(0=LEN(ReferenceData!$AF$153),"",ReferenceData!$AF$153),"")</f>
        <v>92.227880929999998</v>
      </c>
      <c r="AG153">
        <f ca="1">IFERROR(IF(0=LEN(ReferenceData!$AG$153),"",ReferenceData!$AG$153),"")</f>
        <v>92.189961940000003</v>
      </c>
      <c r="AH153">
        <f ca="1">IFERROR(IF(0=LEN(ReferenceData!$AH$153),"",ReferenceData!$AH$153),"")</f>
        <v>92.831580410000001</v>
      </c>
      <c r="AI153">
        <f ca="1">IFERROR(IF(0=LEN(ReferenceData!$AI$153),"",ReferenceData!$AI$153),"")</f>
        <v>92.265501099999994</v>
      </c>
      <c r="AJ153">
        <f ca="1">IFERROR(IF(0=LEN(ReferenceData!$AJ$153),"",ReferenceData!$AJ$153),"")</f>
        <v>91.650697219999998</v>
      </c>
      <c r="AK153">
        <f ca="1">IFERROR(IF(0=LEN(ReferenceData!$AK$153),"",ReferenceData!$AK$153),"")</f>
        <v>91.460100359999998</v>
      </c>
      <c r="AL153">
        <f ca="1">IFERROR(IF(0=LEN(ReferenceData!$AL$153),"",ReferenceData!$AL$153),"")</f>
        <v>91.817056350000001</v>
      </c>
      <c r="AM153">
        <f ca="1">IFERROR(IF(0=LEN(ReferenceData!$AM$153),"",ReferenceData!$AM$153),"")</f>
        <v>91.595716429999996</v>
      </c>
      <c r="AN153">
        <f ca="1">IFERROR(IF(0=LEN(ReferenceData!$AN$153),"",ReferenceData!$AN$153),"")</f>
        <v>91.293292579999999</v>
      </c>
      <c r="AO153">
        <f ca="1">IFERROR(IF(0=LEN(ReferenceData!$AO$153),"",ReferenceData!$AO$153),"")</f>
        <v>91.414189870000001</v>
      </c>
      <c r="AP153">
        <f ca="1">IFERROR(IF(0=LEN(ReferenceData!$AP$153),"",ReferenceData!$AP$153),"")</f>
        <v>92.99626524</v>
      </c>
      <c r="AQ153">
        <f ca="1">IFERROR(IF(0=LEN(ReferenceData!$AQ$153),"",ReferenceData!$AQ$153),"")</f>
        <v>93.328640980000003</v>
      </c>
      <c r="AR153">
        <f ca="1">IFERROR(IF(0=LEN(ReferenceData!$AR$153),"",ReferenceData!$AR$153),"")</f>
        <v>93.553881649999994</v>
      </c>
      <c r="AS153">
        <f ca="1">IFERROR(IF(0=LEN(ReferenceData!$AS$153),"",ReferenceData!$AS$153),"")</f>
        <v>93.440123319999998</v>
      </c>
      <c r="AT153">
        <f ca="1">IFERROR(IF(0=LEN(ReferenceData!$AT$153),"",ReferenceData!$AT$153),"")</f>
        <v>94.609185190000005</v>
      </c>
      <c r="AU153">
        <f ca="1">IFERROR(IF(0=LEN(ReferenceData!$AU$153),"",ReferenceData!$AU$153),"")</f>
        <v>94.0372792</v>
      </c>
      <c r="AV153">
        <f ca="1">IFERROR(IF(0=LEN(ReferenceData!$AV$153),"",ReferenceData!$AV$153),"")</f>
        <v>93.999389230000006</v>
      </c>
      <c r="AW153">
        <f ca="1">IFERROR(IF(0=LEN(ReferenceData!$AW$153),"",ReferenceData!$AW$153),"")</f>
        <v>93.855647219999994</v>
      </c>
      <c r="AX153">
        <f ca="1">IFERROR(IF(0=LEN(ReferenceData!$AX$153),"",ReferenceData!$AX$153),"")</f>
        <v>94.555984449999997</v>
      </c>
      <c r="AY153">
        <f ca="1">IFERROR(IF(0=LEN(ReferenceData!$AY$153),"",ReferenceData!$AY$153),"")</f>
        <v>93.657158240000001</v>
      </c>
      <c r="AZ153">
        <f ca="1">IFERROR(IF(0=LEN(ReferenceData!$AZ$153),"",ReferenceData!$AZ$153),"")</f>
        <v>93.000856959999993</v>
      </c>
      <c r="BA153">
        <f ca="1">IFERROR(IF(0=LEN(ReferenceData!$BA$153),"",ReferenceData!$BA$153),"")</f>
        <v>93.055642090000006</v>
      </c>
      <c r="BB153">
        <f ca="1">IFERROR(IF(0=LEN(ReferenceData!$BB$153),"",ReferenceData!$BB$153),"")</f>
        <v>94.495120099999994</v>
      </c>
      <c r="BC153">
        <f ca="1">IFERROR(IF(0=LEN(ReferenceData!$BC$153),"",ReferenceData!$BC$153),"")</f>
        <v>93.43043772</v>
      </c>
      <c r="BD153">
        <f ca="1">IFERROR(IF(0=LEN(ReferenceData!$BD$153),"",ReferenceData!$BD$153),"")</f>
        <v>92.650271520000004</v>
      </c>
      <c r="BE153">
        <f ca="1">IFERROR(IF(0=LEN(ReferenceData!$BE$153),"",ReferenceData!$BE$153),"")</f>
        <v>92.257705680000001</v>
      </c>
      <c r="BF153">
        <f ca="1">IFERROR(IF(0=LEN(ReferenceData!$BF$153),"",ReferenceData!$BF$153),"")</f>
        <v>93.792983199999995</v>
      </c>
      <c r="BG153">
        <f ca="1">IFERROR(IF(0=LEN(ReferenceData!$BG$153),"",ReferenceData!$BG$153),"")</f>
        <v>92.675318369999999</v>
      </c>
      <c r="BH153">
        <f ca="1">IFERROR(IF(0=LEN(ReferenceData!$BH$153),"",ReferenceData!$BH$153),"")</f>
        <v>92.301376419999997</v>
      </c>
      <c r="BI153">
        <f ca="1">IFERROR(IF(0=LEN(ReferenceData!$BI$153),"",ReferenceData!$BI$153),"")</f>
        <v>91.879332509999998</v>
      </c>
      <c r="BJ153">
        <f ca="1">IFERROR(IF(0=LEN(ReferenceData!$BJ$153),"",ReferenceData!$BJ$153),"")</f>
        <v>93.369280110000005</v>
      </c>
      <c r="BK153">
        <f ca="1">IFERROR(IF(0=LEN(ReferenceData!$BK$153),"",ReferenceData!$BK$153),"")</f>
        <v>92.131637339999997</v>
      </c>
      <c r="BL153">
        <f ca="1">IFERROR(IF(0=LEN(ReferenceData!$BL$153),"",ReferenceData!$BL$153),"")</f>
        <v>92.066426120000003</v>
      </c>
      <c r="BM153">
        <f ca="1">IFERROR(IF(0=LEN(ReferenceData!$BM$153),"",ReferenceData!$BM$153),"")</f>
        <v>92.096786960000003</v>
      </c>
    </row>
    <row r="154" spans="1:65">
      <c r="A154" t="str">
        <f>IFERROR(IF(0=LEN(ReferenceData!$A$154),"",ReferenceData!$A$154),"")</f>
        <v xml:space="preserve">    Industrial REITs</v>
      </c>
      <c r="B154" t="str">
        <f>IFERROR(IF(0=LEN(ReferenceData!$B$154),"",ReferenceData!$B$154),"")</f>
        <v>RECFAVIN Index</v>
      </c>
      <c r="C154" t="str">
        <f>IFERROR(IF(0=LEN(ReferenceData!$C$154),"",ReferenceData!$C$154),"")</f>
        <v>PR005</v>
      </c>
      <c r="D154" t="str">
        <f>IFERROR(IF(0=LEN(ReferenceData!$D$154),"",ReferenceData!$D$154),"")</f>
        <v>PX_LAST</v>
      </c>
      <c r="E154" t="str">
        <f>IFERROR(IF(0=LEN(ReferenceData!$E$154),"",ReferenceData!$E$154),"")</f>
        <v>动态</v>
      </c>
      <c r="F154">
        <f ca="1">IFERROR(IF(0=LEN(ReferenceData!$F$154),"",ReferenceData!$F$154),"")</f>
        <v>96.805147779999999</v>
      </c>
      <c r="G154">
        <f ca="1">IFERROR(IF(0=LEN(ReferenceData!$G$154),"",ReferenceData!$G$154),"")</f>
        <v>96.226056270000001</v>
      </c>
      <c r="H154">
        <f ca="1">IFERROR(IF(0=LEN(ReferenceData!$H$154),"",ReferenceData!$H$154),"")</f>
        <v>96.076528510000003</v>
      </c>
      <c r="I154">
        <f ca="1">IFERROR(IF(0=LEN(ReferenceData!$I$154),"",ReferenceData!$I$154),"")</f>
        <v>96.317442779999993</v>
      </c>
      <c r="J154">
        <f ca="1">IFERROR(IF(0=LEN(ReferenceData!$J$154),"",ReferenceData!$J$154),"")</f>
        <v>96.646901790000001</v>
      </c>
      <c r="K154">
        <f ca="1">IFERROR(IF(0=LEN(ReferenceData!$K$154),"",ReferenceData!$K$154),"")</f>
        <v>96.238260060000002</v>
      </c>
      <c r="L154">
        <f ca="1">IFERROR(IF(0=LEN(ReferenceData!$L$154),"",ReferenceData!$L$154),"")</f>
        <v>95.709791370000005</v>
      </c>
      <c r="M154">
        <f ca="1">IFERROR(IF(0=LEN(ReferenceData!$M$154),"",ReferenceData!$M$154),"")</f>
        <v>95.296728430000002</v>
      </c>
      <c r="N154">
        <f ca="1">IFERROR(IF(0=LEN(ReferenceData!$N$154),"",ReferenceData!$N$154),"")</f>
        <v>95.566132679999996</v>
      </c>
      <c r="O154">
        <f ca="1">IFERROR(IF(0=LEN(ReferenceData!$O$154),"",ReferenceData!$O$154),"")</f>
        <v>95.066270729999999</v>
      </c>
      <c r="P154">
        <f ca="1">IFERROR(IF(0=LEN(ReferenceData!$P$154),"",ReferenceData!$P$154),"")</f>
        <v>94.657607060000004</v>
      </c>
      <c r="Q154">
        <f ca="1">IFERROR(IF(0=LEN(ReferenceData!$Q$154),"",ReferenceData!$Q$154),"")</f>
        <v>94.719723799999997</v>
      </c>
      <c r="R154">
        <f ca="1">IFERROR(IF(0=LEN(ReferenceData!$R$154),"",ReferenceData!$R$154),"")</f>
        <v>94.911063490000004</v>
      </c>
      <c r="S154">
        <f ca="1">IFERROR(IF(0=LEN(ReferenceData!$S$154),"",ReferenceData!$S$154),"")</f>
        <v>94.319611710000004</v>
      </c>
      <c r="T154">
        <f ca="1">IFERROR(IF(0=LEN(ReferenceData!$T$154),"",ReferenceData!$T$154),"")</f>
        <v>93.787603169999997</v>
      </c>
      <c r="U154">
        <f ca="1">IFERROR(IF(0=LEN(ReferenceData!$U$154),"",ReferenceData!$U$154),"")</f>
        <v>93.368892930000001</v>
      </c>
      <c r="V154">
        <f ca="1">IFERROR(IF(0=LEN(ReferenceData!$V$154),"",ReferenceData!$V$154),"")</f>
        <v>93.475083729999994</v>
      </c>
      <c r="W154">
        <f ca="1">IFERROR(IF(0=LEN(ReferenceData!$W$154),"",ReferenceData!$W$154),"")</f>
        <v>93.097410370000006</v>
      </c>
      <c r="X154">
        <f ca="1">IFERROR(IF(0=LEN(ReferenceData!$X$154),"",ReferenceData!$X$154),"")</f>
        <v>92.998557230000003</v>
      </c>
      <c r="Y154">
        <f ca="1">IFERROR(IF(0=LEN(ReferenceData!$Y$154),"",ReferenceData!$Y$154),"")</f>
        <v>92.621592489999998</v>
      </c>
      <c r="Z154">
        <f ca="1">IFERROR(IF(0=LEN(ReferenceData!$Z$154),"",ReferenceData!$Z$154),"")</f>
        <v>92.873771000000005</v>
      </c>
      <c r="AA154">
        <f ca="1">IFERROR(IF(0=LEN(ReferenceData!$AA$154),"",ReferenceData!$AA$154),"")</f>
        <v>92.360431579999997</v>
      </c>
      <c r="AB154">
        <f ca="1">IFERROR(IF(0=LEN(ReferenceData!$AB$154),"",ReferenceData!$AB$154),"")</f>
        <v>91.6671549</v>
      </c>
      <c r="AC154">
        <f ca="1">IFERROR(IF(0=LEN(ReferenceData!$AC$154),"",ReferenceData!$AC$154),"")</f>
        <v>91.596153180000002</v>
      </c>
      <c r="AD154">
        <f ca="1">IFERROR(IF(0=LEN(ReferenceData!$AD$154),"",ReferenceData!$AD$154),"")</f>
        <v>91.535506999999996</v>
      </c>
      <c r="AE154">
        <f ca="1">IFERROR(IF(0=LEN(ReferenceData!$AE$154),"",ReferenceData!$AE$154),"")</f>
        <v>90.672566320000001</v>
      </c>
      <c r="AF154">
        <f ca="1">IFERROR(IF(0=LEN(ReferenceData!$AF$154),"",ReferenceData!$AF$154),"")</f>
        <v>90.036614569999998</v>
      </c>
      <c r="AG154">
        <f ca="1">IFERROR(IF(0=LEN(ReferenceData!$AG$154),"",ReferenceData!$AG$154),"")</f>
        <v>89.56166322</v>
      </c>
      <c r="AH154">
        <f ca="1">IFERROR(IF(0=LEN(ReferenceData!$AH$154),"",ReferenceData!$AH$154),"")</f>
        <v>90.084729289999999</v>
      </c>
      <c r="AI154">
        <f ca="1">IFERROR(IF(0=LEN(ReferenceData!$AI$154),"",ReferenceData!$AI$154),"")</f>
        <v>89.505811859999994</v>
      </c>
      <c r="AJ154">
        <f ca="1">IFERROR(IF(0=LEN(ReferenceData!$AJ$154),"",ReferenceData!$AJ$154),"")</f>
        <v>88.833573380000004</v>
      </c>
      <c r="AK154">
        <f ca="1">IFERROR(IF(0=LEN(ReferenceData!$AK$154),"",ReferenceData!$AK$154),"")</f>
        <v>88.530827680000002</v>
      </c>
      <c r="AL154">
        <f ca="1">IFERROR(IF(0=LEN(ReferenceData!$AL$154),"",ReferenceData!$AL$154),"")</f>
        <v>88.877908039999994</v>
      </c>
      <c r="AM154">
        <f ca="1">IFERROR(IF(0=LEN(ReferenceData!$AM$154),"",ReferenceData!$AM$154),"")</f>
        <v>88.586485710000005</v>
      </c>
      <c r="AN154">
        <f ca="1">IFERROR(IF(0=LEN(ReferenceData!$AN$154),"",ReferenceData!$AN$154),"")</f>
        <v>88.413808779999997</v>
      </c>
      <c r="AO154">
        <f ca="1">IFERROR(IF(0=LEN(ReferenceData!$AO$154),"",ReferenceData!$AO$154),"")</f>
        <v>89.529342830000004</v>
      </c>
      <c r="AP154">
        <f ca="1">IFERROR(IF(0=LEN(ReferenceData!$AP$154),"",ReferenceData!$AP$154),"")</f>
        <v>91.559113850000003</v>
      </c>
      <c r="AQ154">
        <f ca="1">IFERROR(IF(0=LEN(ReferenceData!$AQ$154),"",ReferenceData!$AQ$154),"")</f>
        <v>91.572307309999999</v>
      </c>
      <c r="AR154">
        <f ca="1">IFERROR(IF(0=LEN(ReferenceData!$AR$154),"",ReferenceData!$AR$154),"")</f>
        <v>91.619677030000005</v>
      </c>
      <c r="AS154">
        <f ca="1">IFERROR(IF(0=LEN(ReferenceData!$AS$154),"",ReferenceData!$AS$154),"")</f>
        <v>91.564034539999994</v>
      </c>
      <c r="AT154">
        <f ca="1">IFERROR(IF(0=LEN(ReferenceData!$AT$154),"",ReferenceData!$AT$154),"")</f>
        <v>92.936812900000007</v>
      </c>
      <c r="AU154">
        <f ca="1">IFERROR(IF(0=LEN(ReferenceData!$AU$154),"",ReferenceData!$AU$154),"")</f>
        <v>93.326976329999994</v>
      </c>
      <c r="AV154">
        <f ca="1">IFERROR(IF(0=LEN(ReferenceData!$AV$154),"",ReferenceData!$AV$154),"")</f>
        <v>93.263921339999996</v>
      </c>
      <c r="AW154">
        <f ca="1">IFERROR(IF(0=LEN(ReferenceData!$AW$154),"",ReferenceData!$AW$154),"")</f>
        <v>93.105802670000003</v>
      </c>
      <c r="AX154">
        <f ca="1">IFERROR(IF(0=LEN(ReferenceData!$AX$154),"",ReferenceData!$AX$154),"")</f>
        <v>93.513785049999996</v>
      </c>
      <c r="AY154">
        <f ca="1">IFERROR(IF(0=LEN(ReferenceData!$AY$154),"",ReferenceData!$AY$154),"")</f>
        <v>93.209208050000001</v>
      </c>
      <c r="AZ154">
        <f ca="1">IFERROR(IF(0=LEN(ReferenceData!$AZ$154),"",ReferenceData!$AZ$154),"")</f>
        <v>92.90044795</v>
      </c>
      <c r="BA154">
        <f ca="1">IFERROR(IF(0=LEN(ReferenceData!$BA$154),"",ReferenceData!$BA$154),"")</f>
        <v>92.596444660000003</v>
      </c>
      <c r="BB154">
        <f ca="1">IFERROR(IF(0=LEN(ReferenceData!$BB$154),"",ReferenceData!$BB$154),"")</f>
        <v>92.801308160000005</v>
      </c>
      <c r="BC154">
        <f ca="1">IFERROR(IF(0=LEN(ReferenceData!$BC$154),"",ReferenceData!$BC$154),"")</f>
        <v>91.619605390000004</v>
      </c>
      <c r="BD154">
        <f ca="1">IFERROR(IF(0=LEN(ReferenceData!$BD$154),"",ReferenceData!$BD$154),"")</f>
        <v>91.822580380000005</v>
      </c>
      <c r="BE154">
        <f ca="1">IFERROR(IF(0=LEN(ReferenceData!$BE$154),"",ReferenceData!$BE$154),"")</f>
        <v>92.0606729</v>
      </c>
      <c r="BF154">
        <f ca="1">IFERROR(IF(0=LEN(ReferenceData!$BF$154),"",ReferenceData!$BF$154),"")</f>
        <v>92.103414830000006</v>
      </c>
      <c r="BG154">
        <f ca="1">IFERROR(IF(0=LEN(ReferenceData!$BG$154),"",ReferenceData!$BG$154),"")</f>
        <v>91.551477120000001</v>
      </c>
      <c r="BH154">
        <f ca="1">IFERROR(IF(0=LEN(ReferenceData!$BH$154),"",ReferenceData!$BH$154),"")</f>
        <v>91.322501520000003</v>
      </c>
      <c r="BI154">
        <f ca="1">IFERROR(IF(0=LEN(ReferenceData!$BI$154),"",ReferenceData!$BI$154),"")</f>
        <v>90.993880579999995</v>
      </c>
      <c r="BJ154">
        <f ca="1">IFERROR(IF(0=LEN(ReferenceData!$BJ$154),"",ReferenceData!$BJ$154),"")</f>
        <v>90.00084305</v>
      </c>
      <c r="BK154">
        <f ca="1">IFERROR(IF(0=LEN(ReferenceData!$BK$154),"",ReferenceData!$BK$154),"")</f>
        <v>90.253464210000004</v>
      </c>
      <c r="BL154">
        <f ca="1">IFERROR(IF(0=LEN(ReferenceData!$BL$154),"",ReferenceData!$BL$154),"")</f>
        <v>90.046783809999994</v>
      </c>
      <c r="BM154">
        <f ca="1">IFERROR(IF(0=LEN(ReferenceData!$BM$154),"",ReferenceData!$BM$154),"")</f>
        <v>89.522784239999993</v>
      </c>
    </row>
    <row r="155" spans="1:65">
      <c r="A155" t="str">
        <f>IFERROR(IF(0=LEN(ReferenceData!$A$155),"",ReferenceData!$A$155),"")</f>
        <v xml:space="preserve">    Office REITs</v>
      </c>
      <c r="B155" t="str">
        <f>IFERROR(IF(0=LEN(ReferenceData!$B$155),"",ReferenceData!$B$155),"")</f>
        <v>RECFAVOF Index</v>
      </c>
      <c r="C155" t="str">
        <f>IFERROR(IF(0=LEN(ReferenceData!$C$155),"",ReferenceData!$C$155),"")</f>
        <v>PR005</v>
      </c>
      <c r="D155" t="str">
        <f>IFERROR(IF(0=LEN(ReferenceData!$D$155),"",ReferenceData!$D$155),"")</f>
        <v>PX_LAST</v>
      </c>
      <c r="E155" t="str">
        <f>IFERROR(IF(0=LEN(ReferenceData!$E$155),"",ReferenceData!$E$155),"")</f>
        <v>动态</v>
      </c>
      <c r="F155">
        <f ca="1">IFERROR(IF(0=LEN(ReferenceData!$F$155),"",ReferenceData!$F$155),"")</f>
        <v>91.855484039999993</v>
      </c>
      <c r="G155">
        <f ca="1">IFERROR(IF(0=LEN(ReferenceData!$G$155),"",ReferenceData!$G$155),"")</f>
        <v>91.344438729999993</v>
      </c>
      <c r="H155">
        <f ca="1">IFERROR(IF(0=LEN(ReferenceData!$H$155),"",ReferenceData!$H$155),"")</f>
        <v>91.186470130000004</v>
      </c>
      <c r="I155">
        <f ca="1">IFERROR(IF(0=LEN(ReferenceData!$I$155),"",ReferenceData!$I$155),"")</f>
        <v>90.980479829999993</v>
      </c>
      <c r="J155">
        <f ca="1">IFERROR(IF(0=LEN(ReferenceData!$J$155),"",ReferenceData!$J$155),"")</f>
        <v>91.929307019999996</v>
      </c>
      <c r="K155">
        <f ca="1">IFERROR(IF(0=LEN(ReferenceData!$K$155),"",ReferenceData!$K$155),"")</f>
        <v>91.138496459999999</v>
      </c>
      <c r="L155">
        <f ca="1">IFERROR(IF(0=LEN(ReferenceData!$L$155),"",ReferenceData!$L$155),"")</f>
        <v>91.214136569999994</v>
      </c>
      <c r="M155">
        <f ca="1">IFERROR(IF(0=LEN(ReferenceData!$M$155),"",ReferenceData!$M$155),"")</f>
        <v>92.029696209999997</v>
      </c>
      <c r="N155">
        <f ca="1">IFERROR(IF(0=LEN(ReferenceData!$N$155),"",ReferenceData!$N$155),"")</f>
        <v>91.685472700000005</v>
      </c>
      <c r="O155">
        <f ca="1">IFERROR(IF(0=LEN(ReferenceData!$O$155),"",ReferenceData!$O$155),"")</f>
        <v>91.275559270000002</v>
      </c>
      <c r="P155">
        <f ca="1">IFERROR(IF(0=LEN(ReferenceData!$P$155),"",ReferenceData!$P$155),"")</f>
        <v>91.399770889999999</v>
      </c>
      <c r="Q155">
        <f ca="1">IFERROR(IF(0=LEN(ReferenceData!$Q$155),"",ReferenceData!$Q$155),"")</f>
        <v>90.663645130000006</v>
      </c>
      <c r="R155">
        <f ca="1">IFERROR(IF(0=LEN(ReferenceData!$R$155),"",ReferenceData!$R$155),"")</f>
        <v>90.686209919999996</v>
      </c>
      <c r="S155">
        <f ca="1">IFERROR(IF(0=LEN(ReferenceData!$S$155),"",ReferenceData!$S$155),"")</f>
        <v>90.554403649999998</v>
      </c>
      <c r="T155">
        <f ca="1">IFERROR(IF(0=LEN(ReferenceData!$T$155),"",ReferenceData!$T$155),"")</f>
        <v>90.779080210000004</v>
      </c>
      <c r="U155">
        <f ca="1">IFERROR(IF(0=LEN(ReferenceData!$U$155),"",ReferenceData!$U$155),"")</f>
        <v>90.846091909999998</v>
      </c>
      <c r="V155">
        <f ca="1">IFERROR(IF(0=LEN(ReferenceData!$V$155),"",ReferenceData!$V$155),"")</f>
        <v>91.176086049999995</v>
      </c>
      <c r="W155">
        <f ca="1">IFERROR(IF(0=LEN(ReferenceData!$W$155),"",ReferenceData!$W$155),"")</f>
        <v>91.002148320000003</v>
      </c>
      <c r="X155">
        <f ca="1">IFERROR(IF(0=LEN(ReferenceData!$X$155),"",ReferenceData!$X$155),"")</f>
        <v>90.331488059999998</v>
      </c>
      <c r="Y155">
        <f ca="1">IFERROR(IF(0=LEN(ReferenceData!$Y$155),"",ReferenceData!$Y$155),"")</f>
        <v>89.678297520000001</v>
      </c>
      <c r="Z155">
        <f ca="1">IFERROR(IF(0=LEN(ReferenceData!$Z$155),"",ReferenceData!$Z$155),"")</f>
        <v>89.829140960000004</v>
      </c>
      <c r="AA155">
        <f ca="1">IFERROR(IF(0=LEN(ReferenceData!$AA$155),"",ReferenceData!$AA$155),"")</f>
        <v>88.741269070000001</v>
      </c>
      <c r="AB155">
        <f ca="1">IFERROR(IF(0=LEN(ReferenceData!$AB$155),"",ReferenceData!$AB$155),"")</f>
        <v>88.95819865</v>
      </c>
      <c r="AC155">
        <f ca="1">IFERROR(IF(0=LEN(ReferenceData!$AC$155),"",ReferenceData!$AC$155),"")</f>
        <v>88.931884789999998</v>
      </c>
      <c r="AD155">
        <f ca="1">IFERROR(IF(0=LEN(ReferenceData!$AD$155),"",ReferenceData!$AD$155),"")</f>
        <v>88.658478970000004</v>
      </c>
      <c r="AE155">
        <f ca="1">IFERROR(IF(0=LEN(ReferenceData!$AE$155),"",ReferenceData!$AE$155),"")</f>
        <v>88.383146670000002</v>
      </c>
      <c r="AF155">
        <f ca="1">IFERROR(IF(0=LEN(ReferenceData!$AF$155),"",ReferenceData!$AF$155),"")</f>
        <v>88.595616120000003</v>
      </c>
      <c r="AG155">
        <f ca="1">IFERROR(IF(0=LEN(ReferenceData!$AG$155),"",ReferenceData!$AG$155),"")</f>
        <v>88.019002610000001</v>
      </c>
      <c r="AH155">
        <f ca="1">IFERROR(IF(0=LEN(ReferenceData!$AH$155),"",ReferenceData!$AH$155),"")</f>
        <v>88.675381759999993</v>
      </c>
      <c r="AI155">
        <f ca="1">IFERROR(IF(0=LEN(ReferenceData!$AI$155),"",ReferenceData!$AI$155),"")</f>
        <v>87.918039620000002</v>
      </c>
      <c r="AJ155">
        <f ca="1">IFERROR(IF(0=LEN(ReferenceData!$AJ$155),"",ReferenceData!$AJ$155),"")</f>
        <v>87.975553410000003</v>
      </c>
      <c r="AK155">
        <f ca="1">IFERROR(IF(0=LEN(ReferenceData!$AK$155),"",ReferenceData!$AK$155),"")</f>
        <v>87.839192569999994</v>
      </c>
      <c r="AL155">
        <f ca="1">IFERROR(IF(0=LEN(ReferenceData!$AL$155),"",ReferenceData!$AL$155),"")</f>
        <v>88.732352809999995</v>
      </c>
      <c r="AM155">
        <f ca="1">IFERROR(IF(0=LEN(ReferenceData!$AM$155),"",ReferenceData!$AM$155),"")</f>
        <v>88.712703320000003</v>
      </c>
      <c r="AN155">
        <f ca="1">IFERROR(IF(0=LEN(ReferenceData!$AN$155),"",ReferenceData!$AN$155),"")</f>
        <v>89.133439050000007</v>
      </c>
      <c r="AO155">
        <f ca="1">IFERROR(IF(0=LEN(ReferenceData!$AO$155),"",ReferenceData!$AO$155),"")</f>
        <v>90.038582469999994</v>
      </c>
      <c r="AP155">
        <f ca="1">IFERROR(IF(0=LEN(ReferenceData!$AP$155),"",ReferenceData!$AP$155),"")</f>
        <v>90.768096999999997</v>
      </c>
      <c r="AQ155">
        <f ca="1">IFERROR(IF(0=LEN(ReferenceData!$AQ$155),"",ReferenceData!$AQ$155),"")</f>
        <v>91.285400460000005</v>
      </c>
      <c r="AR155">
        <f ca="1">IFERROR(IF(0=LEN(ReferenceData!$AR$155),"",ReferenceData!$AR$155),"")</f>
        <v>91.416728989999996</v>
      </c>
      <c r="AS155">
        <f ca="1">IFERROR(IF(0=LEN(ReferenceData!$AS$155),"",ReferenceData!$AS$155),"")</f>
        <v>91.497210280000004</v>
      </c>
      <c r="AT155">
        <f ca="1">IFERROR(IF(0=LEN(ReferenceData!$AT$155),"",ReferenceData!$AT$155),"")</f>
        <v>91.854679599999997</v>
      </c>
      <c r="AU155">
        <f ca="1">IFERROR(IF(0=LEN(ReferenceData!$AU$155),"",ReferenceData!$AU$155),"")</f>
        <v>91.412150600000004</v>
      </c>
      <c r="AV155">
        <f ca="1">IFERROR(IF(0=LEN(ReferenceData!$AV$155),"",ReferenceData!$AV$155),"")</f>
        <v>91.105825620000005</v>
      </c>
      <c r="AW155">
        <f ca="1">IFERROR(IF(0=LEN(ReferenceData!$AW$155),"",ReferenceData!$AW$155),"")</f>
        <v>91.11459223</v>
      </c>
      <c r="AX155">
        <f ca="1">IFERROR(IF(0=LEN(ReferenceData!$AX$155),"",ReferenceData!$AX$155),"")</f>
        <v>91.719706090000003</v>
      </c>
      <c r="AY155">
        <f ca="1">IFERROR(IF(0=LEN(ReferenceData!$AY$155),"",ReferenceData!$AY$155),"")</f>
        <v>91.433660990000007</v>
      </c>
      <c r="AZ155">
        <f ca="1">IFERROR(IF(0=LEN(ReferenceData!$AZ$155),"",ReferenceData!$AZ$155),"")</f>
        <v>90.909155170000005</v>
      </c>
      <c r="BA155">
        <f ca="1">IFERROR(IF(0=LEN(ReferenceData!$BA$155),"",ReferenceData!$BA$155),"")</f>
        <v>90.984844480000007</v>
      </c>
      <c r="BB155">
        <f ca="1">IFERROR(IF(0=LEN(ReferenceData!$BB$155),"",ReferenceData!$BB$155),"")</f>
        <v>90.844650619999996</v>
      </c>
      <c r="BC155">
        <f ca="1">IFERROR(IF(0=LEN(ReferenceData!$BC$155),"",ReferenceData!$BC$155),"")</f>
        <v>90.329008680000001</v>
      </c>
      <c r="BD155">
        <f ca="1">IFERROR(IF(0=LEN(ReferenceData!$BD$155),"",ReferenceData!$BD$155),"")</f>
        <v>89.803835280000001</v>
      </c>
      <c r="BE155">
        <f ca="1">IFERROR(IF(0=LEN(ReferenceData!$BE$155),"",ReferenceData!$BE$155),"")</f>
        <v>90.110291770000003</v>
      </c>
      <c r="BF155">
        <f ca="1">IFERROR(IF(0=LEN(ReferenceData!$BF$155),"",ReferenceData!$BF$155),"")</f>
        <v>90.412511420000001</v>
      </c>
      <c r="BG155">
        <f ca="1">IFERROR(IF(0=LEN(ReferenceData!$BG$155),"",ReferenceData!$BG$155),"")</f>
        <v>90.309410850000006</v>
      </c>
      <c r="BH155">
        <f ca="1">IFERROR(IF(0=LEN(ReferenceData!$BH$155),"",ReferenceData!$BH$155),"")</f>
        <v>90.261910490000005</v>
      </c>
      <c r="BI155">
        <f ca="1">IFERROR(IF(0=LEN(ReferenceData!$BI$155),"",ReferenceData!$BI$155),"")</f>
        <v>89.715663390000003</v>
      </c>
      <c r="BJ155">
        <f ca="1">IFERROR(IF(0=LEN(ReferenceData!$BJ$155),"",ReferenceData!$BJ$155),"")</f>
        <v>90.596995849999999</v>
      </c>
      <c r="BK155">
        <f ca="1">IFERROR(IF(0=LEN(ReferenceData!$BK$155),"",ReferenceData!$BK$155),"")</f>
        <v>89.717458629999996</v>
      </c>
      <c r="BL155">
        <f ca="1">IFERROR(IF(0=LEN(ReferenceData!$BL$155),"",ReferenceData!$BL$155),"")</f>
        <v>90.290558009999998</v>
      </c>
      <c r="BM155">
        <f ca="1">IFERROR(IF(0=LEN(ReferenceData!$BM$155),"",ReferenceData!$BM$155),"")</f>
        <v>90.923698439999995</v>
      </c>
    </row>
    <row r="156" spans="1:65">
      <c r="A156" t="str">
        <f>IFERROR(IF(0=LEN(ReferenceData!$A$156),"",ReferenceData!$A$156),"")</f>
        <v xml:space="preserve">    </v>
      </c>
      <c r="B156" t="str">
        <f>IFERROR(IF(0=LEN(ReferenceData!$B$156),"",ReferenceData!$B$156),"")</f>
        <v/>
      </c>
      <c r="C156" t="str">
        <f>IFERROR(IF(0=LEN(ReferenceData!$C$156),"",ReferenceData!$C$156),"")</f>
        <v/>
      </c>
      <c r="D156" t="str">
        <f>IFERROR(IF(0=LEN(ReferenceData!$D$156),"",ReferenceData!$D$156),"")</f>
        <v/>
      </c>
      <c r="E156" t="str">
        <f>IFERROR(IF(0=LEN(ReferenceData!$E$156),"",ReferenceData!$E$156),"")</f>
        <v>静态</v>
      </c>
      <c r="F156" t="str">
        <f ca="1">IFERROR(IF(0=LEN(ReferenceData!$F$156),"",ReferenceData!$F$156),"")</f>
        <v/>
      </c>
      <c r="G156" t="str">
        <f ca="1">IFERROR(IF(0=LEN(ReferenceData!$G$156),"",ReferenceData!$G$156),"")</f>
        <v/>
      </c>
      <c r="H156" t="str">
        <f ca="1">IFERROR(IF(0=LEN(ReferenceData!$H$156),"",ReferenceData!$H$156),"")</f>
        <v/>
      </c>
      <c r="I156" t="str">
        <f ca="1">IFERROR(IF(0=LEN(ReferenceData!$I$156),"",ReferenceData!$I$156),"")</f>
        <v/>
      </c>
      <c r="J156" t="str">
        <f ca="1">IFERROR(IF(0=LEN(ReferenceData!$J$156),"",ReferenceData!$J$156),"")</f>
        <v/>
      </c>
      <c r="K156" t="str">
        <f ca="1">IFERROR(IF(0=LEN(ReferenceData!$K$156),"",ReferenceData!$K$156),"")</f>
        <v/>
      </c>
      <c r="L156" t="str">
        <f ca="1">IFERROR(IF(0=LEN(ReferenceData!$L$156),"",ReferenceData!$L$156),"")</f>
        <v/>
      </c>
      <c r="M156" t="str">
        <f ca="1">IFERROR(IF(0=LEN(ReferenceData!$M$156),"",ReferenceData!$M$156),"")</f>
        <v/>
      </c>
      <c r="N156" t="str">
        <f ca="1">IFERROR(IF(0=LEN(ReferenceData!$N$156),"",ReferenceData!$N$156),"")</f>
        <v/>
      </c>
      <c r="O156" t="str">
        <f ca="1">IFERROR(IF(0=LEN(ReferenceData!$O$156),"",ReferenceData!$O$156),"")</f>
        <v/>
      </c>
      <c r="P156" t="str">
        <f ca="1">IFERROR(IF(0=LEN(ReferenceData!$P$156),"",ReferenceData!$P$156),"")</f>
        <v/>
      </c>
      <c r="Q156" t="str">
        <f ca="1">IFERROR(IF(0=LEN(ReferenceData!$Q$156),"",ReferenceData!$Q$156),"")</f>
        <v/>
      </c>
      <c r="R156" t="str">
        <f ca="1">IFERROR(IF(0=LEN(ReferenceData!$R$156),"",ReferenceData!$R$156),"")</f>
        <v/>
      </c>
      <c r="S156" t="str">
        <f ca="1">IFERROR(IF(0=LEN(ReferenceData!$S$156),"",ReferenceData!$S$156),"")</f>
        <v/>
      </c>
      <c r="T156" t="str">
        <f ca="1">IFERROR(IF(0=LEN(ReferenceData!$T$156),"",ReferenceData!$T$156),"")</f>
        <v/>
      </c>
      <c r="U156" t="str">
        <f ca="1">IFERROR(IF(0=LEN(ReferenceData!$U$156),"",ReferenceData!$U$156),"")</f>
        <v/>
      </c>
      <c r="V156" t="str">
        <f ca="1">IFERROR(IF(0=LEN(ReferenceData!$V$156),"",ReferenceData!$V$156),"")</f>
        <v/>
      </c>
      <c r="W156" t="str">
        <f ca="1">IFERROR(IF(0=LEN(ReferenceData!$W$156),"",ReferenceData!$W$156),"")</f>
        <v/>
      </c>
      <c r="X156" t="str">
        <f ca="1">IFERROR(IF(0=LEN(ReferenceData!$X$156),"",ReferenceData!$X$156),"")</f>
        <v/>
      </c>
      <c r="Y156" t="str">
        <f ca="1">IFERROR(IF(0=LEN(ReferenceData!$Y$156),"",ReferenceData!$Y$156),"")</f>
        <v/>
      </c>
      <c r="Z156" t="str">
        <f ca="1">IFERROR(IF(0=LEN(ReferenceData!$Z$156),"",ReferenceData!$Z$156),"")</f>
        <v/>
      </c>
      <c r="AA156" t="str">
        <f ca="1">IFERROR(IF(0=LEN(ReferenceData!$AA$156),"",ReferenceData!$AA$156),"")</f>
        <v/>
      </c>
      <c r="AB156" t="str">
        <f ca="1">IFERROR(IF(0=LEN(ReferenceData!$AB$156),"",ReferenceData!$AB$156),"")</f>
        <v/>
      </c>
      <c r="AC156" t="str">
        <f ca="1">IFERROR(IF(0=LEN(ReferenceData!$AC$156),"",ReferenceData!$AC$156),"")</f>
        <v/>
      </c>
      <c r="AD156" t="str">
        <f ca="1">IFERROR(IF(0=LEN(ReferenceData!$AD$156),"",ReferenceData!$AD$156),"")</f>
        <v/>
      </c>
      <c r="AE156" t="str">
        <f ca="1">IFERROR(IF(0=LEN(ReferenceData!$AE$156),"",ReferenceData!$AE$156),"")</f>
        <v/>
      </c>
      <c r="AF156" t="str">
        <f ca="1">IFERROR(IF(0=LEN(ReferenceData!$AF$156),"",ReferenceData!$AF$156),"")</f>
        <v/>
      </c>
      <c r="AG156" t="str">
        <f ca="1">IFERROR(IF(0=LEN(ReferenceData!$AG$156),"",ReferenceData!$AG$156),"")</f>
        <v/>
      </c>
      <c r="AH156" t="str">
        <f ca="1">IFERROR(IF(0=LEN(ReferenceData!$AH$156),"",ReferenceData!$AH$156),"")</f>
        <v/>
      </c>
      <c r="AI156" t="str">
        <f ca="1">IFERROR(IF(0=LEN(ReferenceData!$AI$156),"",ReferenceData!$AI$156),"")</f>
        <v/>
      </c>
      <c r="AJ156" t="str">
        <f ca="1">IFERROR(IF(0=LEN(ReferenceData!$AJ$156),"",ReferenceData!$AJ$156),"")</f>
        <v/>
      </c>
      <c r="AK156" t="str">
        <f ca="1">IFERROR(IF(0=LEN(ReferenceData!$AK$156),"",ReferenceData!$AK$156),"")</f>
        <v/>
      </c>
      <c r="AL156" t="str">
        <f ca="1">IFERROR(IF(0=LEN(ReferenceData!$AL$156),"",ReferenceData!$AL$156),"")</f>
        <v/>
      </c>
      <c r="AM156" t="str">
        <f ca="1">IFERROR(IF(0=LEN(ReferenceData!$AM$156),"",ReferenceData!$AM$156),"")</f>
        <v/>
      </c>
      <c r="AN156" t="str">
        <f ca="1">IFERROR(IF(0=LEN(ReferenceData!$AN$156),"",ReferenceData!$AN$156),"")</f>
        <v/>
      </c>
      <c r="AO156" t="str">
        <f ca="1">IFERROR(IF(0=LEN(ReferenceData!$AO$156),"",ReferenceData!$AO$156),"")</f>
        <v/>
      </c>
      <c r="AP156" t="str">
        <f ca="1">IFERROR(IF(0=LEN(ReferenceData!$AP$156),"",ReferenceData!$AP$156),"")</f>
        <v/>
      </c>
      <c r="AQ156" t="str">
        <f ca="1">IFERROR(IF(0=LEN(ReferenceData!$AQ$156),"",ReferenceData!$AQ$156),"")</f>
        <v/>
      </c>
      <c r="AR156" t="str">
        <f ca="1">IFERROR(IF(0=LEN(ReferenceData!$AR$156),"",ReferenceData!$AR$156),"")</f>
        <v/>
      </c>
      <c r="AS156" t="str">
        <f ca="1">IFERROR(IF(0=LEN(ReferenceData!$AS$156),"",ReferenceData!$AS$156),"")</f>
        <v/>
      </c>
      <c r="AT156" t="str">
        <f ca="1">IFERROR(IF(0=LEN(ReferenceData!$AT$156),"",ReferenceData!$AT$156),"")</f>
        <v/>
      </c>
      <c r="AU156" t="str">
        <f ca="1">IFERROR(IF(0=LEN(ReferenceData!$AU$156),"",ReferenceData!$AU$156),"")</f>
        <v/>
      </c>
      <c r="AV156" t="str">
        <f ca="1">IFERROR(IF(0=LEN(ReferenceData!$AV$156),"",ReferenceData!$AV$156),"")</f>
        <v/>
      </c>
      <c r="AW156" t="str">
        <f ca="1">IFERROR(IF(0=LEN(ReferenceData!$AW$156),"",ReferenceData!$AW$156),"")</f>
        <v/>
      </c>
      <c r="AX156" t="str">
        <f ca="1">IFERROR(IF(0=LEN(ReferenceData!$AX$156),"",ReferenceData!$AX$156),"")</f>
        <v/>
      </c>
      <c r="AY156" t="str">
        <f ca="1">IFERROR(IF(0=LEN(ReferenceData!$AY$156),"",ReferenceData!$AY$156),"")</f>
        <v/>
      </c>
      <c r="AZ156" t="str">
        <f ca="1">IFERROR(IF(0=LEN(ReferenceData!$AZ$156),"",ReferenceData!$AZ$156),"")</f>
        <v/>
      </c>
      <c r="BA156" t="str">
        <f ca="1">IFERROR(IF(0=LEN(ReferenceData!$BA$156),"",ReferenceData!$BA$156),"")</f>
        <v/>
      </c>
      <c r="BB156" t="str">
        <f ca="1">IFERROR(IF(0=LEN(ReferenceData!$BB$156),"",ReferenceData!$BB$156),"")</f>
        <v/>
      </c>
      <c r="BC156" t="str">
        <f ca="1">IFERROR(IF(0=LEN(ReferenceData!$BC$156),"",ReferenceData!$BC$156),"")</f>
        <v/>
      </c>
      <c r="BD156" t="str">
        <f ca="1">IFERROR(IF(0=LEN(ReferenceData!$BD$156),"",ReferenceData!$BD$156),"")</f>
        <v/>
      </c>
      <c r="BE156" t="str">
        <f ca="1">IFERROR(IF(0=LEN(ReferenceData!$BE$156),"",ReferenceData!$BE$156),"")</f>
        <v/>
      </c>
      <c r="BF156" t="str">
        <f ca="1">IFERROR(IF(0=LEN(ReferenceData!$BF$156),"",ReferenceData!$BF$156),"")</f>
        <v/>
      </c>
      <c r="BG156" t="str">
        <f ca="1">IFERROR(IF(0=LEN(ReferenceData!$BG$156),"",ReferenceData!$BG$156),"")</f>
        <v/>
      </c>
      <c r="BH156" t="str">
        <f ca="1">IFERROR(IF(0=LEN(ReferenceData!$BH$156),"",ReferenceData!$BH$156),"")</f>
        <v/>
      </c>
      <c r="BI156" t="str">
        <f ca="1">IFERROR(IF(0=LEN(ReferenceData!$BI$156),"",ReferenceData!$BI$156),"")</f>
        <v/>
      </c>
      <c r="BJ156" t="str">
        <f ca="1">IFERROR(IF(0=LEN(ReferenceData!$BJ$156),"",ReferenceData!$BJ$156),"")</f>
        <v/>
      </c>
      <c r="BK156" t="str">
        <f ca="1">IFERROR(IF(0=LEN(ReferenceData!$BK$156),"",ReferenceData!$BK$156),"")</f>
        <v/>
      </c>
      <c r="BL156" t="str">
        <f ca="1">IFERROR(IF(0=LEN(ReferenceData!$BL$156),"",ReferenceData!$BL$156),"")</f>
        <v/>
      </c>
      <c r="BM156" t="str">
        <f ca="1">IFERROR(IF(0=LEN(ReferenceData!$BM$156),"",ReferenceData!$BM$156),"")</f>
        <v/>
      </c>
    </row>
    <row r="157" spans="1:65">
      <c r="A157" t="str">
        <f>IFERROR(IF(0=LEN(ReferenceData!$A$157),"",ReferenceData!$A$157),"")</f>
        <v>房地产投资信托关键比率</v>
      </c>
      <c r="B157" t="str">
        <f>IFERROR(IF(0=LEN(ReferenceData!$B$157),"",ReferenceData!$B$157),"")</f>
        <v/>
      </c>
      <c r="C157" t="str">
        <f>IFERROR(IF(0=LEN(ReferenceData!$C$157),"",ReferenceData!$C$157),"")</f>
        <v/>
      </c>
      <c r="D157" t="str">
        <f>IFERROR(IF(0=LEN(ReferenceData!$D$157),"",ReferenceData!$D$157),"")</f>
        <v/>
      </c>
      <c r="E157" t="str">
        <f>IFERROR(IF(0=LEN(ReferenceData!$E$157),"",ReferenceData!$E$157),"")</f>
        <v>静态</v>
      </c>
      <c r="F157" t="str">
        <f ca="1">IFERROR(IF(0=LEN(ReferenceData!$F$157),"",ReferenceData!$F$157),"")</f>
        <v/>
      </c>
      <c r="G157" t="str">
        <f ca="1">IFERROR(IF(0=LEN(ReferenceData!$G$157),"",ReferenceData!$G$157),"")</f>
        <v/>
      </c>
      <c r="H157" t="str">
        <f ca="1">IFERROR(IF(0=LEN(ReferenceData!$H$157),"",ReferenceData!$H$157),"")</f>
        <v/>
      </c>
      <c r="I157" t="str">
        <f ca="1">IFERROR(IF(0=LEN(ReferenceData!$I$157),"",ReferenceData!$I$157),"")</f>
        <v/>
      </c>
      <c r="J157" t="str">
        <f ca="1">IFERROR(IF(0=LEN(ReferenceData!$J$157),"",ReferenceData!$J$157),"")</f>
        <v/>
      </c>
      <c r="K157" t="str">
        <f ca="1">IFERROR(IF(0=LEN(ReferenceData!$K$157),"",ReferenceData!$K$157),"")</f>
        <v/>
      </c>
      <c r="L157" t="str">
        <f ca="1">IFERROR(IF(0=LEN(ReferenceData!$L$157),"",ReferenceData!$L$157),"")</f>
        <v/>
      </c>
      <c r="M157" t="str">
        <f ca="1">IFERROR(IF(0=LEN(ReferenceData!$M$157),"",ReferenceData!$M$157),"")</f>
        <v/>
      </c>
      <c r="N157" t="str">
        <f ca="1">IFERROR(IF(0=LEN(ReferenceData!$N$157),"",ReferenceData!$N$157),"")</f>
        <v/>
      </c>
      <c r="O157" t="str">
        <f ca="1">IFERROR(IF(0=LEN(ReferenceData!$O$157),"",ReferenceData!$O$157),"")</f>
        <v/>
      </c>
      <c r="P157" t="str">
        <f ca="1">IFERROR(IF(0=LEN(ReferenceData!$P$157),"",ReferenceData!$P$157),"")</f>
        <v/>
      </c>
      <c r="Q157" t="str">
        <f ca="1">IFERROR(IF(0=LEN(ReferenceData!$Q$157),"",ReferenceData!$Q$157),"")</f>
        <v/>
      </c>
      <c r="R157" t="str">
        <f ca="1">IFERROR(IF(0=LEN(ReferenceData!$R$157),"",ReferenceData!$R$157),"")</f>
        <v/>
      </c>
      <c r="S157" t="str">
        <f ca="1">IFERROR(IF(0=LEN(ReferenceData!$S$157),"",ReferenceData!$S$157),"")</f>
        <v/>
      </c>
      <c r="T157" t="str">
        <f ca="1">IFERROR(IF(0=LEN(ReferenceData!$T$157),"",ReferenceData!$T$157),"")</f>
        <v/>
      </c>
      <c r="U157" t="str">
        <f ca="1">IFERROR(IF(0=LEN(ReferenceData!$U$157),"",ReferenceData!$U$157),"")</f>
        <v/>
      </c>
      <c r="V157" t="str">
        <f ca="1">IFERROR(IF(0=LEN(ReferenceData!$V$157),"",ReferenceData!$V$157),"")</f>
        <v/>
      </c>
      <c r="W157" t="str">
        <f ca="1">IFERROR(IF(0=LEN(ReferenceData!$W$157),"",ReferenceData!$W$157),"")</f>
        <v/>
      </c>
      <c r="X157" t="str">
        <f ca="1">IFERROR(IF(0=LEN(ReferenceData!$X$157),"",ReferenceData!$X$157),"")</f>
        <v/>
      </c>
      <c r="Y157" t="str">
        <f ca="1">IFERROR(IF(0=LEN(ReferenceData!$Y$157),"",ReferenceData!$Y$157),"")</f>
        <v/>
      </c>
      <c r="Z157" t="str">
        <f ca="1">IFERROR(IF(0=LEN(ReferenceData!$Z$157),"",ReferenceData!$Z$157),"")</f>
        <v/>
      </c>
      <c r="AA157" t="str">
        <f ca="1">IFERROR(IF(0=LEN(ReferenceData!$AA$157),"",ReferenceData!$AA$157),"")</f>
        <v/>
      </c>
      <c r="AB157" t="str">
        <f ca="1">IFERROR(IF(0=LEN(ReferenceData!$AB$157),"",ReferenceData!$AB$157),"")</f>
        <v/>
      </c>
      <c r="AC157" t="str">
        <f ca="1">IFERROR(IF(0=LEN(ReferenceData!$AC$157),"",ReferenceData!$AC$157),"")</f>
        <v/>
      </c>
      <c r="AD157" t="str">
        <f ca="1">IFERROR(IF(0=LEN(ReferenceData!$AD$157),"",ReferenceData!$AD$157),"")</f>
        <v/>
      </c>
      <c r="AE157" t="str">
        <f ca="1">IFERROR(IF(0=LEN(ReferenceData!$AE$157),"",ReferenceData!$AE$157),"")</f>
        <v/>
      </c>
      <c r="AF157" t="str">
        <f ca="1">IFERROR(IF(0=LEN(ReferenceData!$AF$157),"",ReferenceData!$AF$157),"")</f>
        <v/>
      </c>
      <c r="AG157" t="str">
        <f ca="1">IFERROR(IF(0=LEN(ReferenceData!$AG$157),"",ReferenceData!$AG$157),"")</f>
        <v/>
      </c>
      <c r="AH157" t="str">
        <f ca="1">IFERROR(IF(0=LEN(ReferenceData!$AH$157),"",ReferenceData!$AH$157),"")</f>
        <v/>
      </c>
      <c r="AI157" t="str">
        <f ca="1">IFERROR(IF(0=LEN(ReferenceData!$AI$157),"",ReferenceData!$AI$157),"")</f>
        <v/>
      </c>
      <c r="AJ157" t="str">
        <f ca="1">IFERROR(IF(0=LEN(ReferenceData!$AJ$157),"",ReferenceData!$AJ$157),"")</f>
        <v/>
      </c>
      <c r="AK157" t="str">
        <f ca="1">IFERROR(IF(0=LEN(ReferenceData!$AK$157),"",ReferenceData!$AK$157),"")</f>
        <v/>
      </c>
      <c r="AL157" t="str">
        <f ca="1">IFERROR(IF(0=LEN(ReferenceData!$AL$157),"",ReferenceData!$AL$157),"")</f>
        <v/>
      </c>
      <c r="AM157" t="str">
        <f ca="1">IFERROR(IF(0=LEN(ReferenceData!$AM$157),"",ReferenceData!$AM$157),"")</f>
        <v/>
      </c>
      <c r="AN157" t="str">
        <f ca="1">IFERROR(IF(0=LEN(ReferenceData!$AN$157),"",ReferenceData!$AN$157),"")</f>
        <v/>
      </c>
      <c r="AO157" t="str">
        <f ca="1">IFERROR(IF(0=LEN(ReferenceData!$AO$157),"",ReferenceData!$AO$157),"")</f>
        <v/>
      </c>
      <c r="AP157" t="str">
        <f ca="1">IFERROR(IF(0=LEN(ReferenceData!$AP$157),"",ReferenceData!$AP$157),"")</f>
        <v/>
      </c>
      <c r="AQ157" t="str">
        <f ca="1">IFERROR(IF(0=LEN(ReferenceData!$AQ$157),"",ReferenceData!$AQ$157),"")</f>
        <v/>
      </c>
      <c r="AR157" t="str">
        <f ca="1">IFERROR(IF(0=LEN(ReferenceData!$AR$157),"",ReferenceData!$AR$157),"")</f>
        <v/>
      </c>
      <c r="AS157" t="str">
        <f ca="1">IFERROR(IF(0=LEN(ReferenceData!$AS$157),"",ReferenceData!$AS$157),"")</f>
        <v/>
      </c>
      <c r="AT157" t="str">
        <f ca="1">IFERROR(IF(0=LEN(ReferenceData!$AT$157),"",ReferenceData!$AT$157),"")</f>
        <v/>
      </c>
      <c r="AU157" t="str">
        <f ca="1">IFERROR(IF(0=LEN(ReferenceData!$AU$157),"",ReferenceData!$AU$157),"")</f>
        <v/>
      </c>
      <c r="AV157" t="str">
        <f ca="1">IFERROR(IF(0=LEN(ReferenceData!$AV$157),"",ReferenceData!$AV$157),"")</f>
        <v/>
      </c>
      <c r="AW157" t="str">
        <f ca="1">IFERROR(IF(0=LEN(ReferenceData!$AW$157),"",ReferenceData!$AW$157),"")</f>
        <v/>
      </c>
      <c r="AX157" t="str">
        <f ca="1">IFERROR(IF(0=LEN(ReferenceData!$AX$157),"",ReferenceData!$AX$157),"")</f>
        <v/>
      </c>
      <c r="AY157" t="str">
        <f ca="1">IFERROR(IF(0=LEN(ReferenceData!$AY$157),"",ReferenceData!$AY$157),"")</f>
        <v/>
      </c>
      <c r="AZ157" t="str">
        <f ca="1">IFERROR(IF(0=LEN(ReferenceData!$AZ$157),"",ReferenceData!$AZ$157),"")</f>
        <v/>
      </c>
      <c r="BA157" t="str">
        <f ca="1">IFERROR(IF(0=LEN(ReferenceData!$BA$157),"",ReferenceData!$BA$157),"")</f>
        <v/>
      </c>
      <c r="BB157" t="str">
        <f ca="1">IFERROR(IF(0=LEN(ReferenceData!$BB$157),"",ReferenceData!$BB$157),"")</f>
        <v/>
      </c>
      <c r="BC157" t="str">
        <f ca="1">IFERROR(IF(0=LEN(ReferenceData!$BC$157),"",ReferenceData!$BC$157),"")</f>
        <v/>
      </c>
      <c r="BD157" t="str">
        <f ca="1">IFERROR(IF(0=LEN(ReferenceData!$BD$157),"",ReferenceData!$BD$157),"")</f>
        <v/>
      </c>
      <c r="BE157" t="str">
        <f ca="1">IFERROR(IF(0=LEN(ReferenceData!$BE$157),"",ReferenceData!$BE$157),"")</f>
        <v/>
      </c>
      <c r="BF157" t="str">
        <f ca="1">IFERROR(IF(0=LEN(ReferenceData!$BF$157),"",ReferenceData!$BF$157),"")</f>
        <v/>
      </c>
      <c r="BG157" t="str">
        <f ca="1">IFERROR(IF(0=LEN(ReferenceData!$BG$157),"",ReferenceData!$BG$157),"")</f>
        <v/>
      </c>
      <c r="BH157" t="str">
        <f ca="1">IFERROR(IF(0=LEN(ReferenceData!$BH$157),"",ReferenceData!$BH$157),"")</f>
        <v/>
      </c>
      <c r="BI157" t="str">
        <f ca="1">IFERROR(IF(0=LEN(ReferenceData!$BI$157),"",ReferenceData!$BI$157),"")</f>
        <v/>
      </c>
      <c r="BJ157" t="str">
        <f ca="1">IFERROR(IF(0=LEN(ReferenceData!$BJ$157),"",ReferenceData!$BJ$157),"")</f>
        <v/>
      </c>
      <c r="BK157" t="str">
        <f ca="1">IFERROR(IF(0=LEN(ReferenceData!$BK$157),"",ReferenceData!$BK$157),"")</f>
        <v/>
      </c>
      <c r="BL157" t="str">
        <f ca="1">IFERROR(IF(0=LEN(ReferenceData!$BL$157),"",ReferenceData!$BL$157),"")</f>
        <v/>
      </c>
      <c r="BM157" t="str">
        <f ca="1">IFERROR(IF(0=LEN(ReferenceData!$BM$157),"",ReferenceData!$BM$157),"")</f>
        <v/>
      </c>
    </row>
    <row r="158" spans="1:65">
      <c r="A158" t="str">
        <f>IFERROR(IF(0=LEN(ReferenceData!$A$158),"",ReferenceData!$A$158),"")</f>
        <v xml:space="preserve">    NAREIT Average Price-to-FFO - All Equity REITs</v>
      </c>
      <c r="B158" t="str">
        <f>IFERROR(IF(0=LEN(ReferenceData!$B$158),"",ReferenceData!$B$158),"")</f>
        <v>RECFAVPF Index</v>
      </c>
      <c r="C158" t="str">
        <f>IFERROR(IF(0=LEN(ReferenceData!$C$158),"",ReferenceData!$C$158),"")</f>
        <v>PR005</v>
      </c>
      <c r="D158" t="str">
        <f>IFERROR(IF(0=LEN(ReferenceData!$D$158),"",ReferenceData!$D$158),"")</f>
        <v>PX_LAST</v>
      </c>
      <c r="E158" t="str">
        <f>IFERROR(IF(0=LEN(ReferenceData!$E$158),"",ReferenceData!$E$158),"")</f>
        <v>动态</v>
      </c>
      <c r="F158">
        <f ca="1">IFERROR(IF(0=LEN(ReferenceData!$F$158),"",ReferenceData!$F$158),"")</f>
        <v>17.36703327</v>
      </c>
      <c r="G158">
        <f ca="1">IFERROR(IF(0=LEN(ReferenceData!$G$158),"",ReferenceData!$G$158),"")</f>
        <v>16.995394789999999</v>
      </c>
      <c r="H158">
        <f ca="1">IFERROR(IF(0=LEN(ReferenceData!$H$158),"",ReferenceData!$H$158),"")</f>
        <v>16.945618159999999</v>
      </c>
      <c r="I158">
        <f ca="1">IFERROR(IF(0=LEN(ReferenceData!$I$158),"",ReferenceData!$I$158),"")</f>
        <v>16.749221309999999</v>
      </c>
      <c r="J158">
        <f ca="1">IFERROR(IF(0=LEN(ReferenceData!$J$158),"",ReferenceData!$J$158),"")</f>
        <v>16.466992309999998</v>
      </c>
      <c r="K158">
        <f ca="1">IFERROR(IF(0=LEN(ReferenceData!$K$158),"",ReferenceData!$K$158),"")</f>
        <v>17.88831107</v>
      </c>
      <c r="L158">
        <f ca="1">IFERROR(IF(0=LEN(ReferenceData!$L$158),"",ReferenceData!$L$158),"")</f>
        <v>18.446308729999998</v>
      </c>
      <c r="M158">
        <f ca="1">IFERROR(IF(0=LEN(ReferenceData!$M$158),"",ReferenceData!$M$158),"")</f>
        <v>17.586401110000001</v>
      </c>
      <c r="N158">
        <f ca="1">IFERROR(IF(0=LEN(ReferenceData!$N$158),"",ReferenceData!$N$158),"")</f>
        <v>17.313076410000001</v>
      </c>
      <c r="O158">
        <f ca="1">IFERROR(IF(0=LEN(ReferenceData!$O$158),"",ReferenceData!$O$158),"")</f>
        <v>16.25928983</v>
      </c>
      <c r="P158">
        <f ca="1">IFERROR(IF(0=LEN(ReferenceData!$P$158),"",ReferenceData!$P$158),"")</f>
        <v>16.643536229999999</v>
      </c>
      <c r="Q158">
        <f ca="1">IFERROR(IF(0=LEN(ReferenceData!$Q$158),"",ReferenceData!$Q$158),"")</f>
        <v>19.073308000000001</v>
      </c>
      <c r="R158">
        <f ca="1">IFERROR(IF(0=LEN(ReferenceData!$R$158),"",ReferenceData!$R$158),"")</f>
        <v>18.408229049999999</v>
      </c>
      <c r="S158">
        <f ca="1">IFERROR(IF(0=LEN(ReferenceData!$S$158),"",ReferenceData!$S$158),"")</f>
        <v>16.572479640000001</v>
      </c>
      <c r="T158">
        <f ca="1">IFERROR(IF(0=LEN(ReferenceData!$T$158),"",ReferenceData!$T$158),"")</f>
        <v>18.02264482</v>
      </c>
      <c r="U158">
        <f ca="1">IFERROR(IF(0=LEN(ReferenceData!$U$158),"",ReferenceData!$U$158),"")</f>
        <v>17.276659479999999</v>
      </c>
      <c r="V158">
        <f ca="1">IFERROR(IF(0=LEN(ReferenceData!$V$158),"",ReferenceData!$V$158),"")</f>
        <v>16.221773120000002</v>
      </c>
      <c r="W158">
        <f ca="1">IFERROR(IF(0=LEN(ReferenceData!$W$158),"",ReferenceData!$W$158),"")</f>
        <v>16.749069840000001</v>
      </c>
      <c r="X158">
        <f ca="1">IFERROR(IF(0=LEN(ReferenceData!$X$158),"",ReferenceData!$X$158),"")</f>
        <v>17.670504449999999</v>
      </c>
      <c r="Y158">
        <f ca="1">IFERROR(IF(0=LEN(ReferenceData!$Y$158),"",ReferenceData!$Y$158),"")</f>
        <v>18.49861203</v>
      </c>
      <c r="Z158">
        <f ca="1">IFERROR(IF(0=LEN(ReferenceData!$Z$158),"",ReferenceData!$Z$158),"")</f>
        <v>17.431075910000001</v>
      </c>
      <c r="AA158">
        <f ca="1">IFERROR(IF(0=LEN(ReferenceData!$AA$158),"",ReferenceData!$AA$158),"")</f>
        <v>17.049038670000002</v>
      </c>
      <c r="AB158">
        <f ca="1">IFERROR(IF(0=LEN(ReferenceData!$AB$158),"",ReferenceData!$AB$158),"")</f>
        <v>17.083742390000001</v>
      </c>
      <c r="AC158">
        <f ca="1">IFERROR(IF(0=LEN(ReferenceData!$AC$158),"",ReferenceData!$AC$158),"")</f>
        <v>17.17231752</v>
      </c>
      <c r="AD158">
        <f ca="1">IFERROR(IF(0=LEN(ReferenceData!$AD$158),"",ReferenceData!$AD$158),"")</f>
        <v>15.712982070000001</v>
      </c>
      <c r="AE158">
        <f ca="1">IFERROR(IF(0=LEN(ReferenceData!$AE$158),"",ReferenceData!$AE$158),"")</f>
        <v>14.92819688</v>
      </c>
      <c r="AF158">
        <f ca="1">IFERROR(IF(0=LEN(ReferenceData!$AF$158),"",ReferenceData!$AF$158),"")</f>
        <v>18.785702870000001</v>
      </c>
      <c r="AG158">
        <f ca="1">IFERROR(IF(0=LEN(ReferenceData!$AG$158),"",ReferenceData!$AG$158),"")</f>
        <v>18.745313070000002</v>
      </c>
      <c r="AH158">
        <f ca="1">IFERROR(IF(0=LEN(ReferenceData!$AH$158),"",ReferenceData!$AH$158),"")</f>
        <v>18.404454090000002</v>
      </c>
      <c r="AI158">
        <f ca="1">IFERROR(IF(0=LEN(ReferenceData!$AI$158),"",ReferenceData!$AI$158),"")</f>
        <v>17.619879279999999</v>
      </c>
      <c r="AJ158">
        <f ca="1">IFERROR(IF(0=LEN(ReferenceData!$AJ$158),"",ReferenceData!$AJ$158),"")</f>
        <v>16.202815749999999</v>
      </c>
      <c r="AK158">
        <f ca="1">IFERROR(IF(0=LEN(ReferenceData!$AK$158),"",ReferenceData!$AK$158),"")</f>
        <v>17.934164379999999</v>
      </c>
      <c r="AL158">
        <f ca="1">IFERROR(IF(0=LEN(ReferenceData!$AL$158),"",ReferenceData!$AL$158),"")</f>
        <v>15.573207679999999</v>
      </c>
      <c r="AM158">
        <f ca="1">IFERROR(IF(0=LEN(ReferenceData!$AM$158),"",ReferenceData!$AM$158),"")</f>
        <v>15.15148617</v>
      </c>
      <c r="AN158">
        <f ca="1">IFERROR(IF(0=LEN(ReferenceData!$AN$158),"",ReferenceData!$AN$158),"")</f>
        <v>10.285594550000001</v>
      </c>
      <c r="AO158">
        <f ca="1">IFERROR(IF(0=LEN(ReferenceData!$AO$158),"",ReferenceData!$AO$158),"")</f>
        <v>6.4163356199999999</v>
      </c>
      <c r="AP158">
        <f ca="1">IFERROR(IF(0=LEN(ReferenceData!$AP$158),"",ReferenceData!$AP$158),"")</f>
        <v>9.1969763639999993</v>
      </c>
      <c r="AQ158">
        <f ca="1">IFERROR(IF(0=LEN(ReferenceData!$AQ$158),"",ReferenceData!$AQ$158),"")</f>
        <v>12.5256604</v>
      </c>
      <c r="AR158">
        <f ca="1">IFERROR(IF(0=LEN(ReferenceData!$AR$158),"",ReferenceData!$AR$158),"")</f>
        <v>11.575988479999999</v>
      </c>
      <c r="AS158">
        <f ca="1">IFERROR(IF(0=LEN(ReferenceData!$AS$158),"",ReferenceData!$AS$158),"")</f>
        <v>12.1385018</v>
      </c>
      <c r="AT158">
        <f ca="1">IFERROR(IF(0=LEN(ReferenceData!$AT$158),"",ReferenceData!$AT$158),"")</f>
        <v>12.00003364</v>
      </c>
      <c r="AU158">
        <f ca="1">IFERROR(IF(0=LEN(ReferenceData!$AU$158),"",ReferenceData!$AU$158),"")</f>
        <v>14.17027772</v>
      </c>
      <c r="AV158">
        <f ca="1">IFERROR(IF(0=LEN(ReferenceData!$AV$158),"",ReferenceData!$AV$158),"")</f>
        <v>14.91128632</v>
      </c>
      <c r="AW158">
        <f ca="1">IFERROR(IF(0=LEN(ReferenceData!$AW$158),"",ReferenceData!$AW$158),"")</f>
        <v>17.247847100000001</v>
      </c>
      <c r="AX158">
        <f ca="1">IFERROR(IF(0=LEN(ReferenceData!$AX$158),"",ReferenceData!$AX$158),"")</f>
        <v>17.65059076</v>
      </c>
      <c r="AY158">
        <f ca="1">IFERROR(IF(0=LEN(ReferenceData!$AY$158),"",ReferenceData!$AY$158),"")</f>
        <v>16.758452989999999</v>
      </c>
      <c r="AZ158">
        <f ca="1">IFERROR(IF(0=LEN(ReferenceData!$AZ$158),"",ReferenceData!$AZ$158),"")</f>
        <v>15.469722490000001</v>
      </c>
      <c r="BA158">
        <f ca="1">IFERROR(IF(0=LEN(ReferenceData!$BA$158),"",ReferenceData!$BA$158),"")</f>
        <v>16.442203410000001</v>
      </c>
      <c r="BB158">
        <f ca="1">IFERROR(IF(0=LEN(ReferenceData!$BB$158),"",ReferenceData!$BB$158),"")</f>
        <v>14.7225836</v>
      </c>
      <c r="BC158">
        <f ca="1">IFERROR(IF(0=LEN(ReferenceData!$BC$158),"",ReferenceData!$BC$158),"")</f>
        <v>14.5902178</v>
      </c>
      <c r="BD158">
        <f ca="1">IFERROR(IF(0=LEN(ReferenceData!$BD$158),"",ReferenceData!$BD$158),"")</f>
        <v>14.16960267</v>
      </c>
      <c r="BE158">
        <f ca="1">IFERROR(IF(0=LEN(ReferenceData!$BE$158),"",ReferenceData!$BE$158),"")</f>
        <v>12.62677317</v>
      </c>
      <c r="BF158">
        <f ca="1">IFERROR(IF(0=LEN(ReferenceData!$BF$158),"",ReferenceData!$BF$158),"")</f>
        <v>14.26090756</v>
      </c>
      <c r="BG158">
        <f ca="1">IFERROR(IF(0=LEN(ReferenceData!$BG$158),"",ReferenceData!$BG$158),"")</f>
        <v>12.958855549999999</v>
      </c>
      <c r="BH158">
        <f ca="1">IFERROR(IF(0=LEN(ReferenceData!$BH$158),"",ReferenceData!$BH$158),"")</f>
        <v>12.17153704</v>
      </c>
      <c r="BI158">
        <f ca="1">IFERROR(IF(0=LEN(ReferenceData!$BI$158),"",ReferenceData!$BI$158),"")</f>
        <v>13.340858860000001</v>
      </c>
      <c r="BJ158">
        <f ca="1">IFERROR(IF(0=LEN(ReferenceData!$BJ$158),"",ReferenceData!$BJ$158),"")</f>
        <v>11.734395640000001</v>
      </c>
      <c r="BK158">
        <f ca="1">IFERROR(IF(0=LEN(ReferenceData!$BK$158),"",ReferenceData!$BK$158),"")</f>
        <v>10.94392616</v>
      </c>
      <c r="BL158">
        <f ca="1">IFERROR(IF(0=LEN(ReferenceData!$BL$158),"",ReferenceData!$BL$158),"")</f>
        <v>9.8351544440000005</v>
      </c>
      <c r="BM158">
        <f ca="1">IFERROR(IF(0=LEN(ReferenceData!$BM$158),"",ReferenceData!$BM$158),"")</f>
        <v>8.5428741410000004</v>
      </c>
    </row>
    <row r="159" spans="1:65">
      <c r="A159" t="str">
        <f>IFERROR(IF(0=LEN(ReferenceData!$A$159),"",ReferenceData!$A$159),"")</f>
        <v xml:space="preserve">    房地产投资信托平均债务/资产账面价值</v>
      </c>
      <c r="B159" t="str">
        <f>IFERROR(IF(0=LEN(ReferenceData!$B$159),"",ReferenceData!$B$159),"")</f>
        <v>RECFAVDB Index</v>
      </c>
      <c r="C159" t="str">
        <f>IFERROR(IF(0=LEN(ReferenceData!$C$159),"",ReferenceData!$C$159),"")</f>
        <v>PR005</v>
      </c>
      <c r="D159" t="str">
        <f>IFERROR(IF(0=LEN(ReferenceData!$D$159),"",ReferenceData!$D$159),"")</f>
        <v>PX_LAST</v>
      </c>
      <c r="E159" t="str">
        <f>IFERROR(IF(0=LEN(ReferenceData!$E$159),"",ReferenceData!$E$159),"")</f>
        <v>动态</v>
      </c>
      <c r="F159">
        <f ca="1">IFERROR(IF(0=LEN(ReferenceData!$F$159),"",ReferenceData!$F$159),"")</f>
        <v>47.647199219999997</v>
      </c>
      <c r="G159">
        <f ca="1">IFERROR(IF(0=LEN(ReferenceData!$G$159),"",ReferenceData!$G$159),"")</f>
        <v>48.266497280000003</v>
      </c>
      <c r="H159">
        <f ca="1">IFERROR(IF(0=LEN(ReferenceData!$H$159),"",ReferenceData!$H$159),"")</f>
        <v>48.750863099999997</v>
      </c>
      <c r="I159">
        <f ca="1">IFERROR(IF(0=LEN(ReferenceData!$I$159),"",ReferenceData!$I$159),"")</f>
        <v>48.824124070000003</v>
      </c>
      <c r="J159">
        <f ca="1">IFERROR(IF(0=LEN(ReferenceData!$J$159),"",ReferenceData!$J$159),"")</f>
        <v>48.597206180000001</v>
      </c>
      <c r="K159">
        <f ca="1">IFERROR(IF(0=LEN(ReferenceData!$K$159),"",ReferenceData!$K$159),"")</f>
        <v>49.02106663</v>
      </c>
      <c r="L159">
        <f ca="1">IFERROR(IF(0=LEN(ReferenceData!$L$159),"",ReferenceData!$L$159),"")</f>
        <v>49.708410630000003</v>
      </c>
      <c r="M159">
        <f ca="1">IFERROR(IF(0=LEN(ReferenceData!$M$159),"",ReferenceData!$M$159),"")</f>
        <v>50.334755110000003</v>
      </c>
      <c r="N159">
        <f ca="1">IFERROR(IF(0=LEN(ReferenceData!$N$159),"",ReferenceData!$N$159),"")</f>
        <v>50.639825989999999</v>
      </c>
      <c r="O159">
        <f ca="1">IFERROR(IF(0=LEN(ReferenceData!$O$159),"",ReferenceData!$O$159),"")</f>
        <v>50.760151200000003</v>
      </c>
      <c r="P159">
        <f ca="1">IFERROR(IF(0=LEN(ReferenceData!$P$159),"",ReferenceData!$P$159),"")</f>
        <v>49.945539449999998</v>
      </c>
      <c r="Q159">
        <f ca="1">IFERROR(IF(0=LEN(ReferenceData!$Q$159),"",ReferenceData!$Q$159),"")</f>
        <v>49.810622930000001</v>
      </c>
      <c r="R159">
        <f ca="1">IFERROR(IF(0=LEN(ReferenceData!$R$159),"",ReferenceData!$R$159),"")</f>
        <v>49.717456970000001</v>
      </c>
      <c r="S159">
        <f ca="1">IFERROR(IF(0=LEN(ReferenceData!$S$159),"",ReferenceData!$S$159),"")</f>
        <v>49.676803900000003</v>
      </c>
      <c r="T159">
        <f ca="1">IFERROR(IF(0=LEN(ReferenceData!$T$159),"",ReferenceData!$T$159),"")</f>
        <v>49.545292259999997</v>
      </c>
      <c r="U159">
        <f ca="1">IFERROR(IF(0=LEN(ReferenceData!$U$159),"",ReferenceData!$U$159),"")</f>
        <v>49.799987989999998</v>
      </c>
      <c r="V159">
        <f ca="1">IFERROR(IF(0=LEN(ReferenceData!$V$159),"",ReferenceData!$V$159),"")</f>
        <v>49.480161840000001</v>
      </c>
      <c r="W159">
        <f ca="1">IFERROR(IF(0=LEN(ReferenceData!$W$159),"",ReferenceData!$W$159),"")</f>
        <v>49.363454419999997</v>
      </c>
      <c r="X159">
        <f ca="1">IFERROR(IF(0=LEN(ReferenceData!$X$159),"",ReferenceData!$X$159),"")</f>
        <v>49.088292180000003</v>
      </c>
      <c r="Y159">
        <f ca="1">IFERROR(IF(0=LEN(ReferenceData!$Y$159),"",ReferenceData!$Y$159),"")</f>
        <v>49.673604589999997</v>
      </c>
      <c r="Z159">
        <f ca="1">IFERROR(IF(0=LEN(ReferenceData!$Z$159),"",ReferenceData!$Z$159),"")</f>
        <v>50.539918180000001</v>
      </c>
      <c r="AA159">
        <f ca="1">IFERROR(IF(0=LEN(ReferenceData!$AA$159),"",ReferenceData!$AA$159),"")</f>
        <v>50.355637680000001</v>
      </c>
      <c r="AB159">
        <f ca="1">IFERROR(IF(0=LEN(ReferenceData!$AB$159),"",ReferenceData!$AB$159),"")</f>
        <v>50.729428419999998</v>
      </c>
      <c r="AC159">
        <f ca="1">IFERROR(IF(0=LEN(ReferenceData!$AC$159),"",ReferenceData!$AC$159),"")</f>
        <v>50.786519169999998</v>
      </c>
      <c r="AD159">
        <f ca="1">IFERROR(IF(0=LEN(ReferenceData!$AD$159),"",ReferenceData!$AD$159),"")</f>
        <v>50.936823599999997</v>
      </c>
      <c r="AE159">
        <f ca="1">IFERROR(IF(0=LEN(ReferenceData!$AE$159),"",ReferenceData!$AE$159),"")</f>
        <v>50.610556000000003</v>
      </c>
      <c r="AF159">
        <f ca="1">IFERROR(IF(0=LEN(ReferenceData!$AF$159),"",ReferenceData!$AF$159),"")</f>
        <v>51.000114439999997</v>
      </c>
      <c r="AG159">
        <f ca="1">IFERROR(IF(0=LEN(ReferenceData!$AG$159),"",ReferenceData!$AG$159),"")</f>
        <v>51.620697720000003</v>
      </c>
      <c r="AH159">
        <f ca="1">IFERROR(IF(0=LEN(ReferenceData!$AH$159),"",ReferenceData!$AH$159),"")</f>
        <v>52.085144939999999</v>
      </c>
      <c r="AI159">
        <f ca="1">IFERROR(IF(0=LEN(ReferenceData!$AI$159),"",ReferenceData!$AI$159),"")</f>
        <v>52.553561739999999</v>
      </c>
      <c r="AJ159">
        <f ca="1">IFERROR(IF(0=LEN(ReferenceData!$AJ$159),"",ReferenceData!$AJ$159),"")</f>
        <v>52.649303519999997</v>
      </c>
      <c r="AK159">
        <f ca="1">IFERROR(IF(0=LEN(ReferenceData!$AK$159),"",ReferenceData!$AK$159),"")</f>
        <v>53.63558476</v>
      </c>
      <c r="AL159">
        <f ca="1">IFERROR(IF(0=LEN(ReferenceData!$AL$159),"",ReferenceData!$AL$159),"")</f>
        <v>54.054258269999998</v>
      </c>
      <c r="AM159">
        <f ca="1">IFERROR(IF(0=LEN(ReferenceData!$AM$159),"",ReferenceData!$AM$159),"")</f>
        <v>54.092369959999999</v>
      </c>
      <c r="AN159">
        <f ca="1">IFERROR(IF(0=LEN(ReferenceData!$AN$159),"",ReferenceData!$AN$159),"")</f>
        <v>54.888948460000002</v>
      </c>
      <c r="AO159">
        <f ca="1">IFERROR(IF(0=LEN(ReferenceData!$AO$159),"",ReferenceData!$AO$159),"")</f>
        <v>57.035629669999999</v>
      </c>
      <c r="AP159">
        <f ca="1">IFERROR(IF(0=LEN(ReferenceData!$AP$159),"",ReferenceData!$AP$159),"")</f>
        <v>57.194794940000001</v>
      </c>
      <c r="AQ159">
        <f ca="1">IFERROR(IF(0=LEN(ReferenceData!$AQ$159),"",ReferenceData!$AQ$159),"")</f>
        <v>57.951690030000002</v>
      </c>
      <c r="AR159">
        <f ca="1">IFERROR(IF(0=LEN(ReferenceData!$AR$159),"",ReferenceData!$AR$159),"")</f>
        <v>58.024080959999999</v>
      </c>
      <c r="AS159">
        <f ca="1">IFERROR(IF(0=LEN(ReferenceData!$AS$159),"",ReferenceData!$AS$159),"")</f>
        <v>58.290550580000001</v>
      </c>
      <c r="AT159">
        <f ca="1">IFERROR(IF(0=LEN(ReferenceData!$AT$159),"",ReferenceData!$AT$159),"")</f>
        <v>57.62446285</v>
      </c>
      <c r="AU159">
        <f ca="1">IFERROR(IF(0=LEN(ReferenceData!$AU$159),"",ReferenceData!$AU$159),"")</f>
        <v>57.726910070000002</v>
      </c>
      <c r="AV159">
        <f ca="1">IFERROR(IF(0=LEN(ReferenceData!$AV$159),"",ReferenceData!$AV$159),"")</f>
        <v>56.617830240000004</v>
      </c>
      <c r="AW159">
        <f ca="1">IFERROR(IF(0=LEN(ReferenceData!$AW$159),"",ReferenceData!$AW$159),"")</f>
        <v>56.17194946</v>
      </c>
      <c r="AX159">
        <f ca="1">IFERROR(IF(0=LEN(ReferenceData!$AX$159),"",ReferenceData!$AX$159),"")</f>
        <v>55.681676619999998</v>
      </c>
      <c r="AY159">
        <f ca="1">IFERROR(IF(0=LEN(ReferenceData!$AY$159),"",ReferenceData!$AY$159),"")</f>
        <v>56.196348749999999</v>
      </c>
      <c r="AZ159">
        <f ca="1">IFERROR(IF(0=LEN(ReferenceData!$AZ$159),"",ReferenceData!$AZ$159),"")</f>
        <v>55.951256399999998</v>
      </c>
      <c r="BA159">
        <f ca="1">IFERROR(IF(0=LEN(ReferenceData!$BA$159),"",ReferenceData!$BA$159),"")</f>
        <v>56.240237389999997</v>
      </c>
      <c r="BB159">
        <f ca="1">IFERROR(IF(0=LEN(ReferenceData!$BB$159),"",ReferenceData!$BB$159),"")</f>
        <v>56.766716549999998</v>
      </c>
      <c r="BC159">
        <f ca="1">IFERROR(IF(0=LEN(ReferenceData!$BC$159),"",ReferenceData!$BC$159),"")</f>
        <v>55.956337040000001</v>
      </c>
      <c r="BD159">
        <f ca="1">IFERROR(IF(0=LEN(ReferenceData!$BD$159),"",ReferenceData!$BD$159),"")</f>
        <v>56.350374610000003</v>
      </c>
      <c r="BE159">
        <f ca="1">IFERROR(IF(0=LEN(ReferenceData!$BE$159),"",ReferenceData!$BE$159),"")</f>
        <v>55.766734169999999</v>
      </c>
      <c r="BF159">
        <f ca="1">IFERROR(IF(0=LEN(ReferenceData!$BF$159),"",ReferenceData!$BF$159),"")</f>
        <v>54.95379492</v>
      </c>
      <c r="BG159">
        <f ca="1">IFERROR(IF(0=LEN(ReferenceData!$BG$159),"",ReferenceData!$BG$159),"")</f>
        <v>53.958798399999999</v>
      </c>
      <c r="BH159">
        <f ca="1">IFERROR(IF(0=LEN(ReferenceData!$BH$159),"",ReferenceData!$BH$159),"")</f>
        <v>53.561232169999997</v>
      </c>
      <c r="BI159">
        <f ca="1">IFERROR(IF(0=LEN(ReferenceData!$BI$159),"",ReferenceData!$BI$159),"")</f>
        <v>53.297934689999998</v>
      </c>
      <c r="BJ159">
        <f ca="1">IFERROR(IF(0=LEN(ReferenceData!$BJ$159),"",ReferenceData!$BJ$159),"")</f>
        <v>52.916749170000003</v>
      </c>
      <c r="BK159">
        <f ca="1">IFERROR(IF(0=LEN(ReferenceData!$BK$159),"",ReferenceData!$BK$159),"")</f>
        <v>52.888377130000002</v>
      </c>
      <c r="BL159">
        <f ca="1">IFERROR(IF(0=LEN(ReferenceData!$BL$159),"",ReferenceData!$BL$159),"")</f>
        <v>52.721315799999999</v>
      </c>
      <c r="BM159">
        <f ca="1">IFERROR(IF(0=LEN(ReferenceData!$BM$159),"",ReferenceData!$BM$159),"")</f>
        <v>52.860527619999999</v>
      </c>
    </row>
    <row r="160" spans="1:65">
      <c r="A160" t="str">
        <f>IFERROR(IF(0=LEN(ReferenceData!$A$160),"",ReferenceData!$A$160),"")</f>
        <v xml:space="preserve">    房地产投资信托平均债务/资产市值</v>
      </c>
      <c r="B160" t="str">
        <f>IFERROR(IF(0=LEN(ReferenceData!$B$160),"",ReferenceData!$B$160),"")</f>
        <v>RECFAVDM Index</v>
      </c>
      <c r="C160" t="str">
        <f>IFERROR(IF(0=LEN(ReferenceData!$C$160),"",ReferenceData!$C$160),"")</f>
        <v>PR005</v>
      </c>
      <c r="D160" t="str">
        <f>IFERROR(IF(0=LEN(ReferenceData!$D$160),"",ReferenceData!$D$160),"")</f>
        <v>PX_LAST</v>
      </c>
      <c r="E160" t="str">
        <f>IFERROR(IF(0=LEN(ReferenceData!$E$160),"",ReferenceData!$E$160),"")</f>
        <v>动态</v>
      </c>
      <c r="F160">
        <f ca="1">IFERROR(IF(0=LEN(ReferenceData!$F$160),"",ReferenceData!$F$160),"")</f>
        <v>34.655757780000002</v>
      </c>
      <c r="G160">
        <f ca="1">IFERROR(IF(0=LEN(ReferenceData!$G$160),"",ReferenceData!$G$160),"")</f>
        <v>34.208579640000004</v>
      </c>
      <c r="H160">
        <f ca="1">IFERROR(IF(0=LEN(ReferenceData!$H$160),"",ReferenceData!$H$160),"")</f>
        <v>34.106879059999997</v>
      </c>
      <c r="I160">
        <f ca="1">IFERROR(IF(0=LEN(ReferenceData!$I$160),"",ReferenceData!$I$160),"")</f>
        <v>34.332040790000001</v>
      </c>
      <c r="J160">
        <f ca="1">IFERROR(IF(0=LEN(ReferenceData!$J$160),"",ReferenceData!$J$160),"")</f>
        <v>33.549284069999999</v>
      </c>
      <c r="K160">
        <f ca="1">IFERROR(IF(0=LEN(ReferenceData!$K$160),"",ReferenceData!$K$160),"")</f>
        <v>32.778115880000001</v>
      </c>
      <c r="L160">
        <f ca="1">IFERROR(IF(0=LEN(ReferenceData!$L$160),"",ReferenceData!$L$160),"")</f>
        <v>32.70271821</v>
      </c>
      <c r="M160">
        <f ca="1">IFERROR(IF(0=LEN(ReferenceData!$M$160),"",ReferenceData!$M$160),"")</f>
        <v>34.331386389999999</v>
      </c>
      <c r="N160">
        <f ca="1">IFERROR(IF(0=LEN(ReferenceData!$N$160),"",ReferenceData!$N$160),"")</f>
        <v>35.840894149999997</v>
      </c>
      <c r="O160">
        <f ca="1">IFERROR(IF(0=LEN(ReferenceData!$O$160),"",ReferenceData!$O$160),"")</f>
        <v>38.013658489999997</v>
      </c>
      <c r="P160">
        <f ca="1">IFERROR(IF(0=LEN(ReferenceData!$P$160),"",ReferenceData!$P$160),"")</f>
        <v>37.80987382</v>
      </c>
      <c r="Q160">
        <f ca="1">IFERROR(IF(0=LEN(ReferenceData!$Q$160),"",ReferenceData!$Q$160),"")</f>
        <v>34.582721020000001</v>
      </c>
      <c r="R160">
        <f ca="1">IFERROR(IF(0=LEN(ReferenceData!$R$160),"",ReferenceData!$R$160),"")</f>
        <v>34.770233189999999</v>
      </c>
      <c r="S160">
        <f ca="1">IFERROR(IF(0=LEN(ReferenceData!$S$160),"",ReferenceData!$S$160),"")</f>
        <v>37.113646719999998</v>
      </c>
      <c r="T160">
        <f ca="1">IFERROR(IF(0=LEN(ReferenceData!$T$160),"",ReferenceData!$T$160),"")</f>
        <v>36.49339123</v>
      </c>
      <c r="U160">
        <f ca="1">IFERROR(IF(0=LEN(ReferenceData!$U$160),"",ReferenceData!$U$160),"")</f>
        <v>37.797598549999996</v>
      </c>
      <c r="V160">
        <f ca="1">IFERROR(IF(0=LEN(ReferenceData!$V$160),"",ReferenceData!$V$160),"")</f>
        <v>38.913820350000002</v>
      </c>
      <c r="W160">
        <f ca="1">IFERROR(IF(0=LEN(ReferenceData!$W$160),"",ReferenceData!$W$160),"")</f>
        <v>38.237234770000001</v>
      </c>
      <c r="X160">
        <f ca="1">IFERROR(IF(0=LEN(ReferenceData!$X$160),"",ReferenceData!$X$160),"")</f>
        <v>36.903953190000003</v>
      </c>
      <c r="Y160">
        <f ca="1">IFERROR(IF(0=LEN(ReferenceData!$Y$160),"",ReferenceData!$Y$160),"")</f>
        <v>36.015773580000001</v>
      </c>
      <c r="Z160">
        <f ca="1">IFERROR(IF(0=LEN(ReferenceData!$Z$160),"",ReferenceData!$Z$160),"")</f>
        <v>37.83313004</v>
      </c>
      <c r="AA160">
        <f ca="1">IFERROR(IF(0=LEN(ReferenceData!$AA$160),"",ReferenceData!$AA$160),"")</f>
        <v>39.231069869999999</v>
      </c>
      <c r="AB160">
        <f ca="1">IFERROR(IF(0=LEN(ReferenceData!$AB$160),"",ReferenceData!$AB$160),"")</f>
        <v>39.130094630000002</v>
      </c>
      <c r="AC160">
        <f ca="1">IFERROR(IF(0=LEN(ReferenceData!$AC$160),"",ReferenceData!$AC$160),"")</f>
        <v>39.600176439999998</v>
      </c>
      <c r="AD160">
        <f ca="1">IFERROR(IF(0=LEN(ReferenceData!$AD$160),"",ReferenceData!$AD$160),"")</f>
        <v>41.252090000000003</v>
      </c>
      <c r="AE160">
        <f ca="1">IFERROR(IF(0=LEN(ReferenceData!$AE$160),"",ReferenceData!$AE$160),"")</f>
        <v>44.415818530000003</v>
      </c>
      <c r="AF160">
        <f ca="1">IFERROR(IF(0=LEN(ReferenceData!$AF$160),"",ReferenceData!$AF$160),"")</f>
        <v>41.706406629999996</v>
      </c>
      <c r="AG160">
        <f ca="1">IFERROR(IF(0=LEN(ReferenceData!$AG$160),"",ReferenceData!$AG$160),"")</f>
        <v>41.995996239999997</v>
      </c>
      <c r="AH160">
        <f ca="1">IFERROR(IF(0=LEN(ReferenceData!$AH$160),"",ReferenceData!$AH$160),"")</f>
        <v>43.486804069999998</v>
      </c>
      <c r="AI160">
        <f ca="1">IFERROR(IF(0=LEN(ReferenceData!$AI$160),"",ReferenceData!$AI$160),"")</f>
        <v>43.319173190000001</v>
      </c>
      <c r="AJ160">
        <f ca="1">IFERROR(IF(0=LEN(ReferenceData!$AJ$160),"",ReferenceData!$AJ$160),"")</f>
        <v>45.969305159999998</v>
      </c>
      <c r="AK160">
        <f ca="1">IFERROR(IF(0=LEN(ReferenceData!$AK$160),"",ReferenceData!$AK$160),"")</f>
        <v>45.855866550000002</v>
      </c>
      <c r="AL160">
        <f ca="1">IFERROR(IF(0=LEN(ReferenceData!$AL$160),"",ReferenceData!$AL$160),"")</f>
        <v>48.48325363</v>
      </c>
      <c r="AM160">
        <f ca="1">IFERROR(IF(0=LEN(ReferenceData!$AM$160),"",ReferenceData!$AM$160),"")</f>
        <v>50.936716279999999</v>
      </c>
      <c r="AN160">
        <f ca="1">IFERROR(IF(0=LEN(ReferenceData!$AN$160),"",ReferenceData!$AN$160),"")</f>
        <v>58.767750929999998</v>
      </c>
      <c r="AO160">
        <f ca="1">IFERROR(IF(0=LEN(ReferenceData!$AO$160),"",ReferenceData!$AO$160),"")</f>
        <v>67.324554950000007</v>
      </c>
      <c r="AP160">
        <f ca="1">IFERROR(IF(0=LEN(ReferenceData!$AP$160),"",ReferenceData!$AP$160),"")</f>
        <v>58.628987590000001</v>
      </c>
      <c r="AQ160">
        <f ca="1">IFERROR(IF(0=LEN(ReferenceData!$AQ$160),"",ReferenceData!$AQ$160),"")</f>
        <v>48.561468730000001</v>
      </c>
      <c r="AR160">
        <f ca="1">IFERROR(IF(0=LEN(ReferenceData!$AR$160),"",ReferenceData!$AR$160),"")</f>
        <v>49.91539908</v>
      </c>
      <c r="AS160">
        <f ca="1">IFERROR(IF(0=LEN(ReferenceData!$AS$160),"",ReferenceData!$AS$160),"")</f>
        <v>48.485897819999998</v>
      </c>
      <c r="AT160">
        <f ca="1">IFERROR(IF(0=LEN(ReferenceData!$AT$160),"",ReferenceData!$AT$160),"")</f>
        <v>48.487236760000002</v>
      </c>
      <c r="AU160">
        <f ca="1">IFERROR(IF(0=LEN(ReferenceData!$AU$160),"",ReferenceData!$AU$160),"")</f>
        <v>44.658861049999999</v>
      </c>
      <c r="AV160">
        <f ca="1">IFERROR(IF(0=LEN(ReferenceData!$AV$160),"",ReferenceData!$AV$160),"")</f>
        <v>43.511833860000003</v>
      </c>
      <c r="AW160">
        <f ca="1">IFERROR(IF(0=LEN(ReferenceData!$AW$160),"",ReferenceData!$AW$160),"")</f>
        <v>40.227337329999997</v>
      </c>
      <c r="AX160">
        <f ca="1">IFERROR(IF(0=LEN(ReferenceData!$AX$160),"",ReferenceData!$AX$160),"")</f>
        <v>40.146745770000003</v>
      </c>
      <c r="AY160">
        <f ca="1">IFERROR(IF(0=LEN(ReferenceData!$AY$160),"",ReferenceData!$AY$160),"")</f>
        <v>41.603269840000003</v>
      </c>
      <c r="AZ160">
        <f ca="1">IFERROR(IF(0=LEN(ReferenceData!$AZ$160),"",ReferenceData!$AZ$160),"")</f>
        <v>43.223649080000001</v>
      </c>
      <c r="BA160">
        <f ca="1">IFERROR(IF(0=LEN(ReferenceData!$BA$160),"",ReferenceData!$BA$160),"")</f>
        <v>42.192265579999997</v>
      </c>
      <c r="BB160">
        <f ca="1">IFERROR(IF(0=LEN(ReferenceData!$BB$160),"",ReferenceData!$BB$160),"")</f>
        <v>45.907152019999998</v>
      </c>
      <c r="BC160">
        <f ca="1">IFERROR(IF(0=LEN(ReferenceData!$BC$160),"",ReferenceData!$BC$160),"")</f>
        <v>45.321200709999999</v>
      </c>
      <c r="BD160">
        <f ca="1">IFERROR(IF(0=LEN(ReferenceData!$BD$160),"",ReferenceData!$BD$160),"")</f>
        <v>45.861669120000002</v>
      </c>
      <c r="BE160">
        <f ca="1">IFERROR(IF(0=LEN(ReferenceData!$BE$160),"",ReferenceData!$BE$160),"")</f>
        <v>48.425608580000002</v>
      </c>
      <c r="BF160">
        <f ca="1">IFERROR(IF(0=LEN(ReferenceData!$BF$160),"",ReferenceData!$BF$160),"")</f>
        <v>45.504921969999998</v>
      </c>
      <c r="BG160">
        <f ca="1">IFERROR(IF(0=LEN(ReferenceData!$BG$160),"",ReferenceData!$BG$160),"")</f>
        <v>46.266429469999999</v>
      </c>
      <c r="BH160">
        <f ca="1">IFERROR(IF(0=LEN(ReferenceData!$BH$160),"",ReferenceData!$BH$160),"")</f>
        <v>46.976981510000002</v>
      </c>
      <c r="BI160">
        <f ca="1">IFERROR(IF(0=LEN(ReferenceData!$BI$160),"",ReferenceData!$BI$160),"")</f>
        <v>44.896583309999997</v>
      </c>
      <c r="BJ160">
        <f ca="1">IFERROR(IF(0=LEN(ReferenceData!$BJ$160),"",ReferenceData!$BJ$160),"")</f>
        <v>48.318854930000001</v>
      </c>
      <c r="BK160">
        <f ca="1">IFERROR(IF(0=LEN(ReferenceData!$BK$160),"",ReferenceData!$BK$160),"")</f>
        <v>48.602858480000002</v>
      </c>
      <c r="BL160">
        <f ca="1">IFERROR(IF(0=LEN(ReferenceData!$BL$160),"",ReferenceData!$BL$160),"")</f>
        <v>50.488047100000003</v>
      </c>
      <c r="BM160">
        <f ca="1">IFERROR(IF(0=LEN(ReferenceData!$BM$160),"",ReferenceData!$BM$160),"")</f>
        <v>53.339695669999998</v>
      </c>
    </row>
    <row r="161" spans="1:65">
      <c r="A161" t="str">
        <f>IFERROR(IF(0=LEN(ReferenceData!$A$161),"",ReferenceData!$A$161),"")</f>
        <v xml:space="preserve">    房地产投资信托平均股东权益/总资产</v>
      </c>
      <c r="B161" t="str">
        <f>IFERROR(IF(0=LEN(ReferenceData!$B$161),"",ReferenceData!$B$161),"")</f>
        <v>RECFAVSE Index</v>
      </c>
      <c r="C161" t="str">
        <f>IFERROR(IF(0=LEN(ReferenceData!$C$161),"",ReferenceData!$C$161),"")</f>
        <v>PR005</v>
      </c>
      <c r="D161" t="str">
        <f>IFERROR(IF(0=LEN(ReferenceData!$D$161),"",ReferenceData!$D$161),"")</f>
        <v>PX_LAST</v>
      </c>
      <c r="E161" t="str">
        <f>IFERROR(IF(0=LEN(ReferenceData!$E$161),"",ReferenceData!$E$161),"")</f>
        <v>动态</v>
      </c>
      <c r="F161">
        <f ca="1">IFERROR(IF(0=LEN(ReferenceData!$F$161),"",ReferenceData!$F$161),"")</f>
        <v>45.320500109999998</v>
      </c>
      <c r="G161">
        <f ca="1">IFERROR(IF(0=LEN(ReferenceData!$G$161),"",ReferenceData!$G$161),"")</f>
        <v>44.68289068</v>
      </c>
      <c r="H161">
        <f ca="1">IFERROR(IF(0=LEN(ReferenceData!$H$161),"",ReferenceData!$H$161),"")</f>
        <v>44.293031079999999</v>
      </c>
      <c r="I161">
        <f ca="1">IFERROR(IF(0=LEN(ReferenceData!$I$161),"",ReferenceData!$I$161),"")</f>
        <v>44.295990490000001</v>
      </c>
      <c r="J161">
        <f ca="1">IFERROR(IF(0=LEN(ReferenceData!$J$161),"",ReferenceData!$J$161),"")</f>
        <v>44.348303919999999</v>
      </c>
      <c r="K161">
        <f ca="1">IFERROR(IF(0=LEN(ReferenceData!$K$161),"",ReferenceData!$K$161),"")</f>
        <v>43.744949339999998</v>
      </c>
      <c r="L161">
        <f ca="1">IFERROR(IF(0=LEN(ReferenceData!$L$161),"",ReferenceData!$L$161),"")</f>
        <v>43.315187790000003</v>
      </c>
      <c r="M161">
        <f ca="1">IFERROR(IF(0=LEN(ReferenceData!$M$161),"",ReferenceData!$M$161),"")</f>
        <v>43.07188858</v>
      </c>
      <c r="N161">
        <f ca="1">IFERROR(IF(0=LEN(ReferenceData!$N$161),"",ReferenceData!$N$161),"")</f>
        <v>42.658425889999997</v>
      </c>
      <c r="O161">
        <f ca="1">IFERROR(IF(0=LEN(ReferenceData!$O$161),"",ReferenceData!$O$161),"")</f>
        <v>42.612999010000003</v>
      </c>
      <c r="P161">
        <f ca="1">IFERROR(IF(0=LEN(ReferenceData!$P$161),"",ReferenceData!$P$161),"")</f>
        <v>43.669004839999999</v>
      </c>
      <c r="Q161">
        <f ca="1">IFERROR(IF(0=LEN(ReferenceData!$Q$161),"",ReferenceData!$Q$161),"")</f>
        <v>43.679568310000001</v>
      </c>
      <c r="R161">
        <f ca="1">IFERROR(IF(0=LEN(ReferenceData!$R$161),"",ReferenceData!$R$161),"")</f>
        <v>43.596190530000001</v>
      </c>
      <c r="S161">
        <f ca="1">IFERROR(IF(0=LEN(ReferenceData!$S$161),"",ReferenceData!$S$161),"")</f>
        <v>43.845915429999998</v>
      </c>
      <c r="T161">
        <f ca="1">IFERROR(IF(0=LEN(ReferenceData!$T$161),"",ReferenceData!$T$161),"")</f>
        <v>44.031150369999999</v>
      </c>
      <c r="U161">
        <f ca="1">IFERROR(IF(0=LEN(ReferenceData!$U$161),"",ReferenceData!$U$161),"")</f>
        <v>43.823784359999998</v>
      </c>
      <c r="V161">
        <f ca="1">IFERROR(IF(0=LEN(ReferenceData!$V$161),"",ReferenceData!$V$161),"")</f>
        <v>43.936052590000003</v>
      </c>
      <c r="W161">
        <f ca="1">IFERROR(IF(0=LEN(ReferenceData!$W$161),"",ReferenceData!$W$161),"")</f>
        <v>43.983902999999998</v>
      </c>
      <c r="X161">
        <f ca="1">IFERROR(IF(0=LEN(ReferenceData!$X$161),"",ReferenceData!$X$161),"")</f>
        <v>44.354161740000002</v>
      </c>
      <c r="Y161">
        <f ca="1">IFERROR(IF(0=LEN(ReferenceData!$Y$161),"",ReferenceData!$Y$161),"")</f>
        <v>43.617926400000002</v>
      </c>
      <c r="Z161">
        <f ca="1">IFERROR(IF(0=LEN(ReferenceData!$Z$161),"",ReferenceData!$Z$161),"")</f>
        <v>42.303645580000001</v>
      </c>
      <c r="AA161">
        <f ca="1">IFERROR(IF(0=LEN(ReferenceData!$AA$161),"",ReferenceData!$AA$161),"")</f>
        <v>42.434289790000001</v>
      </c>
      <c r="AB161">
        <f ca="1">IFERROR(IF(0=LEN(ReferenceData!$AB$161),"",ReferenceData!$AB$161),"")</f>
        <v>42.174114350000004</v>
      </c>
      <c r="AC161">
        <f ca="1">IFERROR(IF(0=LEN(ReferenceData!$AC$161),"",ReferenceData!$AC$161),"")</f>
        <v>42.066085129999998</v>
      </c>
      <c r="AD161">
        <f ca="1">IFERROR(IF(0=LEN(ReferenceData!$AD$161),"",ReferenceData!$AD$161),"")</f>
        <v>41.893260320000003</v>
      </c>
      <c r="AE161">
        <f ca="1">IFERROR(IF(0=LEN(ReferenceData!$AE$161),"",ReferenceData!$AE$161),"")</f>
        <v>42.382332939999998</v>
      </c>
      <c r="AF161">
        <f ca="1">IFERROR(IF(0=LEN(ReferenceData!$AF$161),"",ReferenceData!$AF$161),"")</f>
        <v>42.001058700000002</v>
      </c>
      <c r="AG161">
        <f ca="1">IFERROR(IF(0=LEN(ReferenceData!$AG$161),"",ReferenceData!$AG$161),"")</f>
        <v>41.448799749999999</v>
      </c>
      <c r="AH161">
        <f ca="1">IFERROR(IF(0=LEN(ReferenceData!$AH$161),"",ReferenceData!$AH$161),"")</f>
        <v>40.724347330000001</v>
      </c>
      <c r="AI161">
        <f ca="1">IFERROR(IF(0=LEN(ReferenceData!$AI$161),"",ReferenceData!$AI$161),"")</f>
        <v>41.012184759999997</v>
      </c>
      <c r="AJ161">
        <f ca="1">IFERROR(IF(0=LEN(ReferenceData!$AJ$161),"",ReferenceData!$AJ$161),"")</f>
        <v>41.157108360000002</v>
      </c>
      <c r="AK161">
        <f ca="1">IFERROR(IF(0=LEN(ReferenceData!$AK$161),"",ReferenceData!$AK$161),"")</f>
        <v>40.111571849999997</v>
      </c>
      <c r="AL161">
        <f ca="1">IFERROR(IF(0=LEN(ReferenceData!$AL$161),"",ReferenceData!$AL$161),"")</f>
        <v>39.635638849999999</v>
      </c>
      <c r="AM161">
        <f ca="1">IFERROR(IF(0=LEN(ReferenceData!$AM$161),"",ReferenceData!$AM$161),"")</f>
        <v>39.374066380000002</v>
      </c>
      <c r="AN161">
        <f ca="1">IFERROR(IF(0=LEN(ReferenceData!$AN$161),"",ReferenceData!$AN$161),"")</f>
        <v>38.812678490000003</v>
      </c>
      <c r="AO161">
        <f ca="1">IFERROR(IF(0=LEN(ReferenceData!$AO$161),"",ReferenceData!$AO$161),"")</f>
        <v>36.457668910000002</v>
      </c>
      <c r="AP161">
        <f ca="1">IFERROR(IF(0=LEN(ReferenceData!$AP$161),"",ReferenceData!$AP$161),"")</f>
        <v>35.645149889999999</v>
      </c>
      <c r="AQ161">
        <f ca="1">IFERROR(IF(0=LEN(ReferenceData!$AQ$161),"",ReferenceData!$AQ$161),"")</f>
        <v>32.889830490000001</v>
      </c>
      <c r="AR161">
        <f ca="1">IFERROR(IF(0=LEN(ReferenceData!$AR$161),"",ReferenceData!$AR$161),"")</f>
        <v>32.83339805</v>
      </c>
      <c r="AS161">
        <f ca="1">IFERROR(IF(0=LEN(ReferenceData!$AS$161),"",ReferenceData!$AS$161),"")</f>
        <v>32.356248899999997</v>
      </c>
      <c r="AT161">
        <f ca="1">IFERROR(IF(0=LEN(ReferenceData!$AT$161),"",ReferenceData!$AT$161),"")</f>
        <v>32.473224160000001</v>
      </c>
      <c r="AU161">
        <f ca="1">IFERROR(IF(0=LEN(ReferenceData!$AU$161),"",ReferenceData!$AU$161),"")</f>
        <v>32.344278799999998</v>
      </c>
      <c r="AV161">
        <f ca="1">IFERROR(IF(0=LEN(ReferenceData!$AV$161),"",ReferenceData!$AV$161),"")</f>
        <v>33.706802379999999</v>
      </c>
      <c r="AW161">
        <f ca="1">IFERROR(IF(0=LEN(ReferenceData!$AW$161),"",ReferenceData!$AW$161),"")</f>
        <v>34.194318490000001</v>
      </c>
      <c r="AX161">
        <f ca="1">IFERROR(IF(0=LEN(ReferenceData!$AX$161),"",ReferenceData!$AX$161),"")</f>
        <v>33.852177500000003</v>
      </c>
      <c r="AY161">
        <f ca="1">IFERROR(IF(0=LEN(ReferenceData!$AY$161),"",ReferenceData!$AY$161),"")</f>
        <v>33.676022109999998</v>
      </c>
      <c r="AZ161">
        <f ca="1">IFERROR(IF(0=LEN(ReferenceData!$AZ$161),"",ReferenceData!$AZ$161),"")</f>
        <v>34.052605810000003</v>
      </c>
      <c r="BA161">
        <f ca="1">IFERROR(IF(0=LEN(ReferenceData!$BA$161),"",ReferenceData!$BA$161),"")</f>
        <v>33.859554490000001</v>
      </c>
      <c r="BB161">
        <f ca="1">IFERROR(IF(0=LEN(ReferenceData!$BB$161),"",ReferenceData!$BB$161),"")</f>
        <v>33.722709780000002</v>
      </c>
      <c r="BC161">
        <f ca="1">IFERROR(IF(0=LEN(ReferenceData!$BC$161),"",ReferenceData!$BC$161),"")</f>
        <v>34.233056789999999</v>
      </c>
      <c r="BD161">
        <f ca="1">IFERROR(IF(0=LEN(ReferenceData!$BD$161),"",ReferenceData!$BD$161),"")</f>
        <v>33.969678600000002</v>
      </c>
      <c r="BE161">
        <f ca="1">IFERROR(IF(0=LEN(ReferenceData!$BE$161),"",ReferenceData!$BE$161),"")</f>
        <v>34.529879090000001</v>
      </c>
      <c r="BF161">
        <f ca="1">IFERROR(IF(0=LEN(ReferenceData!$BF$161),"",ReferenceData!$BF$161),"")</f>
        <v>34.775698560000002</v>
      </c>
      <c r="BG161">
        <f ca="1">IFERROR(IF(0=LEN(ReferenceData!$BG$161),"",ReferenceData!$BG$161),"")</f>
        <v>36.239233939999998</v>
      </c>
      <c r="BH161">
        <f ca="1">IFERROR(IF(0=LEN(ReferenceData!$BH$161),"",ReferenceData!$BH$161),"")</f>
        <v>36.564943739999997</v>
      </c>
      <c r="BI161">
        <f ca="1">IFERROR(IF(0=LEN(ReferenceData!$BI$161),"",ReferenceData!$BI$161),"")</f>
        <v>36.817086580000002</v>
      </c>
      <c r="BJ161">
        <f ca="1">IFERROR(IF(0=LEN(ReferenceData!$BJ$161),"",ReferenceData!$BJ$161),"")</f>
        <v>36.687800629999998</v>
      </c>
      <c r="BK161">
        <f ca="1">IFERROR(IF(0=LEN(ReferenceData!$BK$161),"",ReferenceData!$BK$161),"")</f>
        <v>36.641863790000002</v>
      </c>
      <c r="BL161">
        <f ca="1">IFERROR(IF(0=LEN(ReferenceData!$BL$161),"",ReferenceData!$BL$161),"")</f>
        <v>36.544340579999997</v>
      </c>
      <c r="BM161">
        <f ca="1">IFERROR(IF(0=LEN(ReferenceData!$BM$161),"",ReferenceData!$BM$161),"")</f>
        <v>36.498794799999999</v>
      </c>
    </row>
    <row r="162" spans="1:65">
      <c r="A162" t="str">
        <f>IFERROR(IF(0=LEN(ReferenceData!$A$162),"",ReferenceData!$A$162),"")</f>
        <v xml:space="preserve">    房地产投资信托平均利息支出/净营业利润</v>
      </c>
      <c r="B162" t="str">
        <f>IFERROR(IF(0=LEN(ReferenceData!$B$162),"",ReferenceData!$B$162),"")</f>
        <v>RECFAVIE Index</v>
      </c>
      <c r="C162" t="str">
        <f>IFERROR(IF(0=LEN(ReferenceData!$C$162),"",ReferenceData!$C$162),"")</f>
        <v>PR005</v>
      </c>
      <c r="D162" t="str">
        <f>IFERROR(IF(0=LEN(ReferenceData!$D$162),"",ReferenceData!$D$162),"")</f>
        <v>PX_LAST</v>
      </c>
      <c r="E162" t="str">
        <f>IFERROR(IF(0=LEN(ReferenceData!$E$162),"",ReferenceData!$E$162),"")</f>
        <v>动态</v>
      </c>
      <c r="F162">
        <f ca="1">IFERROR(IF(0=LEN(ReferenceData!$F$162),"",ReferenceData!$F$162),"")</f>
        <v>22.314364770000001</v>
      </c>
      <c r="G162">
        <f ca="1">IFERROR(IF(0=LEN(ReferenceData!$G$162),"",ReferenceData!$G$162),"")</f>
        <v>22.102477489999998</v>
      </c>
      <c r="H162">
        <f ca="1">IFERROR(IF(0=LEN(ReferenceData!$H$162),"",ReferenceData!$H$162),"")</f>
        <v>21.718263069999999</v>
      </c>
      <c r="I162">
        <f ca="1">IFERROR(IF(0=LEN(ReferenceData!$I$162),"",ReferenceData!$I$162),"")</f>
        <v>22.28119482</v>
      </c>
      <c r="J162">
        <f ca="1">IFERROR(IF(0=LEN(ReferenceData!$J$162),"",ReferenceData!$J$162),"")</f>
        <v>21.84945226</v>
      </c>
      <c r="K162">
        <f ca="1">IFERROR(IF(0=LEN(ReferenceData!$K$162),"",ReferenceData!$K$162),"")</f>
        <v>22.47328392</v>
      </c>
      <c r="L162">
        <f ca="1">IFERROR(IF(0=LEN(ReferenceData!$L$162),"",ReferenceData!$L$162),"")</f>
        <v>22.51891595</v>
      </c>
      <c r="M162">
        <f ca="1">IFERROR(IF(0=LEN(ReferenceData!$M$162),"",ReferenceData!$M$162),"")</f>
        <v>23.562811310000001</v>
      </c>
      <c r="N162">
        <f ca="1">IFERROR(IF(0=LEN(ReferenceData!$N$162),"",ReferenceData!$N$162),"")</f>
        <v>23.306762689999999</v>
      </c>
      <c r="O162">
        <f ca="1">IFERROR(IF(0=LEN(ReferenceData!$O$162),"",ReferenceData!$O$162),"")</f>
        <v>23.260958240000001</v>
      </c>
      <c r="P162">
        <f ca="1">IFERROR(IF(0=LEN(ReferenceData!$P$162),"",ReferenceData!$P$162),"")</f>
        <v>23.347598739999999</v>
      </c>
      <c r="Q162">
        <f ca="1">IFERROR(IF(0=LEN(ReferenceData!$Q$162),"",ReferenceData!$Q$162),"")</f>
        <v>24.450313560000001</v>
      </c>
      <c r="R162">
        <f ca="1">IFERROR(IF(0=LEN(ReferenceData!$R$162),"",ReferenceData!$R$162),"")</f>
        <v>24.757141220000001</v>
      </c>
      <c r="S162">
        <f ca="1">IFERROR(IF(0=LEN(ReferenceData!$S$162),"",ReferenceData!$S$162),"")</f>
        <v>25.03959682</v>
      </c>
      <c r="T162">
        <f ca="1">IFERROR(IF(0=LEN(ReferenceData!$T$162),"",ReferenceData!$T$162),"")</f>
        <v>25.089153379999999</v>
      </c>
      <c r="U162">
        <f ca="1">IFERROR(IF(0=LEN(ReferenceData!$U$162),"",ReferenceData!$U$162),"")</f>
        <v>26.57515166</v>
      </c>
      <c r="V162">
        <f ca="1">IFERROR(IF(0=LEN(ReferenceData!$V$162),"",ReferenceData!$V$162),"")</f>
        <v>26.493303340000001</v>
      </c>
      <c r="W162">
        <f ca="1">IFERROR(IF(0=LEN(ReferenceData!$W$162),"",ReferenceData!$W$162),"")</f>
        <v>27.197547459999999</v>
      </c>
      <c r="X162">
        <f ca="1">IFERROR(IF(0=LEN(ReferenceData!$X$162),"",ReferenceData!$X$162),"")</f>
        <v>27.172257999999999</v>
      </c>
      <c r="Y162">
        <f ca="1">IFERROR(IF(0=LEN(ReferenceData!$Y$162),"",ReferenceData!$Y$162),"")</f>
        <v>28.977971709999998</v>
      </c>
      <c r="Z162">
        <f ca="1">IFERROR(IF(0=LEN(ReferenceData!$Z$162),"",ReferenceData!$Z$162),"")</f>
        <v>28.797911719999998</v>
      </c>
      <c r="AA162">
        <f ca="1">IFERROR(IF(0=LEN(ReferenceData!$AA$162),"",ReferenceData!$AA$162),"")</f>
        <v>30.487516360000001</v>
      </c>
      <c r="AB162">
        <f ca="1">IFERROR(IF(0=LEN(ReferenceData!$AB$162),"",ReferenceData!$AB$162),"")</f>
        <v>30.52137072</v>
      </c>
      <c r="AC162">
        <f ca="1">IFERROR(IF(0=LEN(ReferenceData!$AC$162),"",ReferenceData!$AC$162),"")</f>
        <v>32.596671389999997</v>
      </c>
      <c r="AD162">
        <f ca="1">IFERROR(IF(0=LEN(ReferenceData!$AD$162),"",ReferenceData!$AD$162),"")</f>
        <v>32.02324548</v>
      </c>
      <c r="AE162">
        <f ca="1">IFERROR(IF(0=LEN(ReferenceData!$AE$162),"",ReferenceData!$AE$162),"")</f>
        <v>33.315421120000003</v>
      </c>
      <c r="AF162">
        <f ca="1">IFERROR(IF(0=LEN(ReferenceData!$AF$162),"",ReferenceData!$AF$162),"")</f>
        <v>34.742045009999998</v>
      </c>
      <c r="AG162">
        <f ca="1">IFERROR(IF(0=LEN(ReferenceData!$AG$162),"",ReferenceData!$AG$162),"")</f>
        <v>35.60844453</v>
      </c>
      <c r="AH162">
        <f ca="1">IFERROR(IF(0=LEN(ReferenceData!$AH$162),"",ReferenceData!$AH$162),"")</f>
        <v>35.377670709999997</v>
      </c>
      <c r="AI162">
        <f ca="1">IFERROR(IF(0=LEN(ReferenceData!$AI$162),"",ReferenceData!$AI$162),"")</f>
        <v>35.967934630000002</v>
      </c>
      <c r="AJ162">
        <f ca="1">IFERROR(IF(0=LEN(ReferenceData!$AJ$162),"",ReferenceData!$AJ$162),"")</f>
        <v>36.282125440000002</v>
      </c>
      <c r="AK162">
        <f ca="1">IFERROR(IF(0=LEN(ReferenceData!$AK$162),"",ReferenceData!$AK$162),"")</f>
        <v>37.53053439</v>
      </c>
      <c r="AL162">
        <f ca="1">IFERROR(IF(0=LEN(ReferenceData!$AL$162),"",ReferenceData!$AL$162),"")</f>
        <v>37.097671329999997</v>
      </c>
      <c r="AM162">
        <f ca="1">IFERROR(IF(0=LEN(ReferenceData!$AM$162),"",ReferenceData!$AM$162),"")</f>
        <v>37.168984639999998</v>
      </c>
      <c r="AN162">
        <f ca="1">IFERROR(IF(0=LEN(ReferenceData!$AN$162),"",ReferenceData!$AN$162),"")</f>
        <v>35.711876930000003</v>
      </c>
      <c r="AO162">
        <f ca="1">IFERROR(IF(0=LEN(ReferenceData!$AO$162),"",ReferenceData!$AO$162),"")</f>
        <v>34.994917649999998</v>
      </c>
      <c r="AP162">
        <f ca="1">IFERROR(IF(0=LEN(ReferenceData!$AP$162),"",ReferenceData!$AP$162),"")</f>
        <v>35.382855380000002</v>
      </c>
      <c r="AQ162">
        <f ca="1">IFERROR(IF(0=LEN(ReferenceData!$AQ$162),"",ReferenceData!$AQ$162),"")</f>
        <v>36.276796439999998</v>
      </c>
      <c r="AR162">
        <f ca="1">IFERROR(IF(0=LEN(ReferenceData!$AR$162),"",ReferenceData!$AR$162),"")</f>
        <v>34.399211090000001</v>
      </c>
      <c r="AS162">
        <f ca="1">IFERROR(IF(0=LEN(ReferenceData!$AS$162),"",ReferenceData!$AS$162),"")</f>
        <v>36.287781010000003</v>
      </c>
      <c r="AT162">
        <f ca="1">IFERROR(IF(0=LEN(ReferenceData!$AT$162),"",ReferenceData!$AT$162),"")</f>
        <v>37.96149861</v>
      </c>
      <c r="AU162">
        <f ca="1">IFERROR(IF(0=LEN(ReferenceData!$AU$162),"",ReferenceData!$AU$162),"")</f>
        <v>35.970861409999998</v>
      </c>
      <c r="AV162">
        <f ca="1">IFERROR(IF(0=LEN(ReferenceData!$AV$162),"",ReferenceData!$AV$162),"")</f>
        <v>35.640555499999998</v>
      </c>
      <c r="AW162">
        <f ca="1">IFERROR(IF(0=LEN(ReferenceData!$AW$162),"",ReferenceData!$AW$162),"")</f>
        <v>36.075712469999999</v>
      </c>
      <c r="AX162">
        <f ca="1">IFERROR(IF(0=LEN(ReferenceData!$AX$162),"",ReferenceData!$AX$162),"")</f>
        <v>35.596542419999999</v>
      </c>
      <c r="AY162">
        <f ca="1">IFERROR(IF(0=LEN(ReferenceData!$AY$162),"",ReferenceData!$AY$162),"")</f>
        <v>36.708336709999998</v>
      </c>
      <c r="AZ162">
        <f ca="1">IFERROR(IF(0=LEN(ReferenceData!$AZ$162),"",ReferenceData!$AZ$162),"")</f>
        <v>35.623503620000001</v>
      </c>
      <c r="BA162">
        <f ca="1">IFERROR(IF(0=LEN(ReferenceData!$BA$162),"",ReferenceData!$BA$162),"")</f>
        <v>36.497385620000003</v>
      </c>
      <c r="BB162">
        <f ca="1">IFERROR(IF(0=LEN(ReferenceData!$BB$162),"",ReferenceData!$BB$162),"")</f>
        <v>36.897670679999997</v>
      </c>
      <c r="BC162">
        <f ca="1">IFERROR(IF(0=LEN(ReferenceData!$BC$162),"",ReferenceData!$BC$162),"")</f>
        <v>38.263094840000001</v>
      </c>
      <c r="BD162">
        <f ca="1">IFERROR(IF(0=LEN(ReferenceData!$BD$162),"",ReferenceData!$BD$162),"")</f>
        <v>36.546237140000002</v>
      </c>
      <c r="BE162">
        <f ca="1">IFERROR(IF(0=LEN(ReferenceData!$BE$162),"",ReferenceData!$BE$162),"")</f>
        <v>36.212245039999999</v>
      </c>
      <c r="BF162">
        <f ca="1">IFERROR(IF(0=LEN(ReferenceData!$BF$162),"",ReferenceData!$BF$162),"")</f>
        <v>35.307507319999999</v>
      </c>
      <c r="BG162">
        <f ca="1">IFERROR(IF(0=LEN(ReferenceData!$BG$162),"",ReferenceData!$BG$162),"")</f>
        <v>35.202555570000001</v>
      </c>
      <c r="BH162">
        <f ca="1">IFERROR(IF(0=LEN(ReferenceData!$BH$162),"",ReferenceData!$BH$162),"")</f>
        <v>34.20683914</v>
      </c>
      <c r="BI162">
        <f ca="1">IFERROR(IF(0=LEN(ReferenceData!$BI$162),"",ReferenceData!$BI$162),"")</f>
        <v>34.4230953</v>
      </c>
      <c r="BJ162">
        <f ca="1">IFERROR(IF(0=LEN(ReferenceData!$BJ$162),"",ReferenceData!$BJ$162),"")</f>
        <v>34.948678350000002</v>
      </c>
      <c r="BK162">
        <f ca="1">IFERROR(IF(0=LEN(ReferenceData!$BK$162),"",ReferenceData!$BK$162),"")</f>
        <v>35.182524780000001</v>
      </c>
      <c r="BL162">
        <f ca="1">IFERROR(IF(0=LEN(ReferenceData!$BL$162),"",ReferenceData!$BL$162),"")</f>
        <v>35.125059800000002</v>
      </c>
      <c r="BM162">
        <f ca="1">IFERROR(IF(0=LEN(ReferenceData!$BM$162),"",ReferenceData!$BM$162),"")</f>
        <v>35.518457560000002</v>
      </c>
    </row>
    <row r="163" spans="1:65">
      <c r="A163" t="str">
        <f>IFERROR(IF(0=LEN(ReferenceData!$A$163),"",ReferenceData!$A$163),"")</f>
        <v xml:space="preserve">    房地产投资信托长期债务利息加权平均</v>
      </c>
      <c r="B163" t="str">
        <f>IFERROR(IF(0=LEN(ReferenceData!$B$163),"",ReferenceData!$B$163),"")</f>
        <v>RECFWALD Index</v>
      </c>
      <c r="C163" t="str">
        <f>IFERROR(IF(0=LEN(ReferenceData!$C$163),"",ReferenceData!$C$163),"")</f>
        <v>PR005</v>
      </c>
      <c r="D163" t="str">
        <f>IFERROR(IF(0=LEN(ReferenceData!$D$163),"",ReferenceData!$D$163),"")</f>
        <v>PX_LAST</v>
      </c>
      <c r="E163" t="str">
        <f>IFERROR(IF(0=LEN(ReferenceData!$E$163),"",ReferenceData!$E$163),"")</f>
        <v>动态</v>
      </c>
      <c r="F163">
        <f ca="1">IFERROR(IF(0=LEN(ReferenceData!$F$163),"",ReferenceData!$F$163),"")</f>
        <v>4.0504088390000001</v>
      </c>
      <c r="G163">
        <f ca="1">IFERROR(IF(0=LEN(ReferenceData!$G$163),"",ReferenceData!$G$163),"")</f>
        <v>4.1153475540000004</v>
      </c>
      <c r="H163">
        <f ca="1">IFERROR(IF(0=LEN(ReferenceData!$H$163),"",ReferenceData!$H$163),"")</f>
        <v>4.1565821869999997</v>
      </c>
      <c r="I163">
        <f ca="1">IFERROR(IF(0=LEN(ReferenceData!$I$163),"",ReferenceData!$I$163),"")</f>
        <v>4.220321684</v>
      </c>
      <c r="J163">
        <f ca="1">IFERROR(IF(0=LEN(ReferenceData!$J$163),"",ReferenceData!$J$163),"")</f>
        <v>4.2659653710000001</v>
      </c>
      <c r="K163">
        <f ca="1">IFERROR(IF(0=LEN(ReferenceData!$K$163),"",ReferenceData!$K$163),"")</f>
        <v>4.3256488690000001</v>
      </c>
      <c r="L163">
        <f ca="1">IFERROR(IF(0=LEN(ReferenceData!$L$163),"",ReferenceData!$L$163),"")</f>
        <v>4.415489043</v>
      </c>
      <c r="M163">
        <f ca="1">IFERROR(IF(0=LEN(ReferenceData!$M$163),"",ReferenceData!$M$163),"")</f>
        <v>4.4500511449999998</v>
      </c>
      <c r="N163">
        <f ca="1">IFERROR(IF(0=LEN(ReferenceData!$N$163),"",ReferenceData!$N$163),"")</f>
        <v>4.5374672350000003</v>
      </c>
      <c r="O163">
        <f ca="1">IFERROR(IF(0=LEN(ReferenceData!$O$163),"",ReferenceData!$O$163),"")</f>
        <v>4.5927433759999996</v>
      </c>
      <c r="P163">
        <f ca="1">IFERROR(IF(0=LEN(ReferenceData!$P$163),"",ReferenceData!$P$163),"")</f>
        <v>4.6564777419999999</v>
      </c>
      <c r="Q163">
        <f ca="1">IFERROR(IF(0=LEN(ReferenceData!$Q$163),"",ReferenceData!$Q$163),"")</f>
        <v>4.6836843950000002</v>
      </c>
      <c r="R163">
        <f ca="1">IFERROR(IF(0=LEN(ReferenceData!$R$163),"",ReferenceData!$R$163),"")</f>
        <v>4.6951106749999996</v>
      </c>
      <c r="S163">
        <f ca="1">IFERROR(IF(0=LEN(ReferenceData!$S$163),"",ReferenceData!$S$163),"")</f>
        <v>4.7948112690000002</v>
      </c>
      <c r="T163">
        <f ca="1">IFERROR(IF(0=LEN(ReferenceData!$T$163),"",ReferenceData!$T$163),"")</f>
        <v>4.8277061520000002</v>
      </c>
      <c r="U163">
        <f ca="1">IFERROR(IF(0=LEN(ReferenceData!$U$163),"",ReferenceData!$U$163),"")</f>
        <v>4.8766068489999999</v>
      </c>
      <c r="V163">
        <f ca="1">IFERROR(IF(0=LEN(ReferenceData!$V$163),"",ReferenceData!$V$163),"")</f>
        <v>4.9526538520000001</v>
      </c>
      <c r="W163">
        <f ca="1">IFERROR(IF(0=LEN(ReferenceData!$W$163),"",ReferenceData!$W$163),"")</f>
        <v>4.9968746770000001</v>
      </c>
      <c r="X163">
        <f ca="1">IFERROR(IF(0=LEN(ReferenceData!$X$163),"",ReferenceData!$X$163),"")</f>
        <v>5.077981844</v>
      </c>
      <c r="Y163">
        <f ca="1">IFERROR(IF(0=LEN(ReferenceData!$Y$163),"",ReferenceData!$Y$163),"")</f>
        <v>5.2317353820000001</v>
      </c>
      <c r="Z163">
        <f ca="1">IFERROR(IF(0=LEN(ReferenceData!$Z$163),"",ReferenceData!$Z$163),"")</f>
        <v>5.330618748</v>
      </c>
      <c r="AA163">
        <f ca="1">IFERROR(IF(0=LEN(ReferenceData!$AA$163),"",ReferenceData!$AA$163),"")</f>
        <v>5.4581678379999996</v>
      </c>
      <c r="AB163">
        <f ca="1">IFERROR(IF(0=LEN(ReferenceData!$AB$163),"",ReferenceData!$AB$163),"")</f>
        <v>5.5539753230000004</v>
      </c>
      <c r="AC163">
        <f ca="1">IFERROR(IF(0=LEN(ReferenceData!$AC$163),"",ReferenceData!$AC$163),"")</f>
        <v>5.5676173279999999</v>
      </c>
      <c r="AD163">
        <f ca="1">IFERROR(IF(0=LEN(ReferenceData!$AD$163),"",ReferenceData!$AD$163),"")</f>
        <v>5.6954413610000003</v>
      </c>
      <c r="AE163">
        <f ca="1">IFERROR(IF(0=LEN(ReferenceData!$AE$163),"",ReferenceData!$AE$163),"")</f>
        <v>5.7258258809999996</v>
      </c>
      <c r="AF163">
        <f ca="1">IFERROR(IF(0=LEN(ReferenceData!$AF$163),"",ReferenceData!$AF$163),"")</f>
        <v>5.7513363159999997</v>
      </c>
      <c r="AG163">
        <f ca="1">IFERROR(IF(0=LEN(ReferenceData!$AG$163),"",ReferenceData!$AG$163),"")</f>
        <v>5.7477357639999997</v>
      </c>
      <c r="AH163">
        <f ca="1">IFERROR(IF(0=LEN(ReferenceData!$AH$163),"",ReferenceData!$AH$163),"")</f>
        <v>5.8249729099999996</v>
      </c>
      <c r="AI163">
        <f ca="1">IFERROR(IF(0=LEN(ReferenceData!$AI$163),"",ReferenceData!$AI$163),"")</f>
        <v>5.9221362879999999</v>
      </c>
      <c r="AJ163">
        <f ca="1">IFERROR(IF(0=LEN(ReferenceData!$AJ$163),"",ReferenceData!$AJ$163),"")</f>
        <v>6.0160282550000002</v>
      </c>
      <c r="AK163">
        <f ca="1">IFERROR(IF(0=LEN(ReferenceData!$AK$163),"",ReferenceData!$AK$163),"")</f>
        <v>5.9840847290000001</v>
      </c>
      <c r="AL163">
        <f ca="1">IFERROR(IF(0=LEN(ReferenceData!$AL$163),"",ReferenceData!$AL$163),"")</f>
        <v>6.0049680780000001</v>
      </c>
      <c r="AM163">
        <f ca="1">IFERROR(IF(0=LEN(ReferenceData!$AM$163),"",ReferenceData!$AM$163),"")</f>
        <v>5.9741102679999996</v>
      </c>
      <c r="AN163">
        <f ca="1">IFERROR(IF(0=LEN(ReferenceData!$AN$163),"",ReferenceData!$AN$163),"")</f>
        <v>5.924296215</v>
      </c>
      <c r="AO163">
        <f ca="1">IFERROR(IF(0=LEN(ReferenceData!$AO$163),"",ReferenceData!$AO$163),"")</f>
        <v>5.8970521759999999</v>
      </c>
      <c r="AP163">
        <f ca="1">IFERROR(IF(0=LEN(ReferenceData!$AP$163),"",ReferenceData!$AP$163),"")</f>
        <v>5.8052069299999998</v>
      </c>
      <c r="AQ163">
        <f ca="1">IFERROR(IF(0=LEN(ReferenceData!$AQ$163),"",ReferenceData!$AQ$163),"")</f>
        <v>5.7301904950000004</v>
      </c>
      <c r="AR163">
        <f ca="1">IFERROR(IF(0=LEN(ReferenceData!$AR$163),"",ReferenceData!$AR$163),"")</f>
        <v>5.7185187119999998</v>
      </c>
      <c r="AS163">
        <f ca="1">IFERROR(IF(0=LEN(ReferenceData!$AS$163),"",ReferenceData!$AS$163),"")</f>
        <v>5.699021932</v>
      </c>
      <c r="AT163">
        <f ca="1">IFERROR(IF(0=LEN(ReferenceData!$AT$163),"",ReferenceData!$AT$163),"")</f>
        <v>5.7655112339999999</v>
      </c>
      <c r="AU163">
        <f ca="1">IFERROR(IF(0=LEN(ReferenceData!$AU$163),"",ReferenceData!$AU$163),"")</f>
        <v>5.7584952029999998</v>
      </c>
      <c r="AV163">
        <f ca="1">IFERROR(IF(0=LEN(ReferenceData!$AV$163),"",ReferenceData!$AV$163),"")</f>
        <v>5.7684038040000001</v>
      </c>
      <c r="AW163">
        <f ca="1">IFERROR(IF(0=LEN(ReferenceData!$AW$163),"",ReferenceData!$AW$163),"")</f>
        <v>5.8072433329999997</v>
      </c>
      <c r="AX163">
        <f ca="1">IFERROR(IF(0=LEN(ReferenceData!$AX$163),"",ReferenceData!$AX$163),"")</f>
        <v>5.9331945260000003</v>
      </c>
      <c r="AY163">
        <f ca="1">IFERROR(IF(0=LEN(ReferenceData!$AY$163),"",ReferenceData!$AY$163),"")</f>
        <v>6.0148916469999998</v>
      </c>
      <c r="AZ163">
        <f ca="1">IFERROR(IF(0=LEN(ReferenceData!$AZ$163),"",ReferenceData!$AZ$163),"")</f>
        <v>5.9989721109999996</v>
      </c>
      <c r="BA163">
        <f ca="1">IFERROR(IF(0=LEN(ReferenceData!$BA$163),"",ReferenceData!$BA$163),"")</f>
        <v>6.0541671270000004</v>
      </c>
      <c r="BB163">
        <f ca="1">IFERROR(IF(0=LEN(ReferenceData!$BB$163),"",ReferenceData!$BB$163),"")</f>
        <v>6.0886973900000001</v>
      </c>
      <c r="BC163">
        <f ca="1">IFERROR(IF(0=LEN(ReferenceData!$BC$163),"",ReferenceData!$BC$163),"")</f>
        <v>6.1632163660000003</v>
      </c>
      <c r="BD163">
        <f ca="1">IFERROR(IF(0=LEN(ReferenceData!$BD$163),"",ReferenceData!$BD$163),"")</f>
        <v>6.2576496669999999</v>
      </c>
      <c r="BE163">
        <f ca="1">IFERROR(IF(0=LEN(ReferenceData!$BE$163),"",ReferenceData!$BE$163),"")</f>
        <v>6.3232340889999996</v>
      </c>
      <c r="BF163">
        <f ca="1">IFERROR(IF(0=LEN(ReferenceData!$BF$163),"",ReferenceData!$BF$163),"")</f>
        <v>6.4295471009999998</v>
      </c>
      <c r="BG163">
        <f ca="1">IFERROR(IF(0=LEN(ReferenceData!$BG$163),"",ReferenceData!$BG$163),"")</f>
        <v>6.582920702</v>
      </c>
      <c r="BH163">
        <f ca="1">IFERROR(IF(0=LEN(ReferenceData!$BH$163),"",ReferenceData!$BH$163),"")</f>
        <v>6.634058005</v>
      </c>
      <c r="BI163">
        <f ca="1">IFERROR(IF(0=LEN(ReferenceData!$BI$163),"",ReferenceData!$BI$163),"")</f>
        <v>6.7259881799999999</v>
      </c>
      <c r="BJ163">
        <f ca="1">IFERROR(IF(0=LEN(ReferenceData!$BJ$163),"",ReferenceData!$BJ$163),"")</f>
        <v>6.8047974450000002</v>
      </c>
      <c r="BK163">
        <f ca="1">IFERROR(IF(0=LEN(ReferenceData!$BK$163),"",ReferenceData!$BK$163),"")</f>
        <v>6.9634258320000004</v>
      </c>
      <c r="BL163">
        <f ca="1">IFERROR(IF(0=LEN(ReferenceData!$BL$163),"",ReferenceData!$BL$163),"")</f>
        <v>7.0592391719999998</v>
      </c>
      <c r="BM163">
        <f ca="1">IFERROR(IF(0=LEN(ReferenceData!$BM$163),"",ReferenceData!$BM$163),"")</f>
        <v>7.0840682250000002</v>
      </c>
    </row>
    <row r="164" spans="1:65">
      <c r="A164" t="str">
        <f>IFERROR(IF(0=LEN(ReferenceData!$A$164),"",ReferenceData!$A$164),"")</f>
        <v xml:space="preserve">    房地产投资信托总债务利息加权平均</v>
      </c>
      <c r="B164" t="str">
        <f>IFERROR(IF(0=LEN(ReferenceData!$B$164),"",ReferenceData!$B$164),"")</f>
        <v>RECFWATD Index</v>
      </c>
      <c r="C164" t="str">
        <f>IFERROR(IF(0=LEN(ReferenceData!$C$164),"",ReferenceData!$C$164),"")</f>
        <v>PR005</v>
      </c>
      <c r="D164" t="str">
        <f>IFERROR(IF(0=LEN(ReferenceData!$D$164),"",ReferenceData!$D$164),"")</f>
        <v>PX_LAST</v>
      </c>
      <c r="E164" t="str">
        <f>IFERROR(IF(0=LEN(ReferenceData!$E$164),"",ReferenceData!$E$164),"")</f>
        <v>动态</v>
      </c>
      <c r="F164">
        <f ca="1">IFERROR(IF(0=LEN(ReferenceData!$F$164),"",ReferenceData!$F$164),"")</f>
        <v>3.8862459870000001</v>
      </c>
      <c r="G164">
        <f ca="1">IFERROR(IF(0=LEN(ReferenceData!$G$164),"",ReferenceData!$G$164),"")</f>
        <v>3.9726798310000002</v>
      </c>
      <c r="H164">
        <f ca="1">IFERROR(IF(0=LEN(ReferenceData!$H$164),"",ReferenceData!$H$164),"")</f>
        <v>3.9879158229999998</v>
      </c>
      <c r="I164">
        <f ca="1">IFERROR(IF(0=LEN(ReferenceData!$I$164),"",ReferenceData!$I$164),"")</f>
        <v>4.0006379369999996</v>
      </c>
      <c r="J164">
        <f ca="1">IFERROR(IF(0=LEN(ReferenceData!$J$164),"",ReferenceData!$J$164),"")</f>
        <v>4.0109792740000003</v>
      </c>
      <c r="K164">
        <f ca="1">IFERROR(IF(0=LEN(ReferenceData!$K$164),"",ReferenceData!$K$164),"")</f>
        <v>4.0045932359999998</v>
      </c>
      <c r="L164">
        <f ca="1">IFERROR(IF(0=LEN(ReferenceData!$L$164),"",ReferenceData!$L$164),"")</f>
        <v>4.0531337660000002</v>
      </c>
      <c r="M164">
        <f ca="1">IFERROR(IF(0=LEN(ReferenceData!$M$164),"",ReferenceData!$M$164),"")</f>
        <v>4.0592471510000001</v>
      </c>
      <c r="N164">
        <f ca="1">IFERROR(IF(0=LEN(ReferenceData!$N$164),"",ReferenceData!$N$164),"")</f>
        <v>4.0513584810000003</v>
      </c>
      <c r="O164">
        <f ca="1">IFERROR(IF(0=LEN(ReferenceData!$O$164),"",ReferenceData!$O$164),"")</f>
        <v>4.0448527309999998</v>
      </c>
      <c r="P164">
        <f ca="1">IFERROR(IF(0=LEN(ReferenceData!$P$164),"",ReferenceData!$P$164),"")</f>
        <v>4.1027569709999998</v>
      </c>
      <c r="Q164">
        <f ca="1">IFERROR(IF(0=LEN(ReferenceData!$Q$164),"",ReferenceData!$Q$164),"")</f>
        <v>4.2333164300000004</v>
      </c>
      <c r="R164">
        <f ca="1">IFERROR(IF(0=LEN(ReferenceData!$R$164),"",ReferenceData!$R$164),"")</f>
        <v>4.3148450809999996</v>
      </c>
      <c r="S164">
        <f ca="1">IFERROR(IF(0=LEN(ReferenceData!$S$164),"",ReferenceData!$S$164),"")</f>
        <v>4.3075223789999999</v>
      </c>
      <c r="T164">
        <f ca="1">IFERROR(IF(0=LEN(ReferenceData!$T$164),"",ReferenceData!$T$164),"")</f>
        <v>4.3723953509999998</v>
      </c>
      <c r="U164">
        <f ca="1">IFERROR(IF(0=LEN(ReferenceData!$U$164),"",ReferenceData!$U$164),"")</f>
        <v>4.4460094159999999</v>
      </c>
      <c r="V164">
        <f ca="1">IFERROR(IF(0=LEN(ReferenceData!$V$164),"",ReferenceData!$V$164),"")</f>
        <v>4.6056292689999996</v>
      </c>
      <c r="W164">
        <f ca="1">IFERROR(IF(0=LEN(ReferenceData!$W$164),"",ReferenceData!$W$164),"")</f>
        <v>4.6288813419999997</v>
      </c>
      <c r="X164">
        <f ca="1">IFERROR(IF(0=LEN(ReferenceData!$X$164),"",ReferenceData!$X$164),"")</f>
        <v>4.7298643240000002</v>
      </c>
      <c r="Y164">
        <f ca="1">IFERROR(IF(0=LEN(ReferenceData!$Y$164),"",ReferenceData!$Y$164),"")</f>
        <v>4.8619793170000003</v>
      </c>
      <c r="Z164">
        <f ca="1">IFERROR(IF(0=LEN(ReferenceData!$Z$164),"",ReferenceData!$Z$164),"")</f>
        <v>4.9134586049999998</v>
      </c>
      <c r="AA164">
        <f ca="1">IFERROR(IF(0=LEN(ReferenceData!$AA$164),"",ReferenceData!$AA$164),"")</f>
        <v>5.0253416829999997</v>
      </c>
      <c r="AB164">
        <f ca="1">IFERROR(IF(0=LEN(ReferenceData!$AB$164),"",ReferenceData!$AB$164),"")</f>
        <v>5.078031567</v>
      </c>
      <c r="AC164">
        <f ca="1">IFERROR(IF(0=LEN(ReferenceData!$AC$164),"",ReferenceData!$AC$164),"")</f>
        <v>5.1303300480000003</v>
      </c>
      <c r="AD164">
        <f ca="1">IFERROR(IF(0=LEN(ReferenceData!$AD$164),"",ReferenceData!$AD$164),"")</f>
        <v>5.1789266769999998</v>
      </c>
      <c r="AE164">
        <f ca="1">IFERROR(IF(0=LEN(ReferenceData!$AE$164),"",ReferenceData!$AE$164),"")</f>
        <v>5.2504450040000004</v>
      </c>
      <c r="AF164">
        <f ca="1">IFERROR(IF(0=LEN(ReferenceData!$AF$164),"",ReferenceData!$AF$164),"")</f>
        <v>5.2966701819999997</v>
      </c>
      <c r="AG164">
        <f ca="1">IFERROR(IF(0=LEN(ReferenceData!$AG$164),"",ReferenceData!$AG$164),"")</f>
        <v>5.3932591710000004</v>
      </c>
      <c r="AH164">
        <f ca="1">IFERROR(IF(0=LEN(ReferenceData!$AH$164),"",ReferenceData!$AH$164),"")</f>
        <v>5.3774515489999999</v>
      </c>
      <c r="AI164">
        <f ca="1">IFERROR(IF(0=LEN(ReferenceData!$AI$164),"",ReferenceData!$AI$164),"")</f>
        <v>5.4710213970000003</v>
      </c>
      <c r="AJ164">
        <f ca="1">IFERROR(IF(0=LEN(ReferenceData!$AJ$164),"",ReferenceData!$AJ$164),"")</f>
        <v>5.5210793840000001</v>
      </c>
      <c r="AK164">
        <f ca="1">IFERROR(IF(0=LEN(ReferenceData!$AK$164),"",ReferenceData!$AK$164),"")</f>
        <v>5.4523068459999999</v>
      </c>
      <c r="AL164">
        <f ca="1">IFERROR(IF(0=LEN(ReferenceData!$AL$164),"",ReferenceData!$AL$164),"")</f>
        <v>5.4186979480000002</v>
      </c>
      <c r="AM164">
        <f ca="1">IFERROR(IF(0=LEN(ReferenceData!$AM$164),"",ReferenceData!$AM$164),"")</f>
        <v>5.40187594</v>
      </c>
      <c r="AN164">
        <f ca="1">IFERROR(IF(0=LEN(ReferenceData!$AN$164),"",ReferenceData!$AN$164),"")</f>
        <v>5.273039356</v>
      </c>
      <c r="AO164">
        <f ca="1">IFERROR(IF(0=LEN(ReferenceData!$AO$164),"",ReferenceData!$AO$164),"")</f>
        <v>5.1620555079999999</v>
      </c>
      <c r="AP164">
        <f ca="1">IFERROR(IF(0=LEN(ReferenceData!$AP$164),"",ReferenceData!$AP$164),"")</f>
        <v>5.2725634010000002</v>
      </c>
      <c r="AQ164">
        <f ca="1">IFERROR(IF(0=LEN(ReferenceData!$AQ$164),"",ReferenceData!$AQ$164),"")</f>
        <v>5.4774221470000004</v>
      </c>
      <c r="AR164">
        <f ca="1">IFERROR(IF(0=LEN(ReferenceData!$AR$164),"",ReferenceData!$AR$164),"")</f>
        <v>5.3816061230000001</v>
      </c>
      <c r="AS164">
        <f ca="1">IFERROR(IF(0=LEN(ReferenceData!$AS$164),"",ReferenceData!$AS$164),"")</f>
        <v>5.4144067229999999</v>
      </c>
      <c r="AT164">
        <f ca="1">IFERROR(IF(0=LEN(ReferenceData!$AT$164),"",ReferenceData!$AT$164),"")</f>
        <v>5.7387674789999998</v>
      </c>
      <c r="AU164">
        <f ca="1">IFERROR(IF(0=LEN(ReferenceData!$AU$164),"",ReferenceData!$AU$164),"")</f>
        <v>5.7950829219999997</v>
      </c>
      <c r="AV164">
        <f ca="1">IFERROR(IF(0=LEN(ReferenceData!$AV$164),"",ReferenceData!$AV$164),"")</f>
        <v>5.7730841750000002</v>
      </c>
      <c r="AW164">
        <f ca="1">IFERROR(IF(0=LEN(ReferenceData!$AW$164),"",ReferenceData!$AW$164),"")</f>
        <v>5.8192725410000001</v>
      </c>
      <c r="AX164">
        <f ca="1">IFERROR(IF(0=LEN(ReferenceData!$AX$164),"",ReferenceData!$AX$164),"")</f>
        <v>5.9648847549999999</v>
      </c>
      <c r="AY164">
        <f ca="1">IFERROR(IF(0=LEN(ReferenceData!$AY$164),"",ReferenceData!$AY$164),"")</f>
        <v>6.0458432289999999</v>
      </c>
      <c r="AZ164">
        <f ca="1">IFERROR(IF(0=LEN(ReferenceData!$AZ$164),"",ReferenceData!$AZ$164),"")</f>
        <v>6.0597241549999996</v>
      </c>
      <c r="BA164">
        <f ca="1">IFERROR(IF(0=LEN(ReferenceData!$BA$164),"",ReferenceData!$BA$164),"")</f>
        <v>6.0099749750000004</v>
      </c>
      <c r="BB164">
        <f ca="1">IFERROR(IF(0=LEN(ReferenceData!$BB$164),"",ReferenceData!$BB$164),"")</f>
        <v>6.0136890269999999</v>
      </c>
      <c r="BC164">
        <f ca="1">IFERROR(IF(0=LEN(ReferenceData!$BC$164),"",ReferenceData!$BC$164),"")</f>
        <v>5.9018223230000002</v>
      </c>
      <c r="BD164">
        <f ca="1">IFERROR(IF(0=LEN(ReferenceData!$BD$164),"",ReferenceData!$BD$164),"")</f>
        <v>5.9425513130000001</v>
      </c>
      <c r="BE164">
        <f ca="1">IFERROR(IF(0=LEN(ReferenceData!$BE$164),"",ReferenceData!$BE$164),"")</f>
        <v>5.9026520480000002</v>
      </c>
      <c r="BF164">
        <f ca="1">IFERROR(IF(0=LEN(ReferenceData!$BF$164),"",ReferenceData!$BF$164),"")</f>
        <v>5.8725618160000002</v>
      </c>
      <c r="BG164">
        <f ca="1">IFERROR(IF(0=LEN(ReferenceData!$BG$164),"",ReferenceData!$BG$164),"")</f>
        <v>5.8780241100000001</v>
      </c>
      <c r="BH164">
        <f ca="1">IFERROR(IF(0=LEN(ReferenceData!$BH$164),"",ReferenceData!$BH$164),"")</f>
        <v>5.904635056</v>
      </c>
      <c r="BI164">
        <f ca="1">IFERROR(IF(0=LEN(ReferenceData!$BI$164),"",ReferenceData!$BI$164),"")</f>
        <v>6.0042068989999997</v>
      </c>
      <c r="BJ164">
        <f ca="1">IFERROR(IF(0=LEN(ReferenceData!$BJ$164),"",ReferenceData!$BJ$164),"")</f>
        <v>6.1598213189999997</v>
      </c>
      <c r="BK164">
        <f ca="1">IFERROR(IF(0=LEN(ReferenceData!$BK$164),"",ReferenceData!$BK$164),"")</f>
        <v>6.2740756119999999</v>
      </c>
      <c r="BL164">
        <f ca="1">IFERROR(IF(0=LEN(ReferenceData!$BL$164),"",ReferenceData!$BL$164),"")</f>
        <v>6.3598720919999998</v>
      </c>
      <c r="BM164">
        <f ca="1">IFERROR(IF(0=LEN(ReferenceData!$BM$164),"",ReferenceData!$BM$164),"")</f>
        <v>6.4013661700000002</v>
      </c>
    </row>
    <row r="165" spans="1:65">
      <c r="A165" t="str">
        <f>IFERROR(IF(0=LEN(ReferenceData!$A$165),"",ReferenceData!$A$165),"")</f>
        <v xml:space="preserve">    所有股票房地产投资信托债务的至到期期限加权平均</v>
      </c>
      <c r="B165" t="str">
        <f>IFERROR(IF(0=LEN(ReferenceData!$B$165),"",ReferenceData!$B$165),"")</f>
        <v>RECFWATM Index</v>
      </c>
      <c r="C165" t="str">
        <f>IFERROR(IF(0=LEN(ReferenceData!$C$165),"",ReferenceData!$C$165),"")</f>
        <v>PR005</v>
      </c>
      <c r="D165" t="str">
        <f>IFERROR(IF(0=LEN(ReferenceData!$D$165),"",ReferenceData!$D$165),"")</f>
        <v>PX_LAST</v>
      </c>
      <c r="E165" t="str">
        <f>IFERROR(IF(0=LEN(ReferenceData!$E$165),"",ReferenceData!$E$165),"")</f>
        <v>动态</v>
      </c>
      <c r="F165">
        <f ca="1">IFERROR(IF(0=LEN(ReferenceData!$F$165),"",ReferenceData!$F$165),"")</f>
        <v>75.051842250000007</v>
      </c>
      <c r="G165">
        <f ca="1">IFERROR(IF(0=LEN(ReferenceData!$G$165),"",ReferenceData!$G$165),"")</f>
        <v>73.632838199999995</v>
      </c>
      <c r="H165">
        <f ca="1">IFERROR(IF(0=LEN(ReferenceData!$H$165),"",ReferenceData!$H$165),"")</f>
        <v>71.946871990000005</v>
      </c>
      <c r="I165">
        <f ca="1">IFERROR(IF(0=LEN(ReferenceData!$I$165),"",ReferenceData!$I$165),"")</f>
        <v>69.031992779999996</v>
      </c>
      <c r="J165">
        <f ca="1">IFERROR(IF(0=LEN(ReferenceData!$J$165),"",ReferenceData!$J$165),"")</f>
        <v>70.282629679999999</v>
      </c>
      <c r="K165">
        <f ca="1">IFERROR(IF(0=LEN(ReferenceData!$K$165),"",ReferenceData!$K$165),"")</f>
        <v>69.584002429999998</v>
      </c>
      <c r="L165">
        <f ca="1">IFERROR(IF(0=LEN(ReferenceData!$L$165),"",ReferenceData!$L$165),"")</f>
        <v>68.443041949999994</v>
      </c>
      <c r="M165">
        <f ca="1">IFERROR(IF(0=LEN(ReferenceData!$M$165),"",ReferenceData!$M$165),"")</f>
        <v>65.902861060000006</v>
      </c>
      <c r="N165">
        <f ca="1">IFERROR(IF(0=LEN(ReferenceData!$N$165),"",ReferenceData!$N$165),"")</f>
        <v>68.619595570000001</v>
      </c>
      <c r="O165">
        <f ca="1">IFERROR(IF(0=LEN(ReferenceData!$O$165),"",ReferenceData!$O$165),"")</f>
        <v>65.928771670000003</v>
      </c>
      <c r="P165">
        <f ca="1">IFERROR(IF(0=LEN(ReferenceData!$P$165),"",ReferenceData!$P$165),"")</f>
        <v>66.899899930000004</v>
      </c>
      <c r="Q165">
        <f ca="1">IFERROR(IF(0=LEN(ReferenceData!$Q$165),"",ReferenceData!$Q$165),"")</f>
        <v>67.340022680000004</v>
      </c>
      <c r="R165">
        <f ca="1">IFERROR(IF(0=LEN(ReferenceData!$R$165),"",ReferenceData!$R$165),"")</f>
        <v>66.998639150000002</v>
      </c>
      <c r="S165">
        <f ca="1">IFERROR(IF(0=LEN(ReferenceData!$S$165),"",ReferenceData!$S$165),"")</f>
        <v>67.780190790000006</v>
      </c>
      <c r="T165">
        <f ca="1">IFERROR(IF(0=LEN(ReferenceData!$T$165),"",ReferenceData!$T$165),"")</f>
        <v>67.933175930000004</v>
      </c>
      <c r="U165">
        <f ca="1">IFERROR(IF(0=LEN(ReferenceData!$U$165),"",ReferenceData!$U$165),"")</f>
        <v>67.295815079999997</v>
      </c>
      <c r="V165">
        <f ca="1">IFERROR(IF(0=LEN(ReferenceData!$V$165),"",ReferenceData!$V$165),"")</f>
        <v>67.204501739999998</v>
      </c>
      <c r="W165">
        <f ca="1">IFERROR(IF(0=LEN(ReferenceData!$W$165),"",ReferenceData!$W$165),"")</f>
        <v>66.091734130000006</v>
      </c>
      <c r="X165">
        <f ca="1">IFERROR(IF(0=LEN(ReferenceData!$X$165),"",ReferenceData!$X$165),"")</f>
        <v>67.660796959999999</v>
      </c>
      <c r="Y165">
        <f ca="1">IFERROR(IF(0=LEN(ReferenceData!$Y$165),"",ReferenceData!$Y$165),"")</f>
        <v>67.307986060000005</v>
      </c>
      <c r="Z165">
        <f ca="1">IFERROR(IF(0=LEN(ReferenceData!$Z$165),"",ReferenceData!$Z$165),"")</f>
        <v>66.252936520000006</v>
      </c>
      <c r="AA165">
        <f ca="1">IFERROR(IF(0=LEN(ReferenceData!$AA$165),"",ReferenceData!$AA$165),"")</f>
        <v>66.232806049999994</v>
      </c>
      <c r="AB165">
        <f ca="1">IFERROR(IF(0=LEN(ReferenceData!$AB$165),"",ReferenceData!$AB$165),"")</f>
        <v>66.286814140000004</v>
      </c>
      <c r="AC165">
        <f ca="1">IFERROR(IF(0=LEN(ReferenceData!$AC$165),"",ReferenceData!$AC$165),"")</f>
        <v>65.544781990000004</v>
      </c>
      <c r="AD165">
        <f ca="1">IFERROR(IF(0=LEN(ReferenceData!$AD$165),"",ReferenceData!$AD$165),"")</f>
        <v>65.90424462</v>
      </c>
      <c r="AE165">
        <f ca="1">IFERROR(IF(0=LEN(ReferenceData!$AE$165),"",ReferenceData!$AE$165),"")</f>
        <v>65.515523470000005</v>
      </c>
      <c r="AF165">
        <f ca="1">IFERROR(IF(0=LEN(ReferenceData!$AF$165),"",ReferenceData!$AF$165),"")</f>
        <v>66.153467269999993</v>
      </c>
      <c r="AG165">
        <f ca="1">IFERROR(IF(0=LEN(ReferenceData!$AG$165),"",ReferenceData!$AG$165),"")</f>
        <v>64.716758749999997</v>
      </c>
      <c r="AH165">
        <f ca="1">IFERROR(IF(0=LEN(ReferenceData!$AH$165),"",ReferenceData!$AH$165),"")</f>
        <v>63.285873359999997</v>
      </c>
      <c r="AI165">
        <f ca="1">IFERROR(IF(0=LEN(ReferenceData!$AI$165),"",ReferenceData!$AI$165),"")</f>
        <v>63.031968929999998</v>
      </c>
      <c r="AJ165">
        <f ca="1">IFERROR(IF(0=LEN(ReferenceData!$AJ$165),"",ReferenceData!$AJ$165),"")</f>
        <v>61.558341929999997</v>
      </c>
      <c r="AK165">
        <f ca="1">IFERROR(IF(0=LEN(ReferenceData!$AK$165),"",ReferenceData!$AK$165),"")</f>
        <v>61.38392786</v>
      </c>
      <c r="AL165">
        <f ca="1">IFERROR(IF(0=LEN(ReferenceData!$AL$165),"",ReferenceData!$AL$165),"")</f>
        <v>60.043221119999998</v>
      </c>
      <c r="AM165">
        <f ca="1">IFERROR(IF(0=LEN(ReferenceData!$AM$165),"",ReferenceData!$AM$165),"")</f>
        <v>60.949770149999999</v>
      </c>
      <c r="AN165">
        <f ca="1">IFERROR(IF(0=LEN(ReferenceData!$AN$165),"",ReferenceData!$AN$165),"")</f>
        <v>61.79093641</v>
      </c>
      <c r="AO165">
        <f ca="1">IFERROR(IF(0=LEN(ReferenceData!$AO$165),"",ReferenceData!$AO$165),"")</f>
        <v>59.922177529999999</v>
      </c>
      <c r="AP165">
        <f ca="1">IFERROR(IF(0=LEN(ReferenceData!$AP$165),"",ReferenceData!$AP$165),"")</f>
        <v>60.007399190000001</v>
      </c>
      <c r="AQ165">
        <f ca="1">IFERROR(IF(0=LEN(ReferenceData!$AQ$165),"",ReferenceData!$AQ$165),"")</f>
        <v>59.19540138</v>
      </c>
      <c r="AR165">
        <f ca="1">IFERROR(IF(0=LEN(ReferenceData!$AR$165),"",ReferenceData!$AR$165),"")</f>
        <v>61.297328210000003</v>
      </c>
      <c r="AS165">
        <f ca="1">IFERROR(IF(0=LEN(ReferenceData!$AS$165),"",ReferenceData!$AS$165),"")</f>
        <v>61.681529419999997</v>
      </c>
      <c r="AT165">
        <f ca="1">IFERROR(IF(0=LEN(ReferenceData!$AT$165),"",ReferenceData!$AT$165),"")</f>
        <v>64.089517920000006</v>
      </c>
      <c r="AU165">
        <f ca="1">IFERROR(IF(0=LEN(ReferenceData!$AU$165),"",ReferenceData!$AU$165),"")</f>
        <v>67.057389880000002</v>
      </c>
      <c r="AV165">
        <f ca="1">IFERROR(IF(0=LEN(ReferenceData!$AV$165),"",ReferenceData!$AV$165),"")</f>
        <v>71.757329830000003</v>
      </c>
      <c r="AW165">
        <f ca="1">IFERROR(IF(0=LEN(ReferenceData!$AW$165),"",ReferenceData!$AW$165),"")</f>
        <v>69.824281790000001</v>
      </c>
      <c r="AX165">
        <f ca="1">IFERROR(IF(0=LEN(ReferenceData!$AX$165),"",ReferenceData!$AX$165),"")</f>
        <v>68.986021570000005</v>
      </c>
      <c r="AY165">
        <f ca="1">IFERROR(IF(0=LEN(ReferenceData!$AY$165),"",ReferenceData!$AY$165),"")</f>
        <v>73.234821179999997</v>
      </c>
      <c r="AZ165">
        <f ca="1">IFERROR(IF(0=LEN(ReferenceData!$AZ$165),"",ReferenceData!$AZ$165),"")</f>
        <v>69.312963609999997</v>
      </c>
      <c r="BA165">
        <f ca="1">IFERROR(IF(0=LEN(ReferenceData!$BA$165),"",ReferenceData!$BA$165),"")</f>
        <v>68.324536980000005</v>
      </c>
      <c r="BB165">
        <f ca="1">IFERROR(IF(0=LEN(ReferenceData!$BB$165),"",ReferenceData!$BB$165),"")</f>
        <v>66.213014180000002</v>
      </c>
      <c r="BC165">
        <f ca="1">IFERROR(IF(0=LEN(ReferenceData!$BC$165),"",ReferenceData!$BC$165),"")</f>
        <v>67.379842429999997</v>
      </c>
      <c r="BD165">
        <f ca="1">IFERROR(IF(0=LEN(ReferenceData!$BD$165),"",ReferenceData!$BD$165),"")</f>
        <v>67.465340569999995</v>
      </c>
      <c r="BE165">
        <f ca="1">IFERROR(IF(0=LEN(ReferenceData!$BE$165),"",ReferenceData!$BE$165),"")</f>
        <v>66.806979200000001</v>
      </c>
      <c r="BF165">
        <f ca="1">IFERROR(IF(0=LEN(ReferenceData!$BF$165),"",ReferenceData!$BF$165),"")</f>
        <v>66.914784789999999</v>
      </c>
      <c r="BG165">
        <f ca="1">IFERROR(IF(0=LEN(ReferenceData!$BG$165),"",ReferenceData!$BG$165),"")</f>
        <v>70.090916129999997</v>
      </c>
      <c r="BH165">
        <f ca="1">IFERROR(IF(0=LEN(ReferenceData!$BH$165),"",ReferenceData!$BH$165),"")</f>
        <v>69.528278040000004</v>
      </c>
      <c r="BI165">
        <f ca="1">IFERROR(IF(0=LEN(ReferenceData!$BI$165),"",ReferenceData!$BI$165),"")</f>
        <v>69.298158999999998</v>
      </c>
      <c r="BJ165">
        <f ca="1">IFERROR(IF(0=LEN(ReferenceData!$BJ$165),"",ReferenceData!$BJ$165),"")</f>
        <v>68.500816049999997</v>
      </c>
      <c r="BK165">
        <f ca="1">IFERROR(IF(0=LEN(ReferenceData!$BK$165),"",ReferenceData!$BK$165),"")</f>
        <v>68.285754900000001</v>
      </c>
      <c r="BL165">
        <f ca="1">IFERROR(IF(0=LEN(ReferenceData!$BL$165),"",ReferenceData!$BL$165),"")</f>
        <v>70.406896669999995</v>
      </c>
      <c r="BM165">
        <f ca="1">IFERROR(IF(0=LEN(ReferenceData!$BM$165),"",ReferenceData!$BM$165),"")</f>
        <v>71.602430290000001</v>
      </c>
    </row>
    <row r="166" spans="1:65">
      <c r="A166" t="str">
        <f>IFERROR(IF(0=LEN(ReferenceData!$A$166),"",ReferenceData!$A$166),"")</f>
        <v xml:space="preserve">    房地产投资信托平均保障比率</v>
      </c>
      <c r="B166" t="str">
        <f>IFERROR(IF(0=LEN(ReferenceData!$B$166),"",ReferenceData!$B$166),"")</f>
        <v>RECFAVCR Index</v>
      </c>
      <c r="C166" t="str">
        <f>IFERROR(IF(0=LEN(ReferenceData!$C$166),"",ReferenceData!$C$166),"")</f>
        <v>PR005</v>
      </c>
      <c r="D166" t="str">
        <f>IFERROR(IF(0=LEN(ReferenceData!$D$166),"",ReferenceData!$D$166),"")</f>
        <v>PX_LAST</v>
      </c>
      <c r="E166" t="str">
        <f>IFERROR(IF(0=LEN(ReferenceData!$E$166),"",ReferenceData!$E$166),"")</f>
        <v>动态</v>
      </c>
      <c r="F166">
        <f ca="1">IFERROR(IF(0=LEN(ReferenceData!$F$166),"",ReferenceData!$F$166),"")</f>
        <v>4.4457696650000003</v>
      </c>
      <c r="G166">
        <f ca="1">IFERROR(IF(0=LEN(ReferenceData!$G$166),"",ReferenceData!$G$166),"")</f>
        <v>4.4627328359999998</v>
      </c>
      <c r="H166">
        <f ca="1">IFERROR(IF(0=LEN(ReferenceData!$H$166),"",ReferenceData!$H$166),"")</f>
        <v>4.4654736770000003</v>
      </c>
      <c r="I166">
        <f ca="1">IFERROR(IF(0=LEN(ReferenceData!$I$166),"",ReferenceData!$I$166),"")</f>
        <v>4.48101181</v>
      </c>
      <c r="J166">
        <f ca="1">IFERROR(IF(0=LEN(ReferenceData!$J$166),"",ReferenceData!$J$166),"")</f>
        <v>4.6575914730000001</v>
      </c>
      <c r="K166">
        <f ca="1">IFERROR(IF(0=LEN(ReferenceData!$K$166),"",ReferenceData!$K$166),"")</f>
        <v>4.4366932859999997</v>
      </c>
      <c r="L166">
        <f ca="1">IFERROR(IF(0=LEN(ReferenceData!$L$166),"",ReferenceData!$L$166),"")</f>
        <v>4.6035733900000002</v>
      </c>
      <c r="M166">
        <f ca="1">IFERROR(IF(0=LEN(ReferenceData!$M$166),"",ReferenceData!$M$166),"")</f>
        <v>4.9614301770000004</v>
      </c>
      <c r="N166">
        <f ca="1">IFERROR(IF(0=LEN(ReferenceData!$N$166),"",ReferenceData!$N$166),"")</f>
        <v>4.1713874369999999</v>
      </c>
      <c r="O166">
        <f ca="1">IFERROR(IF(0=LEN(ReferenceData!$O$166),"",ReferenceData!$O$166),"")</f>
        <v>4.2339912980000003</v>
      </c>
      <c r="P166">
        <f ca="1">IFERROR(IF(0=LEN(ReferenceData!$P$166),"",ReferenceData!$P$166),"")</f>
        <v>4.2471887800000001</v>
      </c>
      <c r="Q166">
        <f ca="1">IFERROR(IF(0=LEN(ReferenceData!$Q$166),"",ReferenceData!$Q$166),"")</f>
        <v>4.1852197069999999</v>
      </c>
      <c r="R166">
        <f ca="1">IFERROR(IF(0=LEN(ReferenceData!$R$166),"",ReferenceData!$R$166),"")</f>
        <v>4.4933217059999997</v>
      </c>
      <c r="S166">
        <f ca="1">IFERROR(IF(0=LEN(ReferenceData!$S$166),"",ReferenceData!$S$166),"")</f>
        <v>4.0541496080000003</v>
      </c>
      <c r="T166">
        <f ca="1">IFERROR(IF(0=LEN(ReferenceData!$T$166),"",ReferenceData!$T$166),"")</f>
        <v>4.0009744060000001</v>
      </c>
      <c r="U166">
        <f ca="1">IFERROR(IF(0=LEN(ReferenceData!$U$166),"",ReferenceData!$U$166),"")</f>
        <v>3.7491087489999999</v>
      </c>
      <c r="V166">
        <f ca="1">IFERROR(IF(0=LEN(ReferenceData!$V$166),"",ReferenceData!$V$166),"")</f>
        <v>3.3581059579999999</v>
      </c>
      <c r="W166">
        <f ca="1">IFERROR(IF(0=LEN(ReferenceData!$W$166),"",ReferenceData!$W$166),"")</f>
        <v>3.4754804090000002</v>
      </c>
      <c r="X166">
        <f ca="1">IFERROR(IF(0=LEN(ReferenceData!$X$166),"",ReferenceData!$X$166),"")</f>
        <v>3.6602936289999999</v>
      </c>
      <c r="Y166">
        <f ca="1">IFERROR(IF(0=LEN(ReferenceData!$Y$166),"",ReferenceData!$Y$166),"")</f>
        <v>3.2671089000000002</v>
      </c>
      <c r="Z166">
        <f ca="1">IFERROR(IF(0=LEN(ReferenceData!$Z$166),"",ReferenceData!$Z$166),"")</f>
        <v>3.1982704540000002</v>
      </c>
      <c r="AA166">
        <f ca="1">IFERROR(IF(0=LEN(ReferenceData!$AA$166),"",ReferenceData!$AA$166),"")</f>
        <v>3.104937219</v>
      </c>
      <c r="AB166">
        <f ca="1">IFERROR(IF(0=LEN(ReferenceData!$AB$166),"",ReferenceData!$AB$166),"")</f>
        <v>3.042926354</v>
      </c>
      <c r="AC166">
        <f ca="1">IFERROR(IF(0=LEN(ReferenceData!$AC$166),"",ReferenceData!$AC$166),"")</f>
        <v>3.1226750999999999</v>
      </c>
      <c r="AD166">
        <f ca="1">IFERROR(IF(0=LEN(ReferenceData!$AD$166),"",ReferenceData!$AD$166),"")</f>
        <v>2.868861753</v>
      </c>
      <c r="AE166">
        <f ca="1">IFERROR(IF(0=LEN(ReferenceData!$AE$166),"",ReferenceData!$AE$166),"")</f>
        <v>2.8707054460000001</v>
      </c>
      <c r="AF166">
        <f ca="1">IFERROR(IF(0=LEN(ReferenceData!$AF$166),"",ReferenceData!$AF$166),"")</f>
        <v>2.7461920489999998</v>
      </c>
      <c r="AG166">
        <f ca="1">IFERROR(IF(0=LEN(ReferenceData!$AG$166),"",ReferenceData!$AG$166),"")</f>
        <v>2.8340776729999999</v>
      </c>
      <c r="AH166">
        <f ca="1">IFERROR(IF(0=LEN(ReferenceData!$AH$166),"",ReferenceData!$AH$166),"")</f>
        <v>1.8649511649999999</v>
      </c>
      <c r="AI166">
        <f ca="1">IFERROR(IF(0=LEN(ReferenceData!$AI$166),"",ReferenceData!$AI$166),"")</f>
        <v>2.6430459480000001</v>
      </c>
      <c r="AJ166">
        <f ca="1">IFERROR(IF(0=LEN(ReferenceData!$AJ$166),"",ReferenceData!$AJ$166),"")</f>
        <v>2.5710801280000002</v>
      </c>
      <c r="AK166">
        <f ca="1">IFERROR(IF(0=LEN(ReferenceData!$AK$166),"",ReferenceData!$AK$166),"")</f>
        <v>2.5144993370000002</v>
      </c>
      <c r="AL166">
        <f ca="1">IFERROR(IF(0=LEN(ReferenceData!$AL$166),"",ReferenceData!$AL$166),"")</f>
        <v>1.9139083960000001</v>
      </c>
      <c r="AM166">
        <f ca="1">IFERROR(IF(0=LEN(ReferenceData!$AM$166),"",ReferenceData!$AM$166),"")</f>
        <v>2.3244666999999999</v>
      </c>
      <c r="AN166">
        <f ca="1">IFERROR(IF(0=LEN(ReferenceData!$AN$166),"",ReferenceData!$AN$166),"")</f>
        <v>2.2030242649999998</v>
      </c>
      <c r="AO166">
        <f ca="1">IFERROR(IF(0=LEN(ReferenceData!$AO$166),"",ReferenceData!$AO$166),"")</f>
        <v>2.8229942819999998</v>
      </c>
      <c r="AP166">
        <f ca="1">IFERROR(IF(0=LEN(ReferenceData!$AP$166),"",ReferenceData!$AP$166),"")</f>
        <v>1.8754942619999999</v>
      </c>
      <c r="AQ166">
        <f ca="1">IFERROR(IF(0=LEN(ReferenceData!$AQ$166),"",ReferenceData!$AQ$166),"")</f>
        <v>2.6784231420000002</v>
      </c>
      <c r="AR166">
        <f ca="1">IFERROR(IF(0=LEN(ReferenceData!$AR$166),"",ReferenceData!$AR$166),"")</f>
        <v>2.83087153</v>
      </c>
      <c r="AS166">
        <f ca="1">IFERROR(IF(0=LEN(ReferenceData!$AS$166),"",ReferenceData!$AS$166),"")</f>
        <v>2.8274382299999998</v>
      </c>
      <c r="AT166">
        <f ca="1">IFERROR(IF(0=LEN(ReferenceData!$AT$166),"",ReferenceData!$AT$166),"")</f>
        <v>2.6651606349999999</v>
      </c>
      <c r="AU166">
        <f ca="1">IFERROR(IF(0=LEN(ReferenceData!$AU$166),"",ReferenceData!$AU$166),"")</f>
        <v>2.8917848839999998</v>
      </c>
      <c r="AV166">
        <f ca="1">IFERROR(IF(0=LEN(ReferenceData!$AV$166),"",ReferenceData!$AV$166),"")</f>
        <v>3.021574309</v>
      </c>
      <c r="AW166">
        <f ca="1">IFERROR(IF(0=LEN(ReferenceData!$AW$166),"",ReferenceData!$AW$166),"")</f>
        <v>3.0026818820000001</v>
      </c>
      <c r="AX166">
        <f ca="1">IFERROR(IF(0=LEN(ReferenceData!$AX$166),"",ReferenceData!$AX$166),"")</f>
        <v>2.914683245</v>
      </c>
      <c r="AY166">
        <f ca="1">IFERROR(IF(0=LEN(ReferenceData!$AY$166),"",ReferenceData!$AY$166),"")</f>
        <v>2.7449661889999999</v>
      </c>
      <c r="AZ166">
        <f ca="1">IFERROR(IF(0=LEN(ReferenceData!$AZ$166),"",ReferenceData!$AZ$166),"")</f>
        <v>3.0201087289999999</v>
      </c>
      <c r="BA166">
        <f ca="1">IFERROR(IF(0=LEN(ReferenceData!$BA$166),"",ReferenceData!$BA$166),"")</f>
        <v>2.820217854</v>
      </c>
      <c r="BB166">
        <f ca="1">IFERROR(IF(0=LEN(ReferenceData!$BB$166),"",ReferenceData!$BB$166),"")</f>
        <v>2.7076309730000001</v>
      </c>
      <c r="BC166">
        <f ca="1">IFERROR(IF(0=LEN(ReferenceData!$BC$166),"",ReferenceData!$BC$166),"")</f>
        <v>2.6723527169999999</v>
      </c>
      <c r="BD166">
        <f ca="1">IFERROR(IF(0=LEN(ReferenceData!$BD$166),"",ReferenceData!$BD$166),"")</f>
        <v>2.7782084660000002</v>
      </c>
      <c r="BE166">
        <f ca="1">IFERROR(IF(0=LEN(ReferenceData!$BE$166),"",ReferenceData!$BE$166),"")</f>
        <v>2.9433250219999998</v>
      </c>
      <c r="BF166">
        <f ca="1">IFERROR(IF(0=LEN(ReferenceData!$BF$166),"",ReferenceData!$BF$166),"")</f>
        <v>3.036292328</v>
      </c>
      <c r="BG166">
        <f ca="1">IFERROR(IF(0=LEN(ReferenceData!$BG$166),"",ReferenceData!$BG$166),"")</f>
        <v>2.8445606109999999</v>
      </c>
      <c r="BH166">
        <f ca="1">IFERROR(IF(0=LEN(ReferenceData!$BH$166),"",ReferenceData!$BH$166),"")</f>
        <v>2.9515779759999998</v>
      </c>
      <c r="BI166">
        <f ca="1">IFERROR(IF(0=LEN(ReferenceData!$BI$166),"",ReferenceData!$BI$166),"")</f>
        <v>2.8707017750000001</v>
      </c>
      <c r="BJ166">
        <f ca="1">IFERROR(IF(0=LEN(ReferenceData!$BJ$166),"",ReferenceData!$BJ$166),"")</f>
        <v>2.972741064</v>
      </c>
      <c r="BK166">
        <f ca="1">IFERROR(IF(0=LEN(ReferenceData!$BK$166),"",ReferenceData!$BK$166),"")</f>
        <v>2.8269410559999999</v>
      </c>
      <c r="BL166">
        <f ca="1">IFERROR(IF(0=LEN(ReferenceData!$BL$166),"",ReferenceData!$BL$166),"")</f>
        <v>2.8409180780000001</v>
      </c>
      <c r="BM166">
        <f ca="1">IFERROR(IF(0=LEN(ReferenceData!$BM$166),"",ReferenceData!$BM$166),"")</f>
        <v>2.9027864050000001</v>
      </c>
    </row>
    <row r="167" spans="1:65">
      <c r="A167" t="str">
        <f>IFERROR(IF(0=LEN(ReferenceData!$A$167),"",ReferenceData!$A$167),"")</f>
        <v/>
      </c>
      <c r="B167" t="str">
        <f>IFERROR(IF(0=LEN(ReferenceData!$B$167),"",ReferenceData!$B$167),"")</f>
        <v/>
      </c>
      <c r="C167" t="str">
        <f>IFERROR(IF(0=LEN(ReferenceData!$C$167),"",ReferenceData!$C$167),"")</f>
        <v/>
      </c>
      <c r="D167" t="str">
        <f>IFERROR(IF(0=LEN(ReferenceData!$D$167),"",ReferenceData!$D$167),"")</f>
        <v/>
      </c>
      <c r="E167" t="str">
        <f>IFERROR(IF(0=LEN(ReferenceData!$E$167),"",ReferenceData!$E$167),"")</f>
        <v>静态</v>
      </c>
      <c r="F167" t="str">
        <f ca="1">IFERROR(IF(0=LEN(ReferenceData!$F$167),"",ReferenceData!$F$167),"")</f>
        <v/>
      </c>
      <c r="G167" t="str">
        <f ca="1">IFERROR(IF(0=LEN(ReferenceData!$G$167),"",ReferenceData!$G$167),"")</f>
        <v/>
      </c>
      <c r="H167" t="str">
        <f ca="1">IFERROR(IF(0=LEN(ReferenceData!$H$167),"",ReferenceData!$H$167),"")</f>
        <v/>
      </c>
      <c r="I167" t="str">
        <f ca="1">IFERROR(IF(0=LEN(ReferenceData!$I$167),"",ReferenceData!$I$167),"")</f>
        <v/>
      </c>
      <c r="J167" t="str">
        <f ca="1">IFERROR(IF(0=LEN(ReferenceData!$J$167),"",ReferenceData!$J$167),"")</f>
        <v/>
      </c>
      <c r="K167" t="str">
        <f ca="1">IFERROR(IF(0=LEN(ReferenceData!$K$167),"",ReferenceData!$K$167),"")</f>
        <v/>
      </c>
      <c r="L167" t="str">
        <f ca="1">IFERROR(IF(0=LEN(ReferenceData!$L$167),"",ReferenceData!$L$167),"")</f>
        <v/>
      </c>
      <c r="M167" t="str">
        <f ca="1">IFERROR(IF(0=LEN(ReferenceData!$M$167),"",ReferenceData!$M$167),"")</f>
        <v/>
      </c>
      <c r="N167" t="str">
        <f ca="1">IFERROR(IF(0=LEN(ReferenceData!$N$167),"",ReferenceData!$N$167),"")</f>
        <v/>
      </c>
      <c r="O167" t="str">
        <f ca="1">IFERROR(IF(0=LEN(ReferenceData!$O$167),"",ReferenceData!$O$167),"")</f>
        <v/>
      </c>
      <c r="P167" t="str">
        <f ca="1">IFERROR(IF(0=LEN(ReferenceData!$P$167),"",ReferenceData!$P$167),"")</f>
        <v/>
      </c>
      <c r="Q167" t="str">
        <f ca="1">IFERROR(IF(0=LEN(ReferenceData!$Q$167),"",ReferenceData!$Q$167),"")</f>
        <v/>
      </c>
      <c r="R167" t="str">
        <f ca="1">IFERROR(IF(0=LEN(ReferenceData!$R$167),"",ReferenceData!$R$167),"")</f>
        <v/>
      </c>
      <c r="S167" t="str">
        <f ca="1">IFERROR(IF(0=LEN(ReferenceData!$S$167),"",ReferenceData!$S$167),"")</f>
        <v/>
      </c>
      <c r="T167" t="str">
        <f ca="1">IFERROR(IF(0=LEN(ReferenceData!$T$167),"",ReferenceData!$T$167),"")</f>
        <v/>
      </c>
      <c r="U167" t="str">
        <f ca="1">IFERROR(IF(0=LEN(ReferenceData!$U$167),"",ReferenceData!$U$167),"")</f>
        <v/>
      </c>
      <c r="V167" t="str">
        <f ca="1">IFERROR(IF(0=LEN(ReferenceData!$V$167),"",ReferenceData!$V$167),"")</f>
        <v/>
      </c>
      <c r="W167" t="str">
        <f ca="1">IFERROR(IF(0=LEN(ReferenceData!$W$167),"",ReferenceData!$W$167),"")</f>
        <v/>
      </c>
      <c r="X167" t="str">
        <f ca="1">IFERROR(IF(0=LEN(ReferenceData!$X$167),"",ReferenceData!$X$167),"")</f>
        <v/>
      </c>
      <c r="Y167" t="str">
        <f ca="1">IFERROR(IF(0=LEN(ReferenceData!$Y$167),"",ReferenceData!$Y$167),"")</f>
        <v/>
      </c>
      <c r="Z167" t="str">
        <f ca="1">IFERROR(IF(0=LEN(ReferenceData!$Z$167),"",ReferenceData!$Z$167),"")</f>
        <v/>
      </c>
      <c r="AA167" t="str">
        <f ca="1">IFERROR(IF(0=LEN(ReferenceData!$AA$167),"",ReferenceData!$AA$167),"")</f>
        <v/>
      </c>
      <c r="AB167" t="str">
        <f ca="1">IFERROR(IF(0=LEN(ReferenceData!$AB$167),"",ReferenceData!$AB$167),"")</f>
        <v/>
      </c>
      <c r="AC167" t="str">
        <f ca="1">IFERROR(IF(0=LEN(ReferenceData!$AC$167),"",ReferenceData!$AC$167),"")</f>
        <v/>
      </c>
      <c r="AD167" t="str">
        <f ca="1">IFERROR(IF(0=LEN(ReferenceData!$AD$167),"",ReferenceData!$AD$167),"")</f>
        <v/>
      </c>
      <c r="AE167" t="str">
        <f ca="1">IFERROR(IF(0=LEN(ReferenceData!$AE$167),"",ReferenceData!$AE$167),"")</f>
        <v/>
      </c>
      <c r="AF167" t="str">
        <f ca="1">IFERROR(IF(0=LEN(ReferenceData!$AF$167),"",ReferenceData!$AF$167),"")</f>
        <v/>
      </c>
      <c r="AG167" t="str">
        <f ca="1">IFERROR(IF(0=LEN(ReferenceData!$AG$167),"",ReferenceData!$AG$167),"")</f>
        <v/>
      </c>
      <c r="AH167" t="str">
        <f ca="1">IFERROR(IF(0=LEN(ReferenceData!$AH$167),"",ReferenceData!$AH$167),"")</f>
        <v/>
      </c>
      <c r="AI167" t="str">
        <f ca="1">IFERROR(IF(0=LEN(ReferenceData!$AI$167),"",ReferenceData!$AI$167),"")</f>
        <v/>
      </c>
      <c r="AJ167" t="str">
        <f ca="1">IFERROR(IF(0=LEN(ReferenceData!$AJ$167),"",ReferenceData!$AJ$167),"")</f>
        <v/>
      </c>
      <c r="AK167" t="str">
        <f ca="1">IFERROR(IF(0=LEN(ReferenceData!$AK$167),"",ReferenceData!$AK$167),"")</f>
        <v/>
      </c>
      <c r="AL167" t="str">
        <f ca="1">IFERROR(IF(0=LEN(ReferenceData!$AL$167),"",ReferenceData!$AL$167),"")</f>
        <v/>
      </c>
      <c r="AM167" t="str">
        <f ca="1">IFERROR(IF(0=LEN(ReferenceData!$AM$167),"",ReferenceData!$AM$167),"")</f>
        <v/>
      </c>
      <c r="AN167" t="str">
        <f ca="1">IFERROR(IF(0=LEN(ReferenceData!$AN$167),"",ReferenceData!$AN$167),"")</f>
        <v/>
      </c>
      <c r="AO167" t="str">
        <f ca="1">IFERROR(IF(0=LEN(ReferenceData!$AO$167),"",ReferenceData!$AO$167),"")</f>
        <v/>
      </c>
      <c r="AP167" t="str">
        <f ca="1">IFERROR(IF(0=LEN(ReferenceData!$AP$167),"",ReferenceData!$AP$167),"")</f>
        <v/>
      </c>
      <c r="AQ167" t="str">
        <f ca="1">IFERROR(IF(0=LEN(ReferenceData!$AQ$167),"",ReferenceData!$AQ$167),"")</f>
        <v/>
      </c>
      <c r="AR167" t="str">
        <f ca="1">IFERROR(IF(0=LEN(ReferenceData!$AR$167),"",ReferenceData!$AR$167),"")</f>
        <v/>
      </c>
      <c r="AS167" t="str">
        <f ca="1">IFERROR(IF(0=LEN(ReferenceData!$AS$167),"",ReferenceData!$AS$167),"")</f>
        <v/>
      </c>
      <c r="AT167" t="str">
        <f ca="1">IFERROR(IF(0=LEN(ReferenceData!$AT$167),"",ReferenceData!$AT$167),"")</f>
        <v/>
      </c>
      <c r="AU167" t="str">
        <f ca="1">IFERROR(IF(0=LEN(ReferenceData!$AU$167),"",ReferenceData!$AU$167),"")</f>
        <v/>
      </c>
      <c r="AV167" t="str">
        <f ca="1">IFERROR(IF(0=LEN(ReferenceData!$AV$167),"",ReferenceData!$AV$167),"")</f>
        <v/>
      </c>
      <c r="AW167" t="str">
        <f ca="1">IFERROR(IF(0=LEN(ReferenceData!$AW$167),"",ReferenceData!$AW$167),"")</f>
        <v/>
      </c>
      <c r="AX167" t="str">
        <f ca="1">IFERROR(IF(0=LEN(ReferenceData!$AX$167),"",ReferenceData!$AX$167),"")</f>
        <v/>
      </c>
      <c r="AY167" t="str">
        <f ca="1">IFERROR(IF(0=LEN(ReferenceData!$AY$167),"",ReferenceData!$AY$167),"")</f>
        <v/>
      </c>
      <c r="AZ167" t="str">
        <f ca="1">IFERROR(IF(0=LEN(ReferenceData!$AZ$167),"",ReferenceData!$AZ$167),"")</f>
        <v/>
      </c>
      <c r="BA167" t="str">
        <f ca="1">IFERROR(IF(0=LEN(ReferenceData!$BA$167),"",ReferenceData!$BA$167),"")</f>
        <v/>
      </c>
      <c r="BB167" t="str">
        <f ca="1">IFERROR(IF(0=LEN(ReferenceData!$BB$167),"",ReferenceData!$BB$167),"")</f>
        <v/>
      </c>
      <c r="BC167" t="str">
        <f ca="1">IFERROR(IF(0=LEN(ReferenceData!$BC$167),"",ReferenceData!$BC$167),"")</f>
        <v/>
      </c>
      <c r="BD167" t="str">
        <f ca="1">IFERROR(IF(0=LEN(ReferenceData!$BD$167),"",ReferenceData!$BD$167),"")</f>
        <v/>
      </c>
      <c r="BE167" t="str">
        <f ca="1">IFERROR(IF(0=LEN(ReferenceData!$BE$167),"",ReferenceData!$BE$167),"")</f>
        <v/>
      </c>
      <c r="BF167" t="str">
        <f ca="1">IFERROR(IF(0=LEN(ReferenceData!$BF$167),"",ReferenceData!$BF$167),"")</f>
        <v/>
      </c>
      <c r="BG167" t="str">
        <f ca="1">IFERROR(IF(0=LEN(ReferenceData!$BG$167),"",ReferenceData!$BG$167),"")</f>
        <v/>
      </c>
      <c r="BH167" t="str">
        <f ca="1">IFERROR(IF(0=LEN(ReferenceData!$BH$167),"",ReferenceData!$BH$167),"")</f>
        <v/>
      </c>
      <c r="BI167" t="str">
        <f ca="1">IFERROR(IF(0=LEN(ReferenceData!$BI$167),"",ReferenceData!$BI$167),"")</f>
        <v/>
      </c>
      <c r="BJ167" t="str">
        <f ca="1">IFERROR(IF(0=LEN(ReferenceData!$BJ$167),"",ReferenceData!$BJ$167),"")</f>
        <v/>
      </c>
      <c r="BK167" t="str">
        <f ca="1">IFERROR(IF(0=LEN(ReferenceData!$BK$167),"",ReferenceData!$BK$167),"")</f>
        <v/>
      </c>
      <c r="BL167" t="str">
        <f ca="1">IFERROR(IF(0=LEN(ReferenceData!$BL$167),"",ReferenceData!$BL$167),"")</f>
        <v/>
      </c>
      <c r="BM167" t="str">
        <f ca="1">IFERROR(IF(0=LEN(ReferenceData!$BM$167),"",ReferenceData!$BM$167),"")</f>
        <v/>
      </c>
    </row>
  </sheetData>
  <phoneticPr fontId="1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U363"/>
  <sheetViews>
    <sheetView workbookViewId="0"/>
  </sheetViews>
  <sheetFormatPr defaultRowHeight="13.5"/>
  <cols>
    <col min="1" max="1" width="56.375" customWidth="1"/>
    <col min="2" max="2" width="15.75" customWidth="1"/>
    <col min="3" max="125" width="9.125" bestFit="1" customWidth="1"/>
  </cols>
  <sheetData>
    <row r="1" spans="1:125" ht="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</row>
    <row r="2" spans="1:125" ht="15">
      <c r="A2" s="1" t="str">
        <f>"简述"</f>
        <v>简述</v>
      </c>
      <c r="B2" s="1" t="str">
        <f>"代码"</f>
        <v>代码</v>
      </c>
      <c r="C2" s="1" t="str">
        <f>"栏目ID"</f>
        <v>栏目ID</v>
      </c>
      <c r="D2" s="1" t="str">
        <f>"栏目助记符"</f>
        <v>栏目助记符</v>
      </c>
      <c r="E2" s="1" t="str">
        <f>"数据状态"</f>
        <v>数据状态</v>
      </c>
      <c r="F2" s="1" t="str">
        <f>ReferenceData!$C$354</f>
        <v>2017 Q4</v>
      </c>
      <c r="G2" s="1" t="str">
        <f>ReferenceData!$D$354</f>
        <v>2017 Q3</v>
      </c>
      <c r="H2" s="1" t="str">
        <f>ReferenceData!$E$354</f>
        <v>2017 Q2</v>
      </c>
      <c r="I2" s="1" t="str">
        <f>ReferenceData!$F$354</f>
        <v>2017 Q1</v>
      </c>
      <c r="J2" s="1" t="str">
        <f>ReferenceData!$G$354</f>
        <v>2016 Q4</v>
      </c>
      <c r="K2" s="1" t="str">
        <f>ReferenceData!$H$354</f>
        <v>2016 Q3</v>
      </c>
      <c r="L2" s="1" t="str">
        <f>ReferenceData!$I$354</f>
        <v>2016 Q2</v>
      </c>
      <c r="M2" s="1" t="str">
        <f>ReferenceData!$J$354</f>
        <v>2016 Q1</v>
      </c>
      <c r="N2" s="1" t="str">
        <f>ReferenceData!$K$354</f>
        <v>2015 Q4</v>
      </c>
      <c r="O2" s="1" t="str">
        <f>ReferenceData!$L$354</f>
        <v>2015 Q3</v>
      </c>
      <c r="P2" s="1" t="str">
        <f>ReferenceData!$M$354</f>
        <v>2015 Q2</v>
      </c>
      <c r="Q2" s="1" t="str">
        <f>ReferenceData!$N$354</f>
        <v>2015 Q1</v>
      </c>
      <c r="R2" s="1" t="str">
        <f>ReferenceData!$O$354</f>
        <v>2014 Q4</v>
      </c>
      <c r="S2" s="1" t="str">
        <f>ReferenceData!$P$354</f>
        <v>2014 Q3</v>
      </c>
      <c r="T2" s="1" t="str">
        <f>ReferenceData!$Q$354</f>
        <v>2014 Q2</v>
      </c>
      <c r="U2" s="1" t="str">
        <f>ReferenceData!$R$354</f>
        <v>2014 Q1</v>
      </c>
      <c r="V2" s="1" t="str">
        <f>ReferenceData!$S$354</f>
        <v>2013 Q4</v>
      </c>
      <c r="W2" s="1" t="str">
        <f>ReferenceData!$T$354</f>
        <v>2013 Q3</v>
      </c>
      <c r="X2" s="1" t="str">
        <f>ReferenceData!$U$354</f>
        <v>2013 Q2</v>
      </c>
      <c r="Y2" s="1" t="str">
        <f>ReferenceData!$V$354</f>
        <v>2013 Q1</v>
      </c>
      <c r="Z2" s="1" t="str">
        <f>ReferenceData!$W$354</f>
        <v>2012 Q4</v>
      </c>
      <c r="AA2" s="1" t="str">
        <f>ReferenceData!$X$354</f>
        <v>2012 Q3</v>
      </c>
      <c r="AB2" s="1" t="str">
        <f>ReferenceData!$Y$354</f>
        <v>2012 Q2</v>
      </c>
      <c r="AC2" s="1" t="str">
        <f>ReferenceData!$Z$354</f>
        <v>2012 Q1</v>
      </c>
      <c r="AD2" s="1" t="str">
        <f>ReferenceData!$AA$354</f>
        <v>2011 Q4</v>
      </c>
      <c r="AE2" s="1" t="str">
        <f>ReferenceData!$AB$354</f>
        <v>2011 Q3</v>
      </c>
      <c r="AF2" s="1" t="str">
        <f>ReferenceData!$AC$354</f>
        <v>2011 Q2</v>
      </c>
      <c r="AG2" s="1" t="str">
        <f>ReferenceData!$AD$354</f>
        <v>2011 Q1</v>
      </c>
      <c r="AH2" s="1" t="str">
        <f>ReferenceData!$AE$354</f>
        <v>2010 Q4</v>
      </c>
      <c r="AI2" s="1" t="str">
        <f>ReferenceData!$AF$354</f>
        <v>2010 Q3</v>
      </c>
      <c r="AJ2" s="1" t="str">
        <f>ReferenceData!$AG$354</f>
        <v>2010 Q2</v>
      </c>
      <c r="AK2" s="1" t="str">
        <f>ReferenceData!$AH$354</f>
        <v>2010 Q1</v>
      </c>
      <c r="AL2" s="1" t="str">
        <f>ReferenceData!$AI$354</f>
        <v>2009 Q4</v>
      </c>
      <c r="AM2" s="1" t="str">
        <f>ReferenceData!$AJ$354</f>
        <v>2009 Q3</v>
      </c>
      <c r="AN2" s="1" t="str">
        <f>ReferenceData!$AK$354</f>
        <v>2009 Q2</v>
      </c>
      <c r="AO2" s="1" t="str">
        <f>ReferenceData!$AL$354</f>
        <v>2009 Q1</v>
      </c>
      <c r="AP2" s="1" t="str">
        <f>ReferenceData!$AM$354</f>
        <v>2008 Q4</v>
      </c>
      <c r="AQ2" s="1" t="str">
        <f>ReferenceData!$AN$354</f>
        <v>2008 Q3</v>
      </c>
      <c r="AR2" s="1" t="str">
        <f>ReferenceData!$AO$354</f>
        <v>2008 Q2</v>
      </c>
      <c r="AS2" s="1" t="str">
        <f>ReferenceData!$AP$354</f>
        <v>2008 Q1</v>
      </c>
      <c r="AT2" s="1" t="str">
        <f>ReferenceData!$AQ$354</f>
        <v>2007 Q4</v>
      </c>
      <c r="AU2" s="1" t="str">
        <f>ReferenceData!$AR$354</f>
        <v>2007 Q3</v>
      </c>
      <c r="AV2" s="1" t="str">
        <f>ReferenceData!$AS$354</f>
        <v>2007 Q2</v>
      </c>
      <c r="AW2" s="1" t="str">
        <f>ReferenceData!$AT$354</f>
        <v>2007 Q1</v>
      </c>
      <c r="AX2" s="1" t="str">
        <f>ReferenceData!$AU$354</f>
        <v>2006 Q4</v>
      </c>
      <c r="AY2" s="1" t="str">
        <f>ReferenceData!$AV$354</f>
        <v>2006 Q3</v>
      </c>
      <c r="AZ2" s="1" t="str">
        <f>ReferenceData!$AW$354</f>
        <v>2006 Q2</v>
      </c>
      <c r="BA2" s="1" t="str">
        <f>ReferenceData!$AX$354</f>
        <v>2006 Q1</v>
      </c>
      <c r="BB2" s="1" t="str">
        <f>ReferenceData!$AY$354</f>
        <v>2005 Q4</v>
      </c>
      <c r="BC2" s="1" t="str">
        <f>ReferenceData!$AZ$354</f>
        <v>2005 Q3</v>
      </c>
      <c r="BD2" s="1" t="str">
        <f>ReferenceData!$BA$354</f>
        <v>2005 Q2</v>
      </c>
      <c r="BE2" s="1" t="str">
        <f>ReferenceData!$BB$354</f>
        <v>2005 Q1</v>
      </c>
      <c r="BF2" s="1" t="str">
        <f>ReferenceData!$BC$354</f>
        <v>2004 Q4</v>
      </c>
      <c r="BG2" s="1" t="str">
        <f>ReferenceData!$BD$354</f>
        <v>2004 Q3</v>
      </c>
      <c r="BH2" s="1" t="str">
        <f>ReferenceData!$BE$354</f>
        <v>2004 Q2</v>
      </c>
      <c r="BI2" s="1" t="str">
        <f>ReferenceData!$BF$354</f>
        <v>2004 Q1</v>
      </c>
      <c r="BJ2" s="1" t="str">
        <f>ReferenceData!$BG$354</f>
        <v>2003 Q4</v>
      </c>
      <c r="BK2" s="1" t="str">
        <f>ReferenceData!$BH$354</f>
        <v>2003 Q3</v>
      </c>
      <c r="BL2" s="1" t="str">
        <f>ReferenceData!$BI$354</f>
        <v>2003 Q2</v>
      </c>
      <c r="BM2" s="1" t="str">
        <f>ReferenceData!$BJ$354</f>
        <v>2003 Q1</v>
      </c>
      <c r="BN2" t="str">
        <f>$C$354</f>
        <v>2017 Q4</v>
      </c>
      <c r="BO2" t="str">
        <f>$D$354</f>
        <v>2017 Q3</v>
      </c>
      <c r="BP2" t="str">
        <f>$E$354</f>
        <v>2017 Q2</v>
      </c>
      <c r="BQ2" t="str">
        <f>$F$354</f>
        <v>2017 Q1</v>
      </c>
      <c r="BR2" t="str">
        <f>$G$354</f>
        <v>2016 Q4</v>
      </c>
      <c r="BS2" t="str">
        <f>$H$354</f>
        <v>2016 Q3</v>
      </c>
      <c r="BT2" t="str">
        <f>$I$354</f>
        <v>2016 Q2</v>
      </c>
      <c r="BU2" t="str">
        <f>$J$354</f>
        <v>2016 Q1</v>
      </c>
      <c r="BV2" t="str">
        <f>$K$354</f>
        <v>2015 Q4</v>
      </c>
      <c r="BW2" t="str">
        <f>$L$354</f>
        <v>2015 Q3</v>
      </c>
      <c r="BX2" t="str">
        <f>$M$354</f>
        <v>2015 Q2</v>
      </c>
      <c r="BY2" t="str">
        <f>$N$354</f>
        <v>2015 Q1</v>
      </c>
      <c r="BZ2" t="str">
        <f>$O$354</f>
        <v>2014 Q4</v>
      </c>
      <c r="CA2" t="str">
        <f>$P$354</f>
        <v>2014 Q3</v>
      </c>
      <c r="CB2" t="str">
        <f>$Q$354</f>
        <v>2014 Q2</v>
      </c>
      <c r="CC2" t="str">
        <f>$R$354</f>
        <v>2014 Q1</v>
      </c>
      <c r="CD2" t="str">
        <f>$S$354</f>
        <v>2013 Q4</v>
      </c>
      <c r="CE2" t="str">
        <f>$T$354</f>
        <v>2013 Q3</v>
      </c>
      <c r="CF2" t="str">
        <f>$U$354</f>
        <v>2013 Q2</v>
      </c>
      <c r="CG2" t="str">
        <f>$V$354</f>
        <v>2013 Q1</v>
      </c>
      <c r="CH2" t="str">
        <f>$W$354</f>
        <v>2012 Q4</v>
      </c>
      <c r="CI2" t="str">
        <f>$X$354</f>
        <v>2012 Q3</v>
      </c>
      <c r="CJ2" t="str">
        <f>$Y$354</f>
        <v>2012 Q2</v>
      </c>
      <c r="CK2" t="str">
        <f>$Z$354</f>
        <v>2012 Q1</v>
      </c>
      <c r="CL2" t="str">
        <f>$AA$354</f>
        <v>2011 Q4</v>
      </c>
      <c r="CM2" t="str">
        <f>$AB$354</f>
        <v>2011 Q3</v>
      </c>
      <c r="CN2" t="str">
        <f>$AC$354</f>
        <v>2011 Q2</v>
      </c>
      <c r="CO2" t="str">
        <f>$AD$354</f>
        <v>2011 Q1</v>
      </c>
      <c r="CP2" t="str">
        <f>$AE$354</f>
        <v>2010 Q4</v>
      </c>
      <c r="CQ2" t="str">
        <f>$AF$354</f>
        <v>2010 Q3</v>
      </c>
      <c r="CR2" t="str">
        <f>$AG$354</f>
        <v>2010 Q2</v>
      </c>
      <c r="CS2" t="str">
        <f>$AH$354</f>
        <v>2010 Q1</v>
      </c>
      <c r="CT2" t="str">
        <f>$AI$354</f>
        <v>2009 Q4</v>
      </c>
      <c r="CU2" t="str">
        <f>$AJ$354</f>
        <v>2009 Q3</v>
      </c>
      <c r="CV2" t="str">
        <f>$AK$354</f>
        <v>2009 Q2</v>
      </c>
      <c r="CW2" t="str">
        <f>$AL$354</f>
        <v>2009 Q1</v>
      </c>
      <c r="CX2" t="str">
        <f>$AM$354</f>
        <v>2008 Q4</v>
      </c>
      <c r="CY2" t="str">
        <f>$AN$354</f>
        <v>2008 Q3</v>
      </c>
      <c r="CZ2" t="str">
        <f>$AO$354</f>
        <v>2008 Q2</v>
      </c>
      <c r="DA2" t="str">
        <f>$AP$354</f>
        <v>2008 Q1</v>
      </c>
      <c r="DB2" t="str">
        <f>$AQ$354</f>
        <v>2007 Q4</v>
      </c>
      <c r="DC2" t="str">
        <f>$AR$354</f>
        <v>2007 Q3</v>
      </c>
      <c r="DD2" t="str">
        <f>$AS$354</f>
        <v>2007 Q2</v>
      </c>
      <c r="DE2" t="str">
        <f>$AT$354</f>
        <v>2007 Q1</v>
      </c>
      <c r="DF2" t="str">
        <f>$AU$354</f>
        <v>2006 Q4</v>
      </c>
      <c r="DG2" t="str">
        <f>$AV$354</f>
        <v>2006 Q3</v>
      </c>
      <c r="DH2" t="str">
        <f>$AW$354</f>
        <v>2006 Q2</v>
      </c>
      <c r="DI2" t="str">
        <f>$AX$354</f>
        <v>2006 Q1</v>
      </c>
      <c r="DJ2" t="str">
        <f>$AY$354</f>
        <v>2005 Q4</v>
      </c>
      <c r="DK2" t="str">
        <f>$AZ$354</f>
        <v>2005 Q3</v>
      </c>
      <c r="DL2" t="str">
        <f>$BA$354</f>
        <v>2005 Q2</v>
      </c>
      <c r="DM2" t="str">
        <f>$BB$354</f>
        <v>2005 Q1</v>
      </c>
      <c r="DN2" t="str">
        <f>$BC$354</f>
        <v>2004 Q4</v>
      </c>
      <c r="DO2" t="str">
        <f>$BD$354</f>
        <v>2004 Q3</v>
      </c>
      <c r="DP2" t="str">
        <f>$BE$354</f>
        <v>2004 Q2</v>
      </c>
      <c r="DQ2" t="str">
        <f>$BF$354</f>
        <v>2004 Q1</v>
      </c>
      <c r="DR2" t="str">
        <f>$BG$354</f>
        <v>2003 Q4</v>
      </c>
      <c r="DS2" t="str">
        <f>$BH$354</f>
        <v>2003 Q3</v>
      </c>
      <c r="DT2" t="str">
        <f>$BI$354</f>
        <v>2003 Q2</v>
      </c>
      <c r="DU2" t="str">
        <f>$BJ$354</f>
        <v>2003 Q1</v>
      </c>
    </row>
    <row r="3" spans="1:125">
      <c r="A3" t="str">
        <f>"NAREIT T-Tracker数据"</f>
        <v>NAREIT T-Tracker数据</v>
      </c>
      <c r="B3" t="str">
        <f>""</f>
        <v/>
      </c>
      <c r="E3" t="str">
        <f>"标题"</f>
        <v>标题</v>
      </c>
      <c r="BN3" t="str">
        <f>""</f>
        <v/>
      </c>
      <c r="BO3" t="str">
        <f>""</f>
        <v/>
      </c>
      <c r="BP3" t="str">
        <f>""</f>
        <v/>
      </c>
      <c r="BQ3" t="str">
        <f>""</f>
        <v/>
      </c>
      <c r="BR3" t="str">
        <f>""</f>
        <v/>
      </c>
      <c r="BS3" t="str">
        <f>""</f>
        <v/>
      </c>
      <c r="BT3" t="str">
        <f>""</f>
        <v/>
      </c>
      <c r="BU3" t="str">
        <f>""</f>
        <v/>
      </c>
      <c r="BV3" t="str">
        <f>""</f>
        <v/>
      </c>
      <c r="BW3" t="str">
        <f>""</f>
        <v/>
      </c>
      <c r="BX3" t="str">
        <f>""</f>
        <v/>
      </c>
      <c r="BY3" t="str">
        <f>""</f>
        <v/>
      </c>
      <c r="BZ3" t="str">
        <f>""</f>
        <v/>
      </c>
      <c r="CA3" t="str">
        <f>""</f>
        <v/>
      </c>
      <c r="CB3" t="str">
        <f>""</f>
        <v/>
      </c>
      <c r="CC3" t="str">
        <f>""</f>
        <v/>
      </c>
      <c r="CD3" t="str">
        <f>""</f>
        <v/>
      </c>
      <c r="CE3" t="str">
        <f>""</f>
        <v/>
      </c>
      <c r="CF3" t="str">
        <f>""</f>
        <v/>
      </c>
      <c r="CG3" t="str">
        <f>""</f>
        <v/>
      </c>
      <c r="CH3" t="str">
        <f>""</f>
        <v/>
      </c>
      <c r="CI3" t="str">
        <f>""</f>
        <v/>
      </c>
      <c r="CJ3" t="str">
        <f>""</f>
        <v/>
      </c>
      <c r="CK3" t="str">
        <f>""</f>
        <v/>
      </c>
      <c r="CL3" t="str">
        <f>""</f>
        <v/>
      </c>
      <c r="CM3" t="str">
        <f>""</f>
        <v/>
      </c>
      <c r="CN3" t="str">
        <f>""</f>
        <v/>
      </c>
      <c r="CO3" t="str">
        <f>""</f>
        <v/>
      </c>
      <c r="CP3" t="str">
        <f>""</f>
        <v/>
      </c>
      <c r="CQ3" t="str">
        <f>""</f>
        <v/>
      </c>
      <c r="CR3" t="str">
        <f>""</f>
        <v/>
      </c>
      <c r="CS3" t="str">
        <f>""</f>
        <v/>
      </c>
      <c r="CT3" t="str">
        <f>""</f>
        <v/>
      </c>
      <c r="CU3" t="str">
        <f>""</f>
        <v/>
      </c>
      <c r="CV3" t="str">
        <f>""</f>
        <v/>
      </c>
      <c r="CW3" t="str">
        <f>""</f>
        <v/>
      </c>
      <c r="CX3" t="str">
        <f>""</f>
        <v/>
      </c>
      <c r="CY3" t="str">
        <f>""</f>
        <v/>
      </c>
      <c r="CZ3" t="str">
        <f>""</f>
        <v/>
      </c>
      <c r="DA3" t="str">
        <f>""</f>
        <v/>
      </c>
      <c r="DB3" t="str">
        <f>""</f>
        <v/>
      </c>
      <c r="DC3" t="str">
        <f>""</f>
        <v/>
      </c>
      <c r="DD3" t="str">
        <f>""</f>
        <v/>
      </c>
      <c r="DE3" t="str">
        <f>""</f>
        <v/>
      </c>
      <c r="DF3" t="str">
        <f>""</f>
        <v/>
      </c>
      <c r="DG3" t="str">
        <f>""</f>
        <v/>
      </c>
      <c r="DH3" t="str">
        <f>""</f>
        <v/>
      </c>
      <c r="DI3" t="str">
        <f>""</f>
        <v/>
      </c>
      <c r="DJ3" t="str">
        <f>""</f>
        <v/>
      </c>
      <c r="DK3" t="str">
        <f>""</f>
        <v/>
      </c>
      <c r="DL3" t="str">
        <f>""</f>
        <v/>
      </c>
      <c r="DM3" t="str">
        <f>""</f>
        <v/>
      </c>
      <c r="DN3" t="str">
        <f>""</f>
        <v/>
      </c>
      <c r="DO3" t="str">
        <f>""</f>
        <v/>
      </c>
      <c r="DP3" t="str">
        <f>""</f>
        <v/>
      </c>
      <c r="DQ3" t="str">
        <f>""</f>
        <v/>
      </c>
      <c r="DR3" t="str">
        <f>""</f>
        <v/>
      </c>
      <c r="DS3" t="str">
        <f>""</f>
        <v/>
      </c>
      <c r="DT3" t="str">
        <f>""</f>
        <v/>
      </c>
      <c r="DU3" t="str">
        <f>""</f>
        <v/>
      </c>
    </row>
    <row r="4" spans="1:125">
      <c r="A4" t="str">
        <f>"同店净营业利润增长-所有房地产投资信托"</f>
        <v>同店净营业利润增长-所有房地产投资信托</v>
      </c>
      <c r="B4" t="str">
        <f>"RECFSSEQ Index"</f>
        <v>RECFSSEQ Index</v>
      </c>
      <c r="C4" t="str">
        <f t="shared" ref="C4:C34" si="0">"PR005"</f>
        <v>PR005</v>
      </c>
      <c r="D4" t="str">
        <f t="shared" ref="D4:D34" si="1">"PX_LAST"</f>
        <v>PX_LAST</v>
      </c>
      <c r="E4" t="str">
        <f t="shared" ref="E4:E34" si="2">"动态"</f>
        <v>动态</v>
      </c>
      <c r="F4">
        <f ca="1">IF(AND(ISNUMBER($F$237),$B$183=1),$F$237,HLOOKUP(INDIRECT(ADDRESS(2,COLUMN())),OFFSET($BN$2,0,0,ROW()-1,60),ROW()-1,FALSE))</f>
        <v>2.6229813360000001</v>
      </c>
      <c r="G4">
        <f ca="1">IF(AND(ISNUMBER($G$237),$B$183=1),$G$237,HLOOKUP(INDIRECT(ADDRESS(2,COLUMN())),OFFSET($BN$2,0,0,ROW()-1,60),ROW()-1,FALSE))</f>
        <v>3.1617802510000002</v>
      </c>
      <c r="H4">
        <f ca="1">IF(AND(ISNUMBER($H$237),$B$183=1),$H$237,HLOOKUP(INDIRECT(ADDRESS(2,COLUMN())),OFFSET($BN$2,0,0,ROW()-1,60),ROW()-1,FALSE))</f>
        <v>3.334464981</v>
      </c>
      <c r="I4">
        <f ca="1">IF(AND(ISNUMBER($I$237),$B$183=1),$I$237,HLOOKUP(INDIRECT(ADDRESS(2,COLUMN())),OFFSET($BN$2,0,0,ROW()-1,60),ROW()-1,FALSE))</f>
        <v>3.758343784</v>
      </c>
      <c r="J4">
        <f ca="1">IF(AND(ISNUMBER($J$237),$B$183=1),$J$237,HLOOKUP(INDIRECT(ADDRESS(2,COLUMN())),OFFSET($BN$2,0,0,ROW()-1,60),ROW()-1,FALSE))</f>
        <v>3.6171939439999998</v>
      </c>
      <c r="K4">
        <f ca="1">IF(AND(ISNUMBER($K$237),$B$183=1),$K$237,HLOOKUP(INDIRECT(ADDRESS(2,COLUMN())),OFFSET($BN$2,0,0,ROW()-1,60),ROW()-1,FALSE))</f>
        <v>3.3787914360000002</v>
      </c>
      <c r="L4">
        <f ca="1">IF(AND(ISNUMBER($L$237),$B$183=1),$L$237,HLOOKUP(INDIRECT(ADDRESS(2,COLUMN())),OFFSET($BN$2,0,0,ROW()-1,60),ROW()-1,FALSE))</f>
        <v>4.2949610759999999</v>
      </c>
      <c r="M4">
        <f ca="1">IF(AND(ISNUMBER($M$237),$B$183=1),$M$237,HLOOKUP(INDIRECT(ADDRESS(2,COLUMN())),OFFSET($BN$2,0,0,ROW()-1,60),ROW()-1,FALSE))</f>
        <v>4.9115743949999997</v>
      </c>
      <c r="N4">
        <f ca="1">IF(AND(ISNUMBER($N$237),$B$183=1),$N$237,HLOOKUP(INDIRECT(ADDRESS(2,COLUMN())),OFFSET($BN$2,0,0,ROW()-1,60),ROW()-1,FALSE))</f>
        <v>3.979463806</v>
      </c>
      <c r="O4">
        <f ca="1">IF(AND(ISNUMBER($O$237),$B$183=1),$O$237,HLOOKUP(INDIRECT(ADDRESS(2,COLUMN())),OFFSET($BN$2,0,0,ROW()-1,60),ROW()-1,FALSE))</f>
        <v>4.0304957220000004</v>
      </c>
      <c r="P4">
        <f ca="1">IF(AND(ISNUMBER($P$237),$B$183=1),$P$237,HLOOKUP(INDIRECT(ADDRESS(2,COLUMN())),OFFSET($BN$2,0,0,ROW()-1,60),ROW()-1,FALSE))</f>
        <v>3.9431976010000001</v>
      </c>
      <c r="Q4">
        <f ca="1">IF(AND(ISNUMBER($Q$237),$B$183=1),$Q$237,HLOOKUP(INDIRECT(ADDRESS(2,COLUMN())),OFFSET($BN$2,0,0,ROW()-1,60),ROW()-1,FALSE))</f>
        <v>4.2645275969999998</v>
      </c>
      <c r="R4">
        <f ca="1">IF(AND(ISNUMBER($R$237),$B$183=1),$R$237,HLOOKUP(INDIRECT(ADDRESS(2,COLUMN())),OFFSET($BN$2,0,0,ROW()-1,60),ROW()-1,FALSE))</f>
        <v>4.3543460129999998</v>
      </c>
      <c r="S4">
        <f ca="1">IF(AND(ISNUMBER($S$237),$B$183=1),$S$237,HLOOKUP(INDIRECT(ADDRESS(2,COLUMN())),OFFSET($BN$2,0,0,ROW()-1,60),ROW()-1,FALSE))</f>
        <v>4.7463108729999997</v>
      </c>
      <c r="T4">
        <f ca="1">IF(AND(ISNUMBER($T$237),$B$183=1),$T$237,HLOOKUP(INDIRECT(ADDRESS(2,COLUMN())),OFFSET($BN$2,0,0,ROW()-1,60),ROW()-1,FALSE))</f>
        <v>4.2445900840000004</v>
      </c>
      <c r="U4">
        <f ca="1">IF(AND(ISNUMBER($U$237),$B$183=1),$U$237,HLOOKUP(INDIRECT(ADDRESS(2,COLUMN())),OFFSET($BN$2,0,0,ROW()-1,60),ROW()-1,FALSE))</f>
        <v>3.1393070829999998</v>
      </c>
      <c r="V4">
        <f ca="1">IF(AND(ISNUMBER($V$237),$B$183=1),$V$237,HLOOKUP(INDIRECT(ADDRESS(2,COLUMN())),OFFSET($BN$2,0,0,ROW()-1,60),ROW()-1,FALSE))</f>
        <v>4.0948690110000001</v>
      </c>
      <c r="W4">
        <f ca="1">IF(AND(ISNUMBER($W$237),$B$183=1),$W$237,HLOOKUP(INDIRECT(ADDRESS(2,COLUMN())),OFFSET($BN$2,0,0,ROW()-1,60),ROW()-1,FALSE))</f>
        <v>3.8149080199999998</v>
      </c>
      <c r="X4">
        <f ca="1">IF(AND(ISNUMBER($X$237),$B$183=1),$X$237,HLOOKUP(INDIRECT(ADDRESS(2,COLUMN())),OFFSET($BN$2,0,0,ROW()-1,60),ROW()-1,FALSE))</f>
        <v>4.3060645910000002</v>
      </c>
      <c r="Y4">
        <f ca="1">IF(AND(ISNUMBER($Y$237),$B$183=1),$Y$237,HLOOKUP(INDIRECT(ADDRESS(2,COLUMN())),OFFSET($BN$2,0,0,ROW()-1,60),ROW()-1,FALSE))</f>
        <v>3.7238998579999998</v>
      </c>
      <c r="Z4">
        <f ca="1">IF(AND(ISNUMBER($Z$237),$B$183=1),$Z$237,HLOOKUP(INDIRECT(ADDRESS(2,COLUMN())),OFFSET($BN$2,0,0,ROW()-1,60),ROW()-1,FALSE))</f>
        <v>3.722601804</v>
      </c>
      <c r="AA4">
        <f ca="1">IF(AND(ISNUMBER($AA$237),$B$183=1),$AA$237,HLOOKUP(INDIRECT(ADDRESS(2,COLUMN())),OFFSET($BN$2,0,0,ROW()-1,60),ROW()-1,FALSE))</f>
        <v>3.6654540739999999</v>
      </c>
      <c r="AB4">
        <f ca="1">IF(AND(ISNUMBER($AB$237),$B$183=1),$AB$237,HLOOKUP(INDIRECT(ADDRESS(2,COLUMN())),OFFSET($BN$2,0,0,ROW()-1,60),ROW()-1,FALSE))</f>
        <v>3.7160148190000002</v>
      </c>
      <c r="AC4">
        <f ca="1">IF(AND(ISNUMBER($AC$237),$B$183=1),$AC$237,HLOOKUP(INDIRECT(ADDRESS(2,COLUMN())),OFFSET($BN$2,0,0,ROW()-1,60),ROW()-1,FALSE))</f>
        <v>4.3394197060000002</v>
      </c>
      <c r="AD4">
        <f ca="1">IF(AND(ISNUMBER($AD$237),$B$183=1),$AD$237,HLOOKUP(INDIRECT(ADDRESS(2,COLUMN())),OFFSET($BN$2,0,0,ROW()-1,60),ROW()-1,FALSE))</f>
        <v>2.640585991</v>
      </c>
      <c r="AE4">
        <f ca="1">IF(AND(ISNUMBER($AE$237),$B$183=1),$AE$237,HLOOKUP(INDIRECT(ADDRESS(2,COLUMN())),OFFSET($BN$2,0,0,ROW()-1,60),ROW()-1,FALSE))</f>
        <v>3.2521407369999999</v>
      </c>
      <c r="AF4">
        <f ca="1">IF(AND(ISNUMBER($AF$237),$B$183=1),$AF$237,HLOOKUP(INDIRECT(ADDRESS(2,COLUMN())),OFFSET($BN$2,0,0,ROW()-1,60),ROW()-1,FALSE))</f>
        <v>3.034893018</v>
      </c>
      <c r="AG4">
        <f ca="1">IF(AND(ISNUMBER($AG$237),$B$183=1),$AG$237,HLOOKUP(INDIRECT(ADDRESS(2,COLUMN())),OFFSET($BN$2,0,0,ROW()-1,60),ROW()-1,FALSE))</f>
        <v>2.0877535630000001</v>
      </c>
      <c r="AH4">
        <f ca="1">IF(AND(ISNUMBER($AH$237),$B$183=1),$AH$237,HLOOKUP(INDIRECT(ADDRESS(2,COLUMN())),OFFSET($BN$2,0,0,ROW()-1,60),ROW()-1,FALSE))</f>
        <v>2.282598272</v>
      </c>
      <c r="AI4">
        <f ca="1">IF(AND(ISNUMBER($AI$237),$B$183=1),$AI$237,HLOOKUP(INDIRECT(ADDRESS(2,COLUMN())),OFFSET($BN$2,0,0,ROW()-1,60),ROW()-1,FALSE))</f>
        <v>0.37155680499999999</v>
      </c>
      <c r="AJ4">
        <f ca="1">IF(AND(ISNUMBER($AJ$237),$B$183=1),$AJ$237,HLOOKUP(INDIRECT(ADDRESS(2,COLUMN())),OFFSET($BN$2,0,0,ROW()-1,60),ROW()-1,FALSE))</f>
        <v>-0.98557966900000005</v>
      </c>
      <c r="AK4">
        <f ca="1">IF(AND(ISNUMBER($AK$237),$B$183=1),$AK$237,HLOOKUP(INDIRECT(ADDRESS(2,COLUMN())),OFFSET($BN$2,0,0,ROW()-1,60),ROW()-1,FALSE))</f>
        <v>-1.792255537</v>
      </c>
      <c r="AL4">
        <f ca="1">IF(AND(ISNUMBER($AL$237),$B$183=1),$AL$237,HLOOKUP(INDIRECT(ADDRESS(2,COLUMN())),OFFSET($BN$2,0,0,ROW()-1,60),ROW()-1,FALSE))</f>
        <v>-2.2136347669999998</v>
      </c>
      <c r="AM4">
        <f ca="1">IF(AND(ISNUMBER($AM$237),$B$183=1),$AM$237,HLOOKUP(INDIRECT(ADDRESS(2,COLUMN())),OFFSET($BN$2,0,0,ROW()-1,60),ROW()-1,FALSE))</f>
        <v>-1.78370864</v>
      </c>
      <c r="AN4">
        <f ca="1">IF(AND(ISNUMBER($AN$237),$B$183=1),$AN$237,HLOOKUP(INDIRECT(ADDRESS(2,COLUMN())),OFFSET($BN$2,0,0,ROW()-1,60),ROW()-1,FALSE))</f>
        <v>-0.62939406899999994</v>
      </c>
      <c r="AO4">
        <f ca="1">IF(AND(ISNUMBER($AO$237),$B$183=1),$AO$237,HLOOKUP(INDIRECT(ADDRESS(2,COLUMN())),OFFSET($BN$2,0,0,ROW()-1,60),ROW()-1,FALSE))</f>
        <v>0.47814743100000001</v>
      </c>
      <c r="AP4">
        <f ca="1">IF(AND(ISNUMBER($AP$237),$B$183=1),$AP$237,HLOOKUP(INDIRECT(ADDRESS(2,COLUMN())),OFFSET($BN$2,0,0,ROW()-1,60),ROW()-1,FALSE))</f>
        <v>1.887011067</v>
      </c>
      <c r="AQ4">
        <f ca="1">IF(AND(ISNUMBER($AQ$237),$B$183=1),$AQ$237,HLOOKUP(INDIRECT(ADDRESS(2,COLUMN())),OFFSET($BN$2,0,0,ROW()-1,60),ROW()-1,FALSE))</f>
        <v>2.0880887819999998</v>
      </c>
      <c r="AR4">
        <f ca="1">IF(AND(ISNUMBER($AR$237),$B$183=1),$AR$237,HLOOKUP(INDIRECT(ADDRESS(2,COLUMN())),OFFSET($BN$2,0,0,ROW()-1,60),ROW()-1,FALSE))</f>
        <v>3.5208816989999998</v>
      </c>
      <c r="AS4">
        <f ca="1">IF(AND(ISNUMBER($AS$237),$B$183=1),$AS$237,HLOOKUP(INDIRECT(ADDRESS(2,COLUMN())),OFFSET($BN$2,0,0,ROW()-1,60),ROW()-1,FALSE))</f>
        <v>3.4283491480000001</v>
      </c>
      <c r="AT4">
        <f ca="1">IF(AND(ISNUMBER($AT$237),$B$183=1),$AT$237,HLOOKUP(INDIRECT(ADDRESS(2,COLUMN())),OFFSET($BN$2,0,0,ROW()-1,60),ROW()-1,FALSE))</f>
        <v>3.8561807579999998</v>
      </c>
      <c r="AU4">
        <f ca="1">IF(AND(ISNUMBER($AU$237),$B$183=1),$AU$237,HLOOKUP(INDIRECT(ADDRESS(2,COLUMN())),OFFSET($BN$2,0,0,ROW()-1,60),ROW()-1,FALSE))</f>
        <v>4.4528776060000004</v>
      </c>
      <c r="AV4">
        <f ca="1">IF(AND(ISNUMBER($AV$237),$B$183=1),$AV$237,HLOOKUP(INDIRECT(ADDRESS(2,COLUMN())),OFFSET($BN$2,0,0,ROW()-1,60),ROW()-1,FALSE))</f>
        <v>3.785760255</v>
      </c>
      <c r="AW4">
        <f ca="1">IF(AND(ISNUMBER($AW$237),$B$183=1),$AW$237,HLOOKUP(INDIRECT(ADDRESS(2,COLUMN())),OFFSET($BN$2,0,0,ROW()-1,60),ROW()-1,FALSE))</f>
        <v>3.4905949230000002</v>
      </c>
      <c r="AX4">
        <f ca="1">IF(AND(ISNUMBER($AX$237),$B$183=1),$AX$237,HLOOKUP(INDIRECT(ADDRESS(2,COLUMN())),OFFSET($BN$2,0,0,ROW()-1,60),ROW()-1,FALSE))</f>
        <v>5.8287816059999997</v>
      </c>
      <c r="AY4">
        <f ca="1">IF(AND(ISNUMBER($AY$237),$B$183=1),$AY$237,HLOOKUP(INDIRECT(ADDRESS(2,COLUMN())),OFFSET($BN$2,0,0,ROW()-1,60),ROW()-1,FALSE))</f>
        <v>4.1446884060000002</v>
      </c>
      <c r="AZ4">
        <f ca="1">IF(AND(ISNUMBER($AZ$237),$B$183=1),$AZ$237,HLOOKUP(INDIRECT(ADDRESS(2,COLUMN())),OFFSET($BN$2,0,0,ROW()-1,60),ROW()-1,FALSE))</f>
        <v>4.1103668520000003</v>
      </c>
      <c r="BA4">
        <f ca="1">IF(AND(ISNUMBER($BA$237),$B$183=1),$BA$237,HLOOKUP(INDIRECT(ADDRESS(2,COLUMN())),OFFSET($BN$2,0,0,ROW()-1,60),ROW()-1,FALSE))</f>
        <v>3.3813683170000002</v>
      </c>
      <c r="BB4">
        <f ca="1">IF(AND(ISNUMBER($BB$237),$B$183=1),$BB$237,HLOOKUP(INDIRECT(ADDRESS(2,COLUMN())),OFFSET($BN$2,0,0,ROW()-1,60),ROW()-1,FALSE))</f>
        <v>2.6381630660000002</v>
      </c>
      <c r="BC4">
        <f ca="1">IF(AND(ISNUMBER($BC$237),$B$183=1),$BC$237,HLOOKUP(INDIRECT(ADDRESS(2,COLUMN())),OFFSET($BN$2,0,0,ROW()-1,60),ROW()-1,FALSE))</f>
        <v>2.373553121</v>
      </c>
      <c r="BD4">
        <f ca="1">IF(AND(ISNUMBER($BD$237),$B$183=1),$BD$237,HLOOKUP(INDIRECT(ADDRESS(2,COLUMN())),OFFSET($BN$2,0,0,ROW()-1,60),ROW()-1,FALSE))</f>
        <v>2.424832699</v>
      </c>
      <c r="BE4">
        <f ca="1">IF(AND(ISNUMBER($BE$237),$B$183=1),$BE$237,HLOOKUP(INDIRECT(ADDRESS(2,COLUMN())),OFFSET($BN$2,0,0,ROW()-1,60),ROW()-1,FALSE))</f>
        <v>1.7338812029999999</v>
      </c>
      <c r="BF4">
        <f ca="1">IF(AND(ISNUMBER($BF$237),$B$183=1),$BF$237,HLOOKUP(INDIRECT(ADDRESS(2,COLUMN())),OFFSET($BN$2,0,0,ROW()-1,60),ROW()-1,FALSE))</f>
        <v>0.82930904000000005</v>
      </c>
      <c r="BG4">
        <f ca="1">IF(AND(ISNUMBER($BG$237),$B$183=1),$BG$237,HLOOKUP(INDIRECT(ADDRESS(2,COLUMN())),OFFSET($BN$2,0,0,ROW()-1,60),ROW()-1,FALSE))</f>
        <v>-1.8044101E-2</v>
      </c>
      <c r="BH4">
        <f ca="1">IF(AND(ISNUMBER($BH$237),$B$183=1),$BH$237,HLOOKUP(INDIRECT(ADDRESS(2,COLUMN())),OFFSET($BN$2,0,0,ROW()-1,60),ROW()-1,FALSE))</f>
        <v>0.63878490399999999</v>
      </c>
      <c r="BI4">
        <f ca="1">IF(AND(ISNUMBER($BI$237),$B$183=1),$BI$237,HLOOKUP(INDIRECT(ADDRESS(2,COLUMN())),OFFSET($BN$2,0,0,ROW()-1,60),ROW()-1,FALSE))</f>
        <v>-0.55985417599999998</v>
      </c>
      <c r="BJ4">
        <f ca="1">IF(AND(ISNUMBER($BJ$237),$B$183=1),$BJ$237,HLOOKUP(INDIRECT(ADDRESS(2,COLUMN())),OFFSET($BN$2,0,0,ROW()-1,60),ROW()-1,FALSE))</f>
        <v>-1.9997330099999999</v>
      </c>
      <c r="BK4">
        <f ca="1">IF(AND(ISNUMBER($BK$237),$B$183=1),$BK$237,HLOOKUP(INDIRECT(ADDRESS(2,COLUMN())),OFFSET($BN$2,0,0,ROW()-1,60),ROW()-1,FALSE))</f>
        <v>-3.0148551920000002</v>
      </c>
      <c r="BL4">
        <f ca="1">IF(AND(ISNUMBER($BL$237),$B$183=1),$BL$237,HLOOKUP(INDIRECT(ADDRESS(2,COLUMN())),OFFSET($BN$2,0,0,ROW()-1,60),ROW()-1,FALSE))</f>
        <v>-3.6444737210000002</v>
      </c>
      <c r="BM4">
        <f ca="1">IF(AND(ISNUMBER($BM$237),$B$183=1),$BM$237,HLOOKUP(INDIRECT(ADDRESS(2,COLUMN())),OFFSET($BN$2,0,0,ROW()-1,60),ROW()-1,FALSE))</f>
        <v>-4.7949334290000003</v>
      </c>
      <c r="BN4">
        <f>2.622981336</f>
        <v>2.6229813360000001</v>
      </c>
      <c r="BO4">
        <f>3.161780251</f>
        <v>3.1617802510000002</v>
      </c>
      <c r="BP4">
        <f>3.334464981</f>
        <v>3.334464981</v>
      </c>
      <c r="BQ4">
        <f>3.758343784</f>
        <v>3.758343784</v>
      </c>
      <c r="BR4">
        <f>3.617193944</f>
        <v>3.6171939439999998</v>
      </c>
      <c r="BS4">
        <f>3.378791436</f>
        <v>3.3787914360000002</v>
      </c>
      <c r="BT4">
        <f>4.294961076</f>
        <v>4.2949610759999999</v>
      </c>
      <c r="BU4">
        <f>4.911574395</f>
        <v>4.9115743949999997</v>
      </c>
      <c r="BV4">
        <f>3.979463806</f>
        <v>3.979463806</v>
      </c>
      <c r="BW4">
        <f>4.030495722</f>
        <v>4.0304957220000004</v>
      </c>
      <c r="BX4">
        <f>3.943197601</f>
        <v>3.9431976010000001</v>
      </c>
      <c r="BY4">
        <f>4.264527597</f>
        <v>4.2645275969999998</v>
      </c>
      <c r="BZ4">
        <f>4.354346013</f>
        <v>4.3543460129999998</v>
      </c>
      <c r="CA4">
        <f>4.746310873</f>
        <v>4.7463108729999997</v>
      </c>
      <c r="CB4">
        <f>4.244590084</f>
        <v>4.2445900840000004</v>
      </c>
      <c r="CC4">
        <f>3.139307083</f>
        <v>3.1393070829999998</v>
      </c>
      <c r="CD4">
        <f>4.094869011</f>
        <v>4.0948690110000001</v>
      </c>
      <c r="CE4">
        <f>3.81490802</f>
        <v>3.8149080199999998</v>
      </c>
      <c r="CF4">
        <f>4.306064591</f>
        <v>4.3060645910000002</v>
      </c>
      <c r="CG4">
        <f>3.723899858</f>
        <v>3.7238998579999998</v>
      </c>
      <c r="CH4">
        <f>3.722601804</f>
        <v>3.722601804</v>
      </c>
      <c r="CI4">
        <f>3.665454074</f>
        <v>3.6654540739999999</v>
      </c>
      <c r="CJ4">
        <f>3.716014819</f>
        <v>3.7160148190000002</v>
      </c>
      <c r="CK4">
        <f>4.339419706</f>
        <v>4.3394197060000002</v>
      </c>
      <c r="CL4">
        <f>2.640585991</f>
        <v>2.640585991</v>
      </c>
      <c r="CM4">
        <f>3.252140737</f>
        <v>3.2521407369999999</v>
      </c>
      <c r="CN4">
        <f>3.034893018</f>
        <v>3.034893018</v>
      </c>
      <c r="CO4">
        <f>2.087753563</f>
        <v>2.0877535630000001</v>
      </c>
      <c r="CP4">
        <f>2.282598272</f>
        <v>2.282598272</v>
      </c>
      <c r="CQ4">
        <f>0.371556805</f>
        <v>0.37155680499999999</v>
      </c>
      <c r="CR4">
        <f>-0.985579669</f>
        <v>-0.98557966900000005</v>
      </c>
      <c r="CS4">
        <f>-1.792255537</f>
        <v>-1.792255537</v>
      </c>
      <c r="CT4">
        <f>-2.213634767</f>
        <v>-2.2136347669999998</v>
      </c>
      <c r="CU4">
        <f>-1.78370864</f>
        <v>-1.78370864</v>
      </c>
      <c r="CV4">
        <f>-0.629394069</f>
        <v>-0.62939406899999994</v>
      </c>
      <c r="CW4">
        <f>0.478147431</f>
        <v>0.47814743100000001</v>
      </c>
      <c r="CX4">
        <f>1.887011067</f>
        <v>1.887011067</v>
      </c>
      <c r="CY4">
        <f>2.088088782</f>
        <v>2.0880887819999998</v>
      </c>
      <c r="CZ4">
        <f>3.520881699</f>
        <v>3.5208816989999998</v>
      </c>
      <c r="DA4">
        <f>3.428349148</f>
        <v>3.4283491480000001</v>
      </c>
      <c r="DB4">
        <f>3.856180758</f>
        <v>3.8561807579999998</v>
      </c>
      <c r="DC4">
        <f>4.452877606</f>
        <v>4.4528776060000004</v>
      </c>
      <c r="DD4">
        <f>3.785760255</f>
        <v>3.785760255</v>
      </c>
      <c r="DE4">
        <f>3.490594923</f>
        <v>3.4905949230000002</v>
      </c>
      <c r="DF4">
        <f>5.828781606</f>
        <v>5.8287816059999997</v>
      </c>
      <c r="DG4">
        <f>4.144688406</f>
        <v>4.1446884060000002</v>
      </c>
      <c r="DH4">
        <f>4.110366852</f>
        <v>4.1103668520000003</v>
      </c>
      <c r="DI4">
        <f>3.381368317</f>
        <v>3.3813683170000002</v>
      </c>
      <c r="DJ4">
        <f>2.638163066</f>
        <v>2.6381630660000002</v>
      </c>
      <c r="DK4">
        <f>2.373553121</f>
        <v>2.373553121</v>
      </c>
      <c r="DL4">
        <f>2.424832699</f>
        <v>2.424832699</v>
      </c>
      <c r="DM4">
        <f>1.733881203</f>
        <v>1.7338812029999999</v>
      </c>
      <c r="DN4">
        <f>0.82930904</f>
        <v>0.82930904000000005</v>
      </c>
      <c r="DO4">
        <f>-0.018044101</f>
        <v>-1.8044101E-2</v>
      </c>
      <c r="DP4">
        <f>0.638784904</f>
        <v>0.63878490399999999</v>
      </c>
      <c r="DQ4">
        <f>-0.559854176</f>
        <v>-0.55985417599999998</v>
      </c>
      <c r="DR4">
        <f>-1.99973301</f>
        <v>-1.9997330099999999</v>
      </c>
      <c r="DS4">
        <f>-3.014855192</f>
        <v>-3.0148551920000002</v>
      </c>
      <c r="DT4">
        <f>-3.644473721</f>
        <v>-3.6444737210000002</v>
      </c>
      <c r="DU4">
        <f>-4.794933429</f>
        <v>-4.7949334290000003</v>
      </c>
    </row>
    <row r="5" spans="1:125">
      <c r="A5" t="str">
        <f>"    Office REITs"</f>
        <v xml:space="preserve">    Office REITs</v>
      </c>
      <c r="B5" t="str">
        <f>"RECFSSOF Index"</f>
        <v>RECFSSOF Index</v>
      </c>
      <c r="C5" t="str">
        <f t="shared" si="0"/>
        <v>PR005</v>
      </c>
      <c r="D5" t="str">
        <f t="shared" si="1"/>
        <v>PX_LAST</v>
      </c>
      <c r="E5" t="str">
        <f t="shared" si="2"/>
        <v>动态</v>
      </c>
      <c r="F5">
        <f ca="1">IF(AND(ISNUMBER($F$238),$B$183=1),$F$238,HLOOKUP(INDIRECT(ADDRESS(2,COLUMN())),OFFSET($BN$2,0,0,ROW()-1,60),ROW()-1,FALSE))</f>
        <v>2.7746050960000002</v>
      </c>
      <c r="G5">
        <f ca="1">IF(AND(ISNUMBER($G$238),$B$183=1),$G$238,HLOOKUP(INDIRECT(ADDRESS(2,COLUMN())),OFFSET($BN$2,0,0,ROW()-1,60),ROW()-1,FALSE))</f>
        <v>3.9324572789999999</v>
      </c>
      <c r="H5">
        <f ca="1">IF(AND(ISNUMBER($H$238),$B$183=1),$H$238,HLOOKUP(INDIRECT(ADDRESS(2,COLUMN())),OFFSET($BN$2,0,0,ROW()-1,60),ROW()-1,FALSE))</f>
        <v>3.4931212149999999</v>
      </c>
      <c r="I5">
        <f ca="1">IF(AND(ISNUMBER($I$238),$B$183=1),$I$238,HLOOKUP(INDIRECT(ADDRESS(2,COLUMN())),OFFSET($BN$2,0,0,ROW()-1,60),ROW()-1,FALSE))</f>
        <v>4.0421379809999998</v>
      </c>
      <c r="J5">
        <f ca="1">IF(AND(ISNUMBER($J$238),$B$183=1),$J$238,HLOOKUP(INDIRECT(ADDRESS(2,COLUMN())),OFFSET($BN$2,0,0,ROW()-1,60),ROW()-1,FALSE))</f>
        <v>3.6513449250000001</v>
      </c>
      <c r="K5">
        <f ca="1">IF(AND(ISNUMBER($K$238),$B$183=1),$K$238,HLOOKUP(INDIRECT(ADDRESS(2,COLUMN())),OFFSET($BN$2,0,0,ROW()-1,60),ROW()-1,FALSE))</f>
        <v>1.768250871</v>
      </c>
      <c r="L5">
        <f ca="1">IF(AND(ISNUMBER($L$238),$B$183=1),$L$238,HLOOKUP(INDIRECT(ADDRESS(2,COLUMN())),OFFSET($BN$2,0,0,ROW()-1,60),ROW()-1,FALSE))</f>
        <v>3.4183047110000002</v>
      </c>
      <c r="M5">
        <f ca="1">IF(AND(ISNUMBER($M$238),$B$183=1),$M$238,HLOOKUP(INDIRECT(ADDRESS(2,COLUMN())),OFFSET($BN$2,0,0,ROW()-1,60),ROW()-1,FALSE))</f>
        <v>5.1420110780000003</v>
      </c>
      <c r="N5">
        <f ca="1">IF(AND(ISNUMBER($N$238),$B$183=1),$N$238,HLOOKUP(INDIRECT(ADDRESS(2,COLUMN())),OFFSET($BN$2,0,0,ROW()-1,60),ROW()-1,FALSE))</f>
        <v>3.0909832339999999</v>
      </c>
      <c r="O5">
        <f ca="1">IF(AND(ISNUMBER($O$238),$B$183=1),$O$238,HLOOKUP(INDIRECT(ADDRESS(2,COLUMN())),OFFSET($BN$2,0,0,ROW()-1,60),ROW()-1,FALSE))</f>
        <v>2.2892894899999998</v>
      </c>
      <c r="P5">
        <f ca="1">IF(AND(ISNUMBER($P$238),$B$183=1),$P$238,HLOOKUP(INDIRECT(ADDRESS(2,COLUMN())),OFFSET($BN$2,0,0,ROW()-1,60),ROW()-1,FALSE))</f>
        <v>2.2801274290000002</v>
      </c>
      <c r="Q5">
        <f ca="1">IF(AND(ISNUMBER($Q$238),$B$183=1),$Q$238,HLOOKUP(INDIRECT(ADDRESS(2,COLUMN())),OFFSET($BN$2,0,0,ROW()-1,60),ROW()-1,FALSE))</f>
        <v>3.7487305430000002</v>
      </c>
      <c r="R5">
        <f ca="1">IF(AND(ISNUMBER($R$238),$B$183=1),$R$238,HLOOKUP(INDIRECT(ADDRESS(2,COLUMN())),OFFSET($BN$2,0,0,ROW()-1,60),ROW()-1,FALSE))</f>
        <v>4.1550428100000003</v>
      </c>
      <c r="S5">
        <f ca="1">IF(AND(ISNUMBER($S$238),$B$183=1),$S$238,HLOOKUP(INDIRECT(ADDRESS(2,COLUMN())),OFFSET($BN$2,0,0,ROW()-1,60),ROW()-1,FALSE))</f>
        <v>4.305784075</v>
      </c>
      <c r="T5">
        <f ca="1">IF(AND(ISNUMBER($T$238),$B$183=1),$T$238,HLOOKUP(INDIRECT(ADDRESS(2,COLUMN())),OFFSET($BN$2,0,0,ROW()-1,60),ROW()-1,FALSE))</f>
        <v>3.228060938</v>
      </c>
      <c r="U5">
        <f ca="1">IF(AND(ISNUMBER($U$238),$B$183=1),$U$238,HLOOKUP(INDIRECT(ADDRESS(2,COLUMN())),OFFSET($BN$2,0,0,ROW()-1,60),ROW()-1,FALSE))</f>
        <v>0.19823532899999999</v>
      </c>
      <c r="V5">
        <f ca="1">IF(AND(ISNUMBER($V$238),$B$183=1),$V$238,HLOOKUP(INDIRECT(ADDRESS(2,COLUMN())),OFFSET($BN$2,0,0,ROW()-1,60),ROW()-1,FALSE))</f>
        <v>3.1782030479999999</v>
      </c>
      <c r="W5">
        <f ca="1">IF(AND(ISNUMBER($W$238),$B$183=1),$W$238,HLOOKUP(INDIRECT(ADDRESS(2,COLUMN())),OFFSET($BN$2,0,0,ROW()-1,60),ROW()-1,FALSE))</f>
        <v>2.2074521620000001</v>
      </c>
      <c r="X5">
        <f ca="1">IF(AND(ISNUMBER($X$238),$B$183=1),$X$238,HLOOKUP(INDIRECT(ADDRESS(2,COLUMN())),OFFSET($BN$2,0,0,ROW()-1,60),ROW()-1,FALSE))</f>
        <v>3.518876369</v>
      </c>
      <c r="Y5">
        <f ca="1">IF(AND(ISNUMBER($Y$238),$B$183=1),$Y$238,HLOOKUP(INDIRECT(ADDRESS(2,COLUMN())),OFFSET($BN$2,0,0,ROW()-1,60),ROW()-1,FALSE))</f>
        <v>2.4214955630000001</v>
      </c>
      <c r="Z5">
        <f ca="1">IF(AND(ISNUMBER($Z$238),$B$183=1),$Z$238,HLOOKUP(INDIRECT(ADDRESS(2,COLUMN())),OFFSET($BN$2,0,0,ROW()-1,60),ROW()-1,FALSE))</f>
        <v>1.9639135109999999</v>
      </c>
      <c r="AA5">
        <f ca="1">IF(AND(ISNUMBER($AA$238),$B$183=1),$AA$238,HLOOKUP(INDIRECT(ADDRESS(2,COLUMN())),OFFSET($BN$2,0,0,ROW()-1,60),ROW()-1,FALSE))</f>
        <v>0.35070816199999999</v>
      </c>
      <c r="AB5">
        <f ca="1">IF(AND(ISNUMBER($AB$238),$B$183=1),$AB$238,HLOOKUP(INDIRECT(ADDRESS(2,COLUMN())),OFFSET($BN$2,0,0,ROW()-1,60),ROW()-1,FALSE))</f>
        <v>0.36322233100000001</v>
      </c>
      <c r="AC5">
        <f ca="1">IF(AND(ISNUMBER($AC$238),$B$183=1),$AC$238,HLOOKUP(INDIRECT(ADDRESS(2,COLUMN())),OFFSET($BN$2,0,0,ROW()-1,60),ROW()-1,FALSE))</f>
        <v>2.2847710010000002</v>
      </c>
      <c r="AD5">
        <f ca="1">IF(AND(ISNUMBER($AD$238),$B$183=1),$AD$238,HLOOKUP(INDIRECT(ADDRESS(2,COLUMN())),OFFSET($BN$2,0,0,ROW()-1,60),ROW()-1,FALSE))</f>
        <v>-0.90233592200000001</v>
      </c>
      <c r="AE5">
        <f ca="1">IF(AND(ISNUMBER($AE$238),$B$183=1),$AE$238,HLOOKUP(INDIRECT(ADDRESS(2,COLUMN())),OFFSET($BN$2,0,0,ROW()-1,60),ROW()-1,FALSE))</f>
        <v>0.928442879</v>
      </c>
      <c r="AF5">
        <f ca="1">IF(AND(ISNUMBER($AF$238),$B$183=1),$AF$238,HLOOKUP(INDIRECT(ADDRESS(2,COLUMN())),OFFSET($BN$2,0,0,ROW()-1,60),ROW()-1,FALSE))</f>
        <v>1.037064607</v>
      </c>
      <c r="AG5">
        <f ca="1">IF(AND(ISNUMBER($AG$238),$B$183=1),$AG$238,HLOOKUP(INDIRECT(ADDRESS(2,COLUMN())),OFFSET($BN$2,0,0,ROW()-1,60),ROW()-1,FALSE))</f>
        <v>-1.402062892</v>
      </c>
      <c r="AH5">
        <f ca="1">IF(AND(ISNUMBER($AH$238),$B$183=1),$AH$238,HLOOKUP(INDIRECT(ADDRESS(2,COLUMN())),OFFSET($BN$2,0,0,ROW()-1,60),ROW()-1,FALSE))</f>
        <v>-0.24291204999999999</v>
      </c>
      <c r="AI5">
        <f ca="1">IF(AND(ISNUMBER($AI$238),$B$183=1),$AI$238,HLOOKUP(INDIRECT(ADDRESS(2,COLUMN())),OFFSET($BN$2,0,0,ROW()-1,60),ROW()-1,FALSE))</f>
        <v>-2.32614075</v>
      </c>
      <c r="AJ5">
        <f ca="1">IF(AND(ISNUMBER($AJ$238),$B$183=1),$AJ$238,HLOOKUP(INDIRECT(ADDRESS(2,COLUMN())),OFFSET($BN$2,0,0,ROW()-1,60),ROW()-1,FALSE))</f>
        <v>-3.150922913</v>
      </c>
      <c r="AK5">
        <f ca="1">IF(AND(ISNUMBER($AK$238),$B$183=1),$AK$238,HLOOKUP(INDIRECT(ADDRESS(2,COLUMN())),OFFSET($BN$2,0,0,ROW()-1,60),ROW()-1,FALSE))</f>
        <v>-2.0340888879999999</v>
      </c>
      <c r="AL5">
        <f ca="1">IF(AND(ISNUMBER($AL$238),$B$183=1),$AL$238,HLOOKUP(INDIRECT(ADDRESS(2,COLUMN())),OFFSET($BN$2,0,0,ROW()-1,60),ROW()-1,FALSE))</f>
        <v>-1.5235137679999999</v>
      </c>
      <c r="AM5">
        <f ca="1">IF(AND(ISNUMBER($AM$238),$B$183=1),$AM$238,HLOOKUP(INDIRECT(ADDRESS(2,COLUMN())),OFFSET($BN$2,0,0,ROW()-1,60),ROW()-1,FALSE))</f>
        <v>-0.31767884899999999</v>
      </c>
      <c r="AN5">
        <f ca="1">IF(AND(ISNUMBER($AN$238),$B$183=1),$AN$238,HLOOKUP(INDIRECT(ADDRESS(2,COLUMN())),OFFSET($BN$2,0,0,ROW()-1,60),ROW()-1,FALSE))</f>
        <v>0.86619610899999999</v>
      </c>
      <c r="AO5">
        <f ca="1">IF(AND(ISNUMBER($AO$238),$B$183=1),$AO$238,HLOOKUP(INDIRECT(ADDRESS(2,COLUMN())),OFFSET($BN$2,0,0,ROW()-1,60),ROW()-1,FALSE))</f>
        <v>0.68224250099999995</v>
      </c>
      <c r="AP5">
        <f ca="1">IF(AND(ISNUMBER($AP$238),$B$183=1),$AP$238,HLOOKUP(INDIRECT(ADDRESS(2,COLUMN())),OFFSET($BN$2,0,0,ROW()-1,60),ROW()-1,FALSE))</f>
        <v>2.0367696460000002</v>
      </c>
      <c r="AQ5">
        <f ca="1">IF(AND(ISNUMBER($AQ$238),$B$183=1),$AQ$238,HLOOKUP(INDIRECT(ADDRESS(2,COLUMN())),OFFSET($BN$2,0,0,ROW()-1,60),ROW()-1,FALSE))</f>
        <v>2.6129088720000002</v>
      </c>
      <c r="AR5">
        <f ca="1">IF(AND(ISNUMBER($AR$238),$B$183=1),$AR$238,HLOOKUP(INDIRECT(ADDRESS(2,COLUMN())),OFFSET($BN$2,0,0,ROW()-1,60),ROW()-1,FALSE))</f>
        <v>3.5182341610000001</v>
      </c>
      <c r="AS5">
        <f ca="1">IF(AND(ISNUMBER($AS$238),$B$183=1),$AS$238,HLOOKUP(INDIRECT(ADDRESS(2,COLUMN())),OFFSET($BN$2,0,0,ROW()-1,60),ROW()-1,FALSE))</f>
        <v>4.2738464829999998</v>
      </c>
      <c r="AT5">
        <f ca="1">IF(AND(ISNUMBER($AT$238),$B$183=1),$AT$238,HLOOKUP(INDIRECT(ADDRESS(2,COLUMN())),OFFSET($BN$2,0,0,ROW()-1,60),ROW()-1,FALSE))</f>
        <v>0.12632320799999999</v>
      </c>
      <c r="AU5">
        <f ca="1">IF(AND(ISNUMBER($AU$238),$B$183=1),$AU$238,HLOOKUP(INDIRECT(ADDRESS(2,COLUMN())),OFFSET($BN$2,0,0,ROW()-1,60),ROW()-1,FALSE))</f>
        <v>2.6272893009999998</v>
      </c>
      <c r="AV5">
        <f ca="1">IF(AND(ISNUMBER($AV$238),$B$183=1),$AV$238,HLOOKUP(INDIRECT(ADDRESS(2,COLUMN())),OFFSET($BN$2,0,0,ROW()-1,60),ROW()-1,FALSE))</f>
        <v>2.8399634069999999</v>
      </c>
      <c r="AW5">
        <f ca="1">IF(AND(ISNUMBER($AW$238),$B$183=1),$AW$238,HLOOKUP(INDIRECT(ADDRESS(2,COLUMN())),OFFSET($BN$2,0,0,ROW()-1,60),ROW()-1,FALSE))</f>
        <v>2.7100113010000002</v>
      </c>
      <c r="AX5">
        <f ca="1">IF(AND(ISNUMBER($AX$238),$B$183=1),$AX$238,HLOOKUP(INDIRECT(ADDRESS(2,COLUMN())),OFFSET($BN$2,0,0,ROW()-1,60),ROW()-1,FALSE))</f>
        <v>6.5462735399999996</v>
      </c>
      <c r="AY5">
        <f ca="1">IF(AND(ISNUMBER($AY$238),$B$183=1),$AY$238,HLOOKUP(INDIRECT(ADDRESS(2,COLUMN())),OFFSET($BN$2,0,0,ROW()-1,60),ROW()-1,FALSE))</f>
        <v>2.115952396</v>
      </c>
      <c r="AZ5">
        <f ca="1">IF(AND(ISNUMBER($AZ$238),$B$183=1),$AZ$238,HLOOKUP(INDIRECT(ADDRESS(2,COLUMN())),OFFSET($BN$2,0,0,ROW()-1,60),ROW()-1,FALSE))</f>
        <v>0.81067504899999998</v>
      </c>
      <c r="BA5">
        <f ca="1">IF(AND(ISNUMBER($BA$238),$B$183=1),$BA$238,HLOOKUP(INDIRECT(ADDRESS(2,COLUMN())),OFFSET($BN$2,0,0,ROW()-1,60),ROW()-1,FALSE))</f>
        <v>-2.758033035</v>
      </c>
      <c r="BB5">
        <f ca="1">IF(AND(ISNUMBER($BB$238),$B$183=1),$BB$238,HLOOKUP(INDIRECT(ADDRESS(2,COLUMN())),OFFSET($BN$2,0,0,ROW()-1,60),ROW()-1,FALSE))</f>
        <v>-1.863088436</v>
      </c>
      <c r="BC5">
        <f ca="1">IF(AND(ISNUMBER($BC$238),$B$183=1),$BC$238,HLOOKUP(INDIRECT(ADDRESS(2,COLUMN())),OFFSET($BN$2,0,0,ROW()-1,60),ROW()-1,FALSE))</f>
        <v>-0.99029466700000002</v>
      </c>
      <c r="BD5">
        <f ca="1">IF(AND(ISNUMBER($BD$238),$B$183=1),$BD$238,HLOOKUP(INDIRECT(ADDRESS(2,COLUMN())),OFFSET($BN$2,0,0,ROW()-1,60),ROW()-1,FALSE))</f>
        <v>0.47314734800000002</v>
      </c>
      <c r="BE5">
        <f ca="1">IF(AND(ISNUMBER($BE$238),$B$183=1),$BE$238,HLOOKUP(INDIRECT(ADDRESS(2,COLUMN())),OFFSET($BN$2,0,0,ROW()-1,60),ROW()-1,FALSE))</f>
        <v>-2.7932083999999999E-2</v>
      </c>
      <c r="BF5">
        <f ca="1">IF(AND(ISNUMBER($BF$238),$B$183=1),$BF$238,HLOOKUP(INDIRECT(ADDRESS(2,COLUMN())),OFFSET($BN$2,0,0,ROW()-1,60),ROW()-1,FALSE))</f>
        <v>-1.5236284600000001</v>
      </c>
      <c r="BG5">
        <f ca="1">IF(AND(ISNUMBER($BG$238),$B$183=1),$BG$238,HLOOKUP(INDIRECT(ADDRESS(2,COLUMN())),OFFSET($BN$2,0,0,ROW()-1,60),ROW()-1,FALSE))</f>
        <v>-2.3343811319999999</v>
      </c>
      <c r="BH5">
        <f ca="1">IF(AND(ISNUMBER($BH$238),$B$183=1),$BH$238,HLOOKUP(INDIRECT(ADDRESS(2,COLUMN())),OFFSET($BN$2,0,0,ROW()-1,60),ROW()-1,FALSE))</f>
        <v>0.78361712699999997</v>
      </c>
      <c r="BI5">
        <f ca="1">IF(AND(ISNUMBER($BI$238),$B$183=1),$BI$238,HLOOKUP(INDIRECT(ADDRESS(2,COLUMN())),OFFSET($BN$2,0,0,ROW()-1,60),ROW()-1,FALSE))</f>
        <v>-2.6129890310000001</v>
      </c>
      <c r="BJ5">
        <f ca="1">IF(AND(ISNUMBER($BJ$238),$B$183=1),$BJ$238,HLOOKUP(INDIRECT(ADDRESS(2,COLUMN())),OFFSET($BN$2,0,0,ROW()-1,60),ROW()-1,FALSE))</f>
        <v>-3.824413925</v>
      </c>
      <c r="BK5">
        <f ca="1">IF(AND(ISNUMBER($BK$238),$B$183=1),$BK$238,HLOOKUP(INDIRECT(ADDRESS(2,COLUMN())),OFFSET($BN$2,0,0,ROW()-1,60),ROW()-1,FALSE))</f>
        <v>-4.0463486389999996</v>
      </c>
      <c r="BL5">
        <f ca="1">IF(AND(ISNUMBER($BL$238),$B$183=1),$BL$238,HLOOKUP(INDIRECT(ADDRESS(2,COLUMN())),OFFSET($BN$2,0,0,ROW()-1,60),ROW()-1,FALSE))</f>
        <v>-4.4274497420000003</v>
      </c>
      <c r="BM5">
        <f ca="1">IF(AND(ISNUMBER($BM$238),$B$183=1),$BM$238,HLOOKUP(INDIRECT(ADDRESS(2,COLUMN())),OFFSET($BN$2,0,0,ROW()-1,60),ROW()-1,FALSE))</f>
        <v>-4.9431923409999996</v>
      </c>
      <c r="BN5">
        <f>2.774605096</f>
        <v>2.7746050960000002</v>
      </c>
      <c r="BO5">
        <f>3.932457279</f>
        <v>3.9324572789999999</v>
      </c>
      <c r="BP5">
        <f>3.493121215</f>
        <v>3.4931212149999999</v>
      </c>
      <c r="BQ5">
        <f>4.042137981</f>
        <v>4.0421379809999998</v>
      </c>
      <c r="BR5">
        <f>3.651344925</f>
        <v>3.6513449250000001</v>
      </c>
      <c r="BS5">
        <f>1.768250871</f>
        <v>1.768250871</v>
      </c>
      <c r="BT5">
        <f>3.418304711</f>
        <v>3.4183047110000002</v>
      </c>
      <c r="BU5">
        <f>5.142011078</f>
        <v>5.1420110780000003</v>
      </c>
      <c r="BV5">
        <f>3.090983234</f>
        <v>3.0909832339999999</v>
      </c>
      <c r="BW5">
        <f>2.28928949</f>
        <v>2.2892894899999998</v>
      </c>
      <c r="BX5">
        <f>2.280127429</f>
        <v>2.2801274290000002</v>
      </c>
      <c r="BY5">
        <f>3.748730543</f>
        <v>3.7487305430000002</v>
      </c>
      <c r="BZ5">
        <f>4.15504281</f>
        <v>4.1550428100000003</v>
      </c>
      <c r="CA5">
        <f>4.305784075</f>
        <v>4.305784075</v>
      </c>
      <c r="CB5">
        <f>3.228060938</f>
        <v>3.228060938</v>
      </c>
      <c r="CC5">
        <f>0.198235329</f>
        <v>0.19823532899999999</v>
      </c>
      <c r="CD5">
        <f>3.178203048</f>
        <v>3.1782030479999999</v>
      </c>
      <c r="CE5">
        <f>2.207452162</f>
        <v>2.2074521620000001</v>
      </c>
      <c r="CF5">
        <f>3.518876369</f>
        <v>3.518876369</v>
      </c>
      <c r="CG5">
        <f>2.421495563</f>
        <v>2.4214955630000001</v>
      </c>
      <c r="CH5">
        <f>1.963913511</f>
        <v>1.9639135109999999</v>
      </c>
      <c r="CI5">
        <f>0.350708162</f>
        <v>0.35070816199999999</v>
      </c>
      <c r="CJ5">
        <f>0.363222331</f>
        <v>0.36322233100000001</v>
      </c>
      <c r="CK5">
        <f>2.284771001</f>
        <v>2.2847710010000002</v>
      </c>
      <c r="CL5">
        <f>-0.902335922</f>
        <v>-0.90233592200000001</v>
      </c>
      <c r="CM5">
        <f>0.928442879</f>
        <v>0.928442879</v>
      </c>
      <c r="CN5">
        <f>1.037064607</f>
        <v>1.037064607</v>
      </c>
      <c r="CO5">
        <f>-1.402062892</f>
        <v>-1.402062892</v>
      </c>
      <c r="CP5">
        <f>-0.24291205</f>
        <v>-0.24291204999999999</v>
      </c>
      <c r="CQ5">
        <f>-2.32614075</f>
        <v>-2.32614075</v>
      </c>
      <c r="CR5">
        <f>-3.150922913</f>
        <v>-3.150922913</v>
      </c>
      <c r="CS5">
        <f>-2.034088888</f>
        <v>-2.0340888879999999</v>
      </c>
      <c r="CT5">
        <f>-1.523513768</f>
        <v>-1.5235137679999999</v>
      </c>
      <c r="CU5">
        <f>-0.317678849</f>
        <v>-0.31767884899999999</v>
      </c>
      <c r="CV5">
        <f>0.866196109</f>
        <v>0.86619610899999999</v>
      </c>
      <c r="CW5">
        <f>0.682242501</f>
        <v>0.68224250099999995</v>
      </c>
      <c r="CX5">
        <f>2.036769646</f>
        <v>2.0367696460000002</v>
      </c>
      <c r="CY5">
        <f>2.612908872</f>
        <v>2.6129088720000002</v>
      </c>
      <c r="CZ5">
        <f>3.518234161</f>
        <v>3.5182341610000001</v>
      </c>
      <c r="DA5">
        <f>4.273846483</f>
        <v>4.2738464829999998</v>
      </c>
      <c r="DB5">
        <f>0.126323208</f>
        <v>0.12632320799999999</v>
      </c>
      <c r="DC5">
        <f>2.627289301</f>
        <v>2.6272893009999998</v>
      </c>
      <c r="DD5">
        <f>2.839963407</f>
        <v>2.8399634069999999</v>
      </c>
      <c r="DE5">
        <f>2.710011301</f>
        <v>2.7100113010000002</v>
      </c>
      <c r="DF5">
        <f>6.54627354</f>
        <v>6.5462735399999996</v>
      </c>
      <c r="DG5">
        <f>2.115952396</f>
        <v>2.115952396</v>
      </c>
      <c r="DH5">
        <f>0.810675049</f>
        <v>0.81067504899999998</v>
      </c>
      <c r="DI5">
        <f>-2.758033035</f>
        <v>-2.758033035</v>
      </c>
      <c r="DJ5">
        <f>-1.863088436</f>
        <v>-1.863088436</v>
      </c>
      <c r="DK5">
        <f>-0.990294667</f>
        <v>-0.99029466700000002</v>
      </c>
      <c r="DL5">
        <f>0.473147348</f>
        <v>0.47314734800000002</v>
      </c>
      <c r="DM5">
        <f>-0.027932084</f>
        <v>-2.7932083999999999E-2</v>
      </c>
      <c r="DN5">
        <f>-1.52362846</f>
        <v>-1.5236284600000001</v>
      </c>
      <c r="DO5">
        <f>-2.334381132</f>
        <v>-2.3343811319999999</v>
      </c>
      <c r="DP5">
        <f>0.783617127</f>
        <v>0.78361712699999997</v>
      </c>
      <c r="DQ5">
        <f>-2.612989031</f>
        <v>-2.6129890310000001</v>
      </c>
      <c r="DR5">
        <f>-3.824413925</f>
        <v>-3.824413925</v>
      </c>
      <c r="DS5">
        <f>-4.046348639</f>
        <v>-4.0463486389999996</v>
      </c>
      <c r="DT5">
        <f>-4.427449742</f>
        <v>-4.4274497420000003</v>
      </c>
      <c r="DU5">
        <f>-4.943192341</f>
        <v>-4.9431923409999996</v>
      </c>
    </row>
    <row r="6" spans="1:125">
      <c r="A6" t="str">
        <f>"    Industrial REITs"</f>
        <v xml:space="preserve">    Industrial REITs</v>
      </c>
      <c r="B6" t="str">
        <f>"RECFSSIN Index"</f>
        <v>RECFSSIN Index</v>
      </c>
      <c r="C6" t="str">
        <f t="shared" si="0"/>
        <v>PR005</v>
      </c>
      <c r="D6" t="str">
        <f t="shared" si="1"/>
        <v>PX_LAST</v>
      </c>
      <c r="E6" t="str">
        <f t="shared" si="2"/>
        <v>动态</v>
      </c>
      <c r="F6">
        <f ca="1">IF(AND(ISNUMBER($F$239),$B$183=1),$F$239,HLOOKUP(INDIRECT(ADDRESS(2,COLUMN())),OFFSET($BN$2,0,0,ROW()-1,60),ROW()-1,FALSE))</f>
        <v>4.2232023449999998</v>
      </c>
      <c r="G6">
        <f ca="1">IF(AND(ISNUMBER($G$239),$B$183=1),$G$239,HLOOKUP(INDIRECT(ADDRESS(2,COLUMN())),OFFSET($BN$2,0,0,ROW()-1,60),ROW()-1,FALSE))</f>
        <v>4.5914524400000003</v>
      </c>
      <c r="H6">
        <f ca="1">IF(AND(ISNUMBER($H$239),$B$183=1),$H$239,HLOOKUP(INDIRECT(ADDRESS(2,COLUMN())),OFFSET($BN$2,0,0,ROW()-1,60),ROW()-1,FALSE))</f>
        <v>5.2246744510000003</v>
      </c>
      <c r="I6">
        <f ca="1">IF(AND(ISNUMBER($I$239),$B$183=1),$I$239,HLOOKUP(INDIRECT(ADDRESS(2,COLUMN())),OFFSET($BN$2,0,0,ROW()-1,60),ROW()-1,FALSE))</f>
        <v>5.9196263160000004</v>
      </c>
      <c r="J6">
        <f ca="1">IF(AND(ISNUMBER($J$239),$B$183=1),$J$239,HLOOKUP(INDIRECT(ADDRESS(2,COLUMN())),OFFSET($BN$2,0,0,ROW()-1,60),ROW()-1,FALSE))</f>
        <v>4.1192869859999997</v>
      </c>
      <c r="K6">
        <f ca="1">IF(AND(ISNUMBER($K$239),$B$183=1),$K$239,HLOOKUP(INDIRECT(ADDRESS(2,COLUMN())),OFFSET($BN$2,0,0,ROW()-1,60),ROW()-1,FALSE))</f>
        <v>4.8630891629999997</v>
      </c>
      <c r="L6">
        <f ca="1">IF(AND(ISNUMBER($L$239),$B$183=1),$L$239,HLOOKUP(INDIRECT(ADDRESS(2,COLUMN())),OFFSET($BN$2,0,0,ROW()-1,60),ROW()-1,FALSE))</f>
        <v>4.0092662529999998</v>
      </c>
      <c r="M6">
        <f ca="1">IF(AND(ISNUMBER($M$239),$B$183=1),$M$239,HLOOKUP(INDIRECT(ADDRESS(2,COLUMN())),OFFSET($BN$2,0,0,ROW()-1,60),ROW()-1,FALSE))</f>
        <v>5.0211329449999997</v>
      </c>
      <c r="N6">
        <f ca="1">IF(AND(ISNUMBER($N$239),$B$183=1),$N$239,HLOOKUP(INDIRECT(ADDRESS(2,COLUMN())),OFFSET($BN$2,0,0,ROW()-1,60),ROW()-1,FALSE))</f>
        <v>3.5387011080000002</v>
      </c>
      <c r="O6">
        <f ca="1">IF(AND(ISNUMBER($O$239),$B$183=1),$O$239,HLOOKUP(INDIRECT(ADDRESS(2,COLUMN())),OFFSET($BN$2,0,0,ROW()-1,60),ROW()-1,FALSE))</f>
        <v>3.529305608</v>
      </c>
      <c r="P6">
        <f ca="1">IF(AND(ISNUMBER($P$239),$B$183=1),$P$239,HLOOKUP(INDIRECT(ADDRESS(2,COLUMN())),OFFSET($BN$2,0,0,ROW()-1,60),ROW()-1,FALSE))</f>
        <v>4.581026949</v>
      </c>
      <c r="Q6">
        <f ca="1">IF(AND(ISNUMBER($Q$239),$B$183=1),$Q$239,HLOOKUP(INDIRECT(ADDRESS(2,COLUMN())),OFFSET($BN$2,0,0,ROW()-1,60),ROW()-1,FALSE))</f>
        <v>4.199312194</v>
      </c>
      <c r="R6">
        <f ca="1">IF(AND(ISNUMBER($R$239),$B$183=1),$R$239,HLOOKUP(INDIRECT(ADDRESS(2,COLUMN())),OFFSET($BN$2,0,0,ROW()-1,60),ROW()-1,FALSE))</f>
        <v>4.0052269269999998</v>
      </c>
      <c r="S6">
        <f ca="1">IF(AND(ISNUMBER($S$239),$B$183=1),$S$239,HLOOKUP(INDIRECT(ADDRESS(2,COLUMN())),OFFSET($BN$2,0,0,ROW()-1,60),ROW()-1,FALSE))</f>
        <v>3.7679753599999999</v>
      </c>
      <c r="T6">
        <f ca="1">IF(AND(ISNUMBER($T$239),$B$183=1),$T$239,HLOOKUP(INDIRECT(ADDRESS(2,COLUMN())),OFFSET($BN$2,0,0,ROW()-1,60),ROW()-1,FALSE))</f>
        <v>3.7806882910000001</v>
      </c>
      <c r="U6">
        <f ca="1">IF(AND(ISNUMBER($U$239),$B$183=1),$U$239,HLOOKUP(INDIRECT(ADDRESS(2,COLUMN())),OFFSET($BN$2,0,0,ROW()-1,60),ROW()-1,FALSE))</f>
        <v>2.5392217430000001</v>
      </c>
      <c r="V6">
        <f ca="1">IF(AND(ISNUMBER($V$239),$B$183=1),$V$239,HLOOKUP(INDIRECT(ADDRESS(2,COLUMN())),OFFSET($BN$2,0,0,ROW()-1,60),ROW()-1,FALSE))</f>
        <v>2.3733777439999999</v>
      </c>
      <c r="W6">
        <f ca="1">IF(AND(ISNUMBER($W$239),$B$183=1),$W$239,HLOOKUP(INDIRECT(ADDRESS(2,COLUMN())),OFFSET($BN$2,0,0,ROW()-1,60),ROW()-1,FALSE))</f>
        <v>2.0714796170000001</v>
      </c>
      <c r="X6">
        <f ca="1">IF(AND(ISNUMBER($X$239),$B$183=1),$X$239,HLOOKUP(INDIRECT(ADDRESS(2,COLUMN())),OFFSET($BN$2,0,0,ROW()-1,60),ROW()-1,FALSE))</f>
        <v>1.4403236210000001</v>
      </c>
      <c r="Y6">
        <f ca="1">IF(AND(ISNUMBER($Y$239),$B$183=1),$Y$239,HLOOKUP(INDIRECT(ADDRESS(2,COLUMN())),OFFSET($BN$2,0,0,ROW()-1,60),ROW()-1,FALSE))</f>
        <v>1.1843059300000001</v>
      </c>
      <c r="Z6">
        <f ca="1">IF(AND(ISNUMBER($Z$239),$B$183=1),$Z$239,HLOOKUP(INDIRECT(ADDRESS(2,COLUMN())),OFFSET($BN$2,0,0,ROW()-1,60),ROW()-1,FALSE))</f>
        <v>0.94784504999999997</v>
      </c>
      <c r="AA6">
        <f ca="1">IF(AND(ISNUMBER($AA$239),$B$183=1),$AA$239,HLOOKUP(INDIRECT(ADDRESS(2,COLUMN())),OFFSET($BN$2,0,0,ROW()-1,60),ROW()-1,FALSE))</f>
        <v>1.9782950969999999</v>
      </c>
      <c r="AB6">
        <f ca="1">IF(AND(ISNUMBER($AB$239),$B$183=1),$AB$239,HLOOKUP(INDIRECT(ADDRESS(2,COLUMN())),OFFSET($BN$2,0,0,ROW()-1,60),ROW()-1,FALSE))</f>
        <v>1.198740519</v>
      </c>
      <c r="AC6">
        <f ca="1">IF(AND(ISNUMBER($AC$239),$B$183=1),$AC$239,HLOOKUP(INDIRECT(ADDRESS(2,COLUMN())),OFFSET($BN$2,0,0,ROW()-1,60),ROW()-1,FALSE))</f>
        <v>2.4098687970000001</v>
      </c>
      <c r="AD6">
        <f ca="1">IF(AND(ISNUMBER($AD$239),$B$183=1),$AD$239,HLOOKUP(INDIRECT(ADDRESS(2,COLUMN())),OFFSET($BN$2,0,0,ROW()-1,60),ROW()-1,FALSE))</f>
        <v>1.3152475939999999</v>
      </c>
      <c r="AE6">
        <f ca="1">IF(AND(ISNUMBER($AE$239),$B$183=1),$AE$239,HLOOKUP(INDIRECT(ADDRESS(2,COLUMN())),OFFSET($BN$2,0,0,ROW()-1,60),ROW()-1,FALSE))</f>
        <v>0.112182613</v>
      </c>
      <c r="AF6">
        <f ca="1">IF(AND(ISNUMBER($AF$239),$B$183=1),$AF$239,HLOOKUP(INDIRECT(ADDRESS(2,COLUMN())),OFFSET($BN$2,0,0,ROW()-1,60),ROW()-1,FALSE))</f>
        <v>1.7166853909999999</v>
      </c>
      <c r="AG6">
        <f ca="1">IF(AND(ISNUMBER($AG$239),$B$183=1),$AG$239,HLOOKUP(INDIRECT(ADDRESS(2,COLUMN())),OFFSET($BN$2,0,0,ROW()-1,60),ROW()-1,FALSE))</f>
        <v>0.58642748</v>
      </c>
      <c r="AH6">
        <f ca="1">IF(AND(ISNUMBER($AH$239),$B$183=1),$AH$239,HLOOKUP(INDIRECT(ADDRESS(2,COLUMN())),OFFSET($BN$2,0,0,ROW()-1,60),ROW()-1,FALSE))</f>
        <v>-0.1166934</v>
      </c>
      <c r="AI6">
        <f ca="1">IF(AND(ISNUMBER($AI$239),$B$183=1),$AI$239,HLOOKUP(INDIRECT(ADDRESS(2,COLUMN())),OFFSET($BN$2,0,0,ROW()-1,60),ROW()-1,FALSE))</f>
        <v>-0.81710332699999999</v>
      </c>
      <c r="AJ6">
        <f ca="1">IF(AND(ISNUMBER($AJ$239),$B$183=1),$AJ$239,HLOOKUP(INDIRECT(ADDRESS(2,COLUMN())),OFFSET($BN$2,0,0,ROW()-1,60),ROW()-1,FALSE))</f>
        <v>-3.0890687200000002</v>
      </c>
      <c r="AK6">
        <f ca="1">IF(AND(ISNUMBER($AK$239),$B$183=1),$AK$239,HLOOKUP(INDIRECT(ADDRESS(2,COLUMN())),OFFSET($BN$2,0,0,ROW()-1,60),ROW()-1,FALSE))</f>
        <v>-4.1914401950000002</v>
      </c>
      <c r="AL6">
        <f ca="1">IF(AND(ISNUMBER($AL$239),$B$183=1),$AL$239,HLOOKUP(INDIRECT(ADDRESS(2,COLUMN())),OFFSET($BN$2,0,0,ROW()-1,60),ROW()-1,FALSE))</f>
        <v>-4.3847540479999996</v>
      </c>
      <c r="AM6">
        <f ca="1">IF(AND(ISNUMBER($AM$239),$B$183=1),$AM$239,HLOOKUP(INDIRECT(ADDRESS(2,COLUMN())),OFFSET($BN$2,0,0,ROW()-1,60),ROW()-1,FALSE))</f>
        <v>-3.1949803729999999</v>
      </c>
      <c r="AN6">
        <f ca="1">IF(AND(ISNUMBER($AN$239),$B$183=1),$AN$239,HLOOKUP(INDIRECT(ADDRESS(2,COLUMN())),OFFSET($BN$2,0,0,ROW()-1,60),ROW()-1,FALSE))</f>
        <v>-0.15071026100000001</v>
      </c>
      <c r="AO6">
        <f ca="1">IF(AND(ISNUMBER($AO$239),$B$183=1),$AO$239,HLOOKUP(INDIRECT(ADDRESS(2,COLUMN())),OFFSET($BN$2,0,0,ROW()-1,60),ROW()-1,FALSE))</f>
        <v>-9.8631295999999993E-2</v>
      </c>
      <c r="AP6">
        <f ca="1">IF(AND(ISNUMBER($AP$239),$B$183=1),$AP$239,HLOOKUP(INDIRECT(ADDRESS(2,COLUMN())),OFFSET($BN$2,0,0,ROW()-1,60),ROW()-1,FALSE))</f>
        <v>1.336035259</v>
      </c>
      <c r="AQ6">
        <f ca="1">IF(AND(ISNUMBER($AQ$239),$B$183=1),$AQ$239,HLOOKUP(INDIRECT(ADDRESS(2,COLUMN())),OFFSET($BN$2,0,0,ROW()-1,60),ROW()-1,FALSE))</f>
        <v>1.6495429669999999</v>
      </c>
      <c r="AR6">
        <f ca="1">IF(AND(ISNUMBER($AR$239),$B$183=1),$AR$239,HLOOKUP(INDIRECT(ADDRESS(2,COLUMN())),OFFSET($BN$2,0,0,ROW()-1,60),ROW()-1,FALSE))</f>
        <v>1.254120951</v>
      </c>
      <c r="AS6">
        <f ca="1">IF(AND(ISNUMBER($AS$239),$B$183=1),$AS$239,HLOOKUP(INDIRECT(ADDRESS(2,COLUMN())),OFFSET($BN$2,0,0,ROW()-1,60),ROW()-1,FALSE))</f>
        <v>2.4589530559999999</v>
      </c>
      <c r="AT6">
        <f ca="1">IF(AND(ISNUMBER($AT$239),$B$183=1),$AT$239,HLOOKUP(INDIRECT(ADDRESS(2,COLUMN())),OFFSET($BN$2,0,0,ROW()-1,60),ROW()-1,FALSE))</f>
        <v>2.2913001450000001</v>
      </c>
      <c r="AU6">
        <f ca="1">IF(AND(ISNUMBER($AU$239),$B$183=1),$AU$239,HLOOKUP(INDIRECT(ADDRESS(2,COLUMN())),OFFSET($BN$2,0,0,ROW()-1,60),ROW()-1,FALSE))</f>
        <v>3.7437109159999999</v>
      </c>
      <c r="AV6">
        <f ca="1">IF(AND(ISNUMBER($AV$239),$B$183=1),$AV$239,HLOOKUP(INDIRECT(ADDRESS(2,COLUMN())),OFFSET($BN$2,0,0,ROW()-1,60),ROW()-1,FALSE))</f>
        <v>3.98259045</v>
      </c>
      <c r="AW6">
        <f ca="1">IF(AND(ISNUMBER($AW$239),$B$183=1),$AW$239,HLOOKUP(INDIRECT(ADDRESS(2,COLUMN())),OFFSET($BN$2,0,0,ROW()-1,60),ROW()-1,FALSE))</f>
        <v>4.3746742550000004</v>
      </c>
      <c r="AX6">
        <f ca="1">IF(AND(ISNUMBER($AX$239),$B$183=1),$AX$239,HLOOKUP(INDIRECT(ADDRESS(2,COLUMN())),OFFSET($BN$2,0,0,ROW()-1,60),ROW()-1,FALSE))</f>
        <v>4.6154109400000003</v>
      </c>
      <c r="AY6">
        <f ca="1">IF(AND(ISNUMBER($AY$239),$B$183=1),$AY$239,HLOOKUP(INDIRECT(ADDRESS(2,COLUMN())),OFFSET($BN$2,0,0,ROW()-1,60),ROW()-1,FALSE))</f>
        <v>4.8839512359999997</v>
      </c>
      <c r="AZ6">
        <f ca="1">IF(AND(ISNUMBER($AZ$239),$B$183=1),$AZ$239,HLOOKUP(INDIRECT(ADDRESS(2,COLUMN())),OFFSET($BN$2,0,0,ROW()-1,60),ROW()-1,FALSE))</f>
        <v>1.5879165200000001</v>
      </c>
      <c r="BA6">
        <f ca="1">IF(AND(ISNUMBER($BA$239),$B$183=1),$BA$239,HLOOKUP(INDIRECT(ADDRESS(2,COLUMN())),OFFSET($BN$2,0,0,ROW()-1,60),ROW()-1,FALSE))</f>
        <v>0.14132600300000001</v>
      </c>
      <c r="BB6">
        <f ca="1">IF(AND(ISNUMBER($BB$239),$B$183=1),$BB$239,HLOOKUP(INDIRECT(ADDRESS(2,COLUMN())),OFFSET($BN$2,0,0,ROW()-1,60),ROW()-1,FALSE))</f>
        <v>-1.674189232</v>
      </c>
      <c r="BC6">
        <f ca="1">IF(AND(ISNUMBER($BC$239),$B$183=1),$BC$239,HLOOKUP(INDIRECT(ADDRESS(2,COLUMN())),OFFSET($BN$2,0,0,ROW()-1,60),ROW()-1,FALSE))</f>
        <v>53.110821250000001</v>
      </c>
      <c r="BD6">
        <f ca="1">IF(AND(ISNUMBER($BD$239),$B$183=1),$BD$239,HLOOKUP(INDIRECT(ADDRESS(2,COLUMN())),OFFSET($BN$2,0,0,ROW()-1,60),ROW()-1,FALSE))</f>
        <v>51.194759359999999</v>
      </c>
      <c r="BE6">
        <f ca="1">IF(AND(ISNUMBER($BE$239),$B$183=1),$BE$239,HLOOKUP(INDIRECT(ADDRESS(2,COLUMN())),OFFSET($BN$2,0,0,ROW()-1,60),ROW()-1,FALSE))</f>
        <v>50.150699250000002</v>
      </c>
      <c r="BF6">
        <f ca="1">IF(AND(ISNUMBER($BF$239),$B$183=1),$BF$239,HLOOKUP(INDIRECT(ADDRESS(2,COLUMN())),OFFSET($BN$2,0,0,ROW()-1,60),ROW()-1,FALSE))</f>
        <v>53.586337329999999</v>
      </c>
      <c r="BG6">
        <f ca="1">IF(AND(ISNUMBER($BG$239),$B$183=1),$BG$239,HLOOKUP(INDIRECT(ADDRESS(2,COLUMN())),OFFSET($BN$2,0,0,ROW()-1,60),ROW()-1,FALSE))</f>
        <v>53.956815720000002</v>
      </c>
      <c r="BH6">
        <f ca="1">IF(AND(ISNUMBER($BH$239),$B$183=1),$BH$239,HLOOKUP(INDIRECT(ADDRESS(2,COLUMN())),OFFSET($BN$2,0,0,ROW()-1,60),ROW()-1,FALSE))</f>
        <v>48.828673520000002</v>
      </c>
      <c r="BI6">
        <f ca="1">IF(AND(ISNUMBER($BI$239),$B$183=1),$BI$239,HLOOKUP(INDIRECT(ADDRESS(2,COLUMN())),OFFSET($BN$2,0,0,ROW()-1,60),ROW()-1,FALSE))</f>
        <v>47.931184129999998</v>
      </c>
      <c r="BJ6">
        <f ca="1">IF(AND(ISNUMBER($BJ$239),$B$183=1),$BJ$239,HLOOKUP(INDIRECT(ADDRESS(2,COLUMN())),OFFSET($BN$2,0,0,ROW()-1,60),ROW()-1,FALSE))</f>
        <v>81.150911140000005</v>
      </c>
      <c r="BK6">
        <f ca="1">IF(AND(ISNUMBER($BK$239),$B$183=1),$BK$239,HLOOKUP(INDIRECT(ADDRESS(2,COLUMN())),OFFSET($BN$2,0,0,ROW()-1,60),ROW()-1,FALSE))</f>
        <v>74.608031019999999</v>
      </c>
      <c r="BL6">
        <f ca="1">IF(AND(ISNUMBER($BL$239),$B$183=1),$BL$239,HLOOKUP(INDIRECT(ADDRESS(2,COLUMN())),OFFSET($BN$2,0,0,ROW()-1,60),ROW()-1,FALSE))</f>
        <v>76.05672045</v>
      </c>
      <c r="BM6">
        <f ca="1">IF(AND(ISNUMBER($BM$239),$B$183=1),$BM$239,HLOOKUP(INDIRECT(ADDRESS(2,COLUMN())),OFFSET($BN$2,0,0,ROW()-1,60),ROW()-1,FALSE))</f>
        <v>72.650276500000004</v>
      </c>
      <c r="BN6">
        <f>4.223202345</f>
        <v>4.2232023449999998</v>
      </c>
      <c r="BO6">
        <f>4.59145244</f>
        <v>4.5914524400000003</v>
      </c>
      <c r="BP6">
        <f>5.224674451</f>
        <v>5.2246744510000003</v>
      </c>
      <c r="BQ6">
        <f>5.919626316</f>
        <v>5.9196263160000004</v>
      </c>
      <c r="BR6">
        <f>4.119286986</f>
        <v>4.1192869859999997</v>
      </c>
      <c r="BS6">
        <f>4.863089163</f>
        <v>4.8630891629999997</v>
      </c>
      <c r="BT6">
        <f>4.009266253</f>
        <v>4.0092662529999998</v>
      </c>
      <c r="BU6">
        <f>5.021132945</f>
        <v>5.0211329449999997</v>
      </c>
      <c r="BV6">
        <f>3.538701108</f>
        <v>3.5387011080000002</v>
      </c>
      <c r="BW6">
        <f>3.529305608</f>
        <v>3.529305608</v>
      </c>
      <c r="BX6">
        <f>4.581026949</f>
        <v>4.581026949</v>
      </c>
      <c r="BY6">
        <f>4.199312194</f>
        <v>4.199312194</v>
      </c>
      <c r="BZ6">
        <f>4.005226927</f>
        <v>4.0052269269999998</v>
      </c>
      <c r="CA6">
        <f>3.76797536</f>
        <v>3.7679753599999999</v>
      </c>
      <c r="CB6">
        <f>3.780688291</f>
        <v>3.7806882910000001</v>
      </c>
      <c r="CC6">
        <f>2.539221743</f>
        <v>2.5392217430000001</v>
      </c>
      <c r="CD6">
        <f>2.373377744</f>
        <v>2.3733777439999999</v>
      </c>
      <c r="CE6">
        <f>2.071479617</f>
        <v>2.0714796170000001</v>
      </c>
      <c r="CF6">
        <f>1.440323621</f>
        <v>1.4403236210000001</v>
      </c>
      <c r="CG6">
        <f>1.18430593</f>
        <v>1.1843059300000001</v>
      </c>
      <c r="CH6">
        <f>0.94784505</f>
        <v>0.94784504999999997</v>
      </c>
      <c r="CI6">
        <f>1.978295097</f>
        <v>1.9782950969999999</v>
      </c>
      <c r="CJ6">
        <f>1.198740519</f>
        <v>1.198740519</v>
      </c>
      <c r="CK6">
        <f>2.409868797</f>
        <v>2.4098687970000001</v>
      </c>
      <c r="CL6">
        <f>1.315247594</f>
        <v>1.3152475939999999</v>
      </c>
      <c r="CM6">
        <f>0.112182613</f>
        <v>0.112182613</v>
      </c>
      <c r="CN6">
        <f>1.716685391</f>
        <v>1.7166853909999999</v>
      </c>
      <c r="CO6">
        <f>0.58642748</f>
        <v>0.58642748</v>
      </c>
      <c r="CP6">
        <f>-0.1166934</f>
        <v>-0.1166934</v>
      </c>
      <c r="CQ6">
        <f>-0.817103327</f>
        <v>-0.81710332699999999</v>
      </c>
      <c r="CR6">
        <f>-3.08906872</f>
        <v>-3.0890687200000002</v>
      </c>
      <c r="CS6">
        <f>-4.191440195</f>
        <v>-4.1914401950000002</v>
      </c>
      <c r="CT6">
        <f>-4.384754048</f>
        <v>-4.3847540479999996</v>
      </c>
      <c r="CU6">
        <f>-3.194980373</f>
        <v>-3.1949803729999999</v>
      </c>
      <c r="CV6">
        <f>-0.150710261</f>
        <v>-0.15071026100000001</v>
      </c>
      <c r="CW6">
        <f>-0.098631296</f>
        <v>-9.8631295999999993E-2</v>
      </c>
      <c r="CX6">
        <f>1.336035259</f>
        <v>1.336035259</v>
      </c>
      <c r="CY6">
        <f>1.649542967</f>
        <v>1.6495429669999999</v>
      </c>
      <c r="CZ6">
        <f>1.254120951</f>
        <v>1.254120951</v>
      </c>
      <c r="DA6">
        <f>2.458953056</f>
        <v>2.4589530559999999</v>
      </c>
      <c r="DB6">
        <f>2.291300145</f>
        <v>2.2913001450000001</v>
      </c>
      <c r="DC6">
        <f>3.743710916</f>
        <v>3.7437109159999999</v>
      </c>
      <c r="DD6">
        <f>3.98259045</f>
        <v>3.98259045</v>
      </c>
      <c r="DE6">
        <f>4.374674255</f>
        <v>4.3746742550000004</v>
      </c>
      <c r="DF6">
        <f>4.61541094</f>
        <v>4.6154109400000003</v>
      </c>
      <c r="DG6">
        <f>4.883951236</f>
        <v>4.8839512359999997</v>
      </c>
      <c r="DH6">
        <f>1.58791652</f>
        <v>1.5879165200000001</v>
      </c>
      <c r="DI6">
        <f>0.141326003</f>
        <v>0.14132600300000001</v>
      </c>
      <c r="DJ6">
        <f>-1.674189232</f>
        <v>-1.674189232</v>
      </c>
      <c r="DK6">
        <f>53.11082125</f>
        <v>53.110821250000001</v>
      </c>
      <c r="DL6">
        <f>51.19475936</f>
        <v>51.194759359999999</v>
      </c>
      <c r="DM6">
        <f>50.15069925</f>
        <v>50.150699250000002</v>
      </c>
      <c r="DN6">
        <f>53.58633733</f>
        <v>53.586337329999999</v>
      </c>
      <c r="DO6">
        <f>53.95681572</f>
        <v>53.956815720000002</v>
      </c>
      <c r="DP6">
        <f>48.82867352</f>
        <v>48.828673520000002</v>
      </c>
      <c r="DQ6">
        <f>47.93118413</f>
        <v>47.931184129999998</v>
      </c>
      <c r="DR6">
        <f>81.15091114</f>
        <v>81.150911140000005</v>
      </c>
      <c r="DS6">
        <f>74.60803102</f>
        <v>74.608031019999999</v>
      </c>
      <c r="DT6">
        <f>76.05672045</f>
        <v>76.05672045</v>
      </c>
      <c r="DU6">
        <f>72.6502765</f>
        <v>72.650276500000004</v>
      </c>
    </row>
    <row r="7" spans="1:125">
      <c r="A7" t="str">
        <f>"    Retail REITs"</f>
        <v xml:space="preserve">    Retail REITs</v>
      </c>
      <c r="B7" t="str">
        <f>"RECFSSRT Index"</f>
        <v>RECFSSRT Index</v>
      </c>
      <c r="C7" t="str">
        <f t="shared" si="0"/>
        <v>PR005</v>
      </c>
      <c r="D7" t="str">
        <f t="shared" si="1"/>
        <v>PX_LAST</v>
      </c>
      <c r="E7" t="str">
        <f t="shared" si="2"/>
        <v>动态</v>
      </c>
      <c r="F7">
        <f ca="1">IF(AND(ISNUMBER($F$240),$B$183=1),$F$240,HLOOKUP(INDIRECT(ADDRESS(2,COLUMN())),OFFSET($BN$2,0,0,ROW()-1,60),ROW()-1,FALSE))</f>
        <v>1.4449237239999999</v>
      </c>
      <c r="G7">
        <f ca="1">IF(AND(ISNUMBER($G$240),$B$183=1),$G$240,HLOOKUP(INDIRECT(ADDRESS(2,COLUMN())),OFFSET($BN$2,0,0,ROW()-1,60),ROW()-1,FALSE))</f>
        <v>1.752543695</v>
      </c>
      <c r="H7">
        <f ca="1">IF(AND(ISNUMBER($H$240),$B$183=1),$H$240,HLOOKUP(INDIRECT(ADDRESS(2,COLUMN())),OFFSET($BN$2,0,0,ROW()-1,60),ROW()-1,FALSE))</f>
        <v>2.30663141</v>
      </c>
      <c r="I7">
        <f ca="1">IF(AND(ISNUMBER($I$240),$B$183=1),$I$240,HLOOKUP(INDIRECT(ADDRESS(2,COLUMN())),OFFSET($BN$2,0,0,ROW()-1,60),ROW()-1,FALSE))</f>
        <v>2.5844137030000001</v>
      </c>
      <c r="J7">
        <f ca="1">IF(AND(ISNUMBER($J$240),$B$183=1),$J$240,HLOOKUP(INDIRECT(ADDRESS(2,COLUMN())),OFFSET($BN$2,0,0,ROW()-1,60),ROW()-1,FALSE))</f>
        <v>3.0597791230000002</v>
      </c>
      <c r="K7">
        <f ca="1">IF(AND(ISNUMBER($K$240),$B$183=1),$K$240,HLOOKUP(INDIRECT(ADDRESS(2,COLUMN())),OFFSET($BN$2,0,0,ROW()-1,60),ROW()-1,FALSE))</f>
        <v>2.7756256029999999</v>
      </c>
      <c r="L7">
        <f ca="1">IF(AND(ISNUMBER($L$240),$B$183=1),$L$240,HLOOKUP(INDIRECT(ADDRESS(2,COLUMN())),OFFSET($BN$2,0,0,ROW()-1,60),ROW()-1,FALSE))</f>
        <v>3.6629825469999999</v>
      </c>
      <c r="M7">
        <f ca="1">IF(AND(ISNUMBER($M$240),$B$183=1),$M$240,HLOOKUP(INDIRECT(ADDRESS(2,COLUMN())),OFFSET($BN$2,0,0,ROW()-1,60),ROW()-1,FALSE))</f>
        <v>4.319163219</v>
      </c>
      <c r="N7">
        <f ca="1">IF(AND(ISNUMBER($N$240),$B$183=1),$N$240,HLOOKUP(INDIRECT(ADDRESS(2,COLUMN())),OFFSET($BN$2,0,0,ROW()-1,60),ROW()-1,FALSE))</f>
        <v>3.6255916199999998</v>
      </c>
      <c r="O7">
        <f ca="1">IF(AND(ISNUMBER($O$240),$B$183=1),$O$240,HLOOKUP(INDIRECT(ADDRESS(2,COLUMN())),OFFSET($BN$2,0,0,ROW()-1,60),ROW()-1,FALSE))</f>
        <v>3.780663375</v>
      </c>
      <c r="P7">
        <f ca="1">IF(AND(ISNUMBER($P$240),$B$183=1),$P$240,HLOOKUP(INDIRECT(ADDRESS(2,COLUMN())),OFFSET($BN$2,0,0,ROW()-1,60),ROW()-1,FALSE))</f>
        <v>3.2090535180000002</v>
      </c>
      <c r="Q7">
        <f ca="1">IF(AND(ISNUMBER($Q$240),$B$183=1),$Q$240,HLOOKUP(INDIRECT(ADDRESS(2,COLUMN())),OFFSET($BN$2,0,0,ROW()-1,60),ROW()-1,FALSE))</f>
        <v>3.3394780050000001</v>
      </c>
      <c r="R7">
        <f ca="1">IF(AND(ISNUMBER($R$240),$B$183=1),$R$240,HLOOKUP(INDIRECT(ADDRESS(2,COLUMN())),OFFSET($BN$2,0,0,ROW()-1,60),ROW()-1,FALSE))</f>
        <v>3.5194505650000001</v>
      </c>
      <c r="S7">
        <f ca="1">IF(AND(ISNUMBER($S$240),$B$183=1),$S$240,HLOOKUP(INDIRECT(ADDRESS(2,COLUMN())),OFFSET($BN$2,0,0,ROW()-1,60),ROW()-1,FALSE))</f>
        <v>4.3071235510000001</v>
      </c>
      <c r="T7">
        <f ca="1">IF(AND(ISNUMBER($T$240),$B$183=1),$T$240,HLOOKUP(INDIRECT(ADDRESS(2,COLUMN())),OFFSET($BN$2,0,0,ROW()-1,60),ROW()-1,FALSE))</f>
        <v>4.3644086619999998</v>
      </c>
      <c r="U7">
        <f ca="1">IF(AND(ISNUMBER($U$240),$B$183=1),$U$240,HLOOKUP(INDIRECT(ADDRESS(2,COLUMN())),OFFSET($BN$2,0,0,ROW()-1,60),ROW()-1,FALSE))</f>
        <v>3.319382251</v>
      </c>
      <c r="V7">
        <f ca="1">IF(AND(ISNUMBER($V$240),$B$183=1),$V$240,HLOOKUP(INDIRECT(ADDRESS(2,COLUMN())),OFFSET($BN$2,0,0,ROW()-1,60),ROW()-1,FALSE))</f>
        <v>4.3769789650000002</v>
      </c>
      <c r="W7">
        <f ca="1">IF(AND(ISNUMBER($W$240),$B$183=1),$W$240,HLOOKUP(INDIRECT(ADDRESS(2,COLUMN())),OFFSET($BN$2,0,0,ROW()-1,60),ROW()-1,FALSE))</f>
        <v>4.2337802629999999</v>
      </c>
      <c r="X7">
        <f ca="1">IF(AND(ISNUMBER($X$240),$B$183=1),$X$240,HLOOKUP(INDIRECT(ADDRESS(2,COLUMN())),OFFSET($BN$2,0,0,ROW()-1,60),ROW()-1,FALSE))</f>
        <v>4.7639184849999996</v>
      </c>
      <c r="Y7">
        <f ca="1">IF(AND(ISNUMBER($Y$240),$B$183=1),$Y$240,HLOOKUP(INDIRECT(ADDRESS(2,COLUMN())),OFFSET($BN$2,0,0,ROW()-1,60),ROW()-1,FALSE))</f>
        <v>4.1223311699999998</v>
      </c>
      <c r="Z7">
        <f ca="1">IF(AND(ISNUMBER($Z$240),$B$183=1),$Z$240,HLOOKUP(INDIRECT(ADDRESS(2,COLUMN())),OFFSET($BN$2,0,0,ROW()-1,60),ROW()-1,FALSE))</f>
        <v>3.4772871429999999</v>
      </c>
      <c r="AA7">
        <f ca="1">IF(AND(ISNUMBER($AA$240),$B$183=1),$AA$240,HLOOKUP(INDIRECT(ADDRESS(2,COLUMN())),OFFSET($BN$2,0,0,ROW()-1,60),ROW()-1,FALSE))</f>
        <v>3.4854259129999998</v>
      </c>
      <c r="AB7">
        <f ca="1">IF(AND(ISNUMBER($AB$240),$B$183=1),$AB$240,HLOOKUP(INDIRECT(ADDRESS(2,COLUMN())),OFFSET($BN$2,0,0,ROW()-1,60),ROW()-1,FALSE))</f>
        <v>4.1657154170000004</v>
      </c>
      <c r="AC7">
        <f ca="1">IF(AND(ISNUMBER($AC$240),$B$183=1),$AC$240,HLOOKUP(INDIRECT(ADDRESS(2,COLUMN())),OFFSET($BN$2,0,0,ROW()-1,60),ROW()-1,FALSE))</f>
        <v>4.2113566579999997</v>
      </c>
      <c r="AD7">
        <f ca="1">IF(AND(ISNUMBER($AD$240),$B$183=1),$AD$240,HLOOKUP(INDIRECT(ADDRESS(2,COLUMN())),OFFSET($BN$2,0,0,ROW()-1,60),ROW()-1,FALSE))</f>
        <v>2.3795707570000002</v>
      </c>
      <c r="AE7">
        <f ca="1">IF(AND(ISNUMBER($AE$240),$B$183=1),$AE$240,HLOOKUP(INDIRECT(ADDRESS(2,COLUMN())),OFFSET($BN$2,0,0,ROW()-1,60),ROW()-1,FALSE))</f>
        <v>3.4137804570000001</v>
      </c>
      <c r="AF7">
        <f ca="1">IF(AND(ISNUMBER($AF$240),$B$183=1),$AF$240,HLOOKUP(INDIRECT(ADDRESS(2,COLUMN())),OFFSET($BN$2,0,0,ROW()-1,60),ROW()-1,FALSE))</f>
        <v>2.6023762210000001</v>
      </c>
      <c r="AG7">
        <f ca="1">IF(AND(ISNUMBER($AG$240),$B$183=1),$AG$240,HLOOKUP(INDIRECT(ADDRESS(2,COLUMN())),OFFSET($BN$2,0,0,ROW()-1,60),ROW()-1,FALSE))</f>
        <v>1.589813575</v>
      </c>
      <c r="AH7">
        <f ca="1">IF(AND(ISNUMBER($AH$240),$B$183=1),$AH$240,HLOOKUP(INDIRECT(ADDRESS(2,COLUMN())),OFFSET($BN$2,0,0,ROW()-1,60),ROW()-1,FALSE))</f>
        <v>2.948481761</v>
      </c>
      <c r="AI7">
        <f ca="1">IF(AND(ISNUMBER($AI$240),$B$183=1),$AI$240,HLOOKUP(INDIRECT(ADDRESS(2,COLUMN())),OFFSET($BN$2,0,0,ROW()-1,60),ROW()-1,FALSE))</f>
        <v>1.216903262</v>
      </c>
      <c r="AJ7">
        <f ca="1">IF(AND(ISNUMBER($AJ$240),$B$183=1),$AJ$240,HLOOKUP(INDIRECT(ADDRESS(2,COLUMN())),OFFSET($BN$2,0,0,ROW()-1,60),ROW()-1,FALSE))</f>
        <v>0.55776144900000002</v>
      </c>
      <c r="AK7">
        <f ca="1">IF(AND(ISNUMBER($AK$240),$B$183=1),$AK$240,HLOOKUP(INDIRECT(ADDRESS(2,COLUMN())),OFFSET($BN$2,0,0,ROW()-1,60),ROW()-1,FALSE))</f>
        <v>0.21366911399999999</v>
      </c>
      <c r="AL7">
        <f ca="1">IF(AND(ISNUMBER($AL$240),$B$183=1),$AL$240,HLOOKUP(INDIRECT(ADDRESS(2,COLUMN())),OFFSET($BN$2,0,0,ROW()-1,60),ROW()-1,FALSE))</f>
        <v>-0.77741539599999998</v>
      </c>
      <c r="AM7">
        <f ca="1">IF(AND(ISNUMBER($AM$240),$B$183=1),$AM$240,HLOOKUP(INDIRECT(ADDRESS(2,COLUMN())),OFFSET($BN$2,0,0,ROW()-1,60),ROW()-1,FALSE))</f>
        <v>-1.576363534</v>
      </c>
      <c r="AN7">
        <f ca="1">IF(AND(ISNUMBER($AN$240),$B$183=1),$AN$240,HLOOKUP(INDIRECT(ADDRESS(2,COLUMN())),OFFSET($BN$2,0,0,ROW()-1,60),ROW()-1,FALSE))</f>
        <v>-1.6646313429999999</v>
      </c>
      <c r="AO7">
        <f ca="1">IF(AND(ISNUMBER($AO$240),$B$183=1),$AO$240,HLOOKUP(INDIRECT(ADDRESS(2,COLUMN())),OFFSET($BN$2,0,0,ROW()-1,60),ROW()-1,FALSE))</f>
        <v>0.445168444</v>
      </c>
      <c r="AP7">
        <f ca="1">IF(AND(ISNUMBER($AP$240),$B$183=1),$AP$240,HLOOKUP(INDIRECT(ADDRESS(2,COLUMN())),OFFSET($BN$2,0,0,ROW()-1,60),ROW()-1,FALSE))</f>
        <v>1.109212104</v>
      </c>
      <c r="AQ7">
        <f ca="1">IF(AND(ISNUMBER($AQ$240),$B$183=1),$AQ$240,HLOOKUP(INDIRECT(ADDRESS(2,COLUMN())),OFFSET($BN$2,0,0,ROW()-1,60),ROW()-1,FALSE))</f>
        <v>1.188942876</v>
      </c>
      <c r="AR7">
        <f ca="1">IF(AND(ISNUMBER($AR$240),$B$183=1),$AR$240,HLOOKUP(INDIRECT(ADDRESS(2,COLUMN())),OFFSET($BN$2,0,0,ROW()-1,60),ROW()-1,FALSE))</f>
        <v>3.21670816</v>
      </c>
      <c r="AS7">
        <f ca="1">IF(AND(ISNUMBER($AS$240),$B$183=1),$AS$240,HLOOKUP(INDIRECT(ADDRESS(2,COLUMN())),OFFSET($BN$2,0,0,ROW()-1,60),ROW()-1,FALSE))</f>
        <v>3.193604954</v>
      </c>
      <c r="AT7">
        <f ca="1">IF(AND(ISNUMBER($AT$240),$B$183=1),$AT$240,HLOOKUP(INDIRECT(ADDRESS(2,COLUMN())),OFFSET($BN$2,0,0,ROW()-1,60),ROW()-1,FALSE))</f>
        <v>4.7776030020000002</v>
      </c>
      <c r="AU7">
        <f ca="1">IF(AND(ISNUMBER($AU$240),$B$183=1),$AU$240,HLOOKUP(INDIRECT(ADDRESS(2,COLUMN())),OFFSET($BN$2,0,0,ROW()-1,60),ROW()-1,FALSE))</f>
        <v>4.8769748100000001</v>
      </c>
      <c r="AV7">
        <f ca="1">IF(AND(ISNUMBER($AV$240),$B$183=1),$AV$240,HLOOKUP(INDIRECT(ADDRESS(2,COLUMN())),OFFSET($BN$2,0,0,ROW()-1,60),ROW()-1,FALSE))</f>
        <v>3.2102229439999999</v>
      </c>
      <c r="AW7">
        <f ca="1">IF(AND(ISNUMBER($AW$240),$B$183=1),$AW$240,HLOOKUP(INDIRECT(ADDRESS(2,COLUMN())),OFFSET($BN$2,0,0,ROW()-1,60),ROW()-1,FALSE))</f>
        <v>1.7625836859999999</v>
      </c>
      <c r="AX7">
        <f ca="1">IF(AND(ISNUMBER($AX$240),$B$183=1),$AX$240,HLOOKUP(INDIRECT(ADDRESS(2,COLUMN())),OFFSET($BN$2,0,0,ROW()-1,60),ROW()-1,FALSE))</f>
        <v>5.3436708020000001</v>
      </c>
      <c r="AY7">
        <f ca="1">IF(AND(ISNUMBER($AY$240),$B$183=1),$AY$240,HLOOKUP(INDIRECT(ADDRESS(2,COLUMN())),OFFSET($BN$2,0,0,ROW()-1,60),ROW()-1,FALSE))</f>
        <v>3.1907658759999999</v>
      </c>
      <c r="AZ7">
        <f ca="1">IF(AND(ISNUMBER($AZ$240),$B$183=1),$AZ$240,HLOOKUP(INDIRECT(ADDRESS(2,COLUMN())),OFFSET($BN$2,0,0,ROW()-1,60),ROW()-1,FALSE))</f>
        <v>4.0709357600000002</v>
      </c>
      <c r="BA7">
        <f ca="1">IF(AND(ISNUMBER($BA$240),$B$183=1),$BA$240,HLOOKUP(INDIRECT(ADDRESS(2,COLUMN())),OFFSET($BN$2,0,0,ROW()-1,60),ROW()-1,FALSE))</f>
        <v>5.5734294259999997</v>
      </c>
      <c r="BB7">
        <f ca="1">IF(AND(ISNUMBER($BB$240),$B$183=1),$BB$240,HLOOKUP(INDIRECT(ADDRESS(2,COLUMN())),OFFSET($BN$2,0,0,ROW()-1,60),ROW()-1,FALSE))</f>
        <v>3.4763167720000001</v>
      </c>
      <c r="BC7">
        <f ca="1">IF(AND(ISNUMBER($BC$240),$B$183=1),$BC$240,HLOOKUP(INDIRECT(ADDRESS(2,COLUMN())),OFFSET($BN$2,0,0,ROW()-1,60),ROW()-1,FALSE))</f>
        <v>3.817675774</v>
      </c>
      <c r="BD7">
        <f ca="1">IF(AND(ISNUMBER($BD$240),$B$183=1),$BD$240,HLOOKUP(INDIRECT(ADDRESS(2,COLUMN())),OFFSET($BN$2,0,0,ROW()-1,60),ROW()-1,FALSE))</f>
        <v>4.1182799829999999</v>
      </c>
      <c r="BE7">
        <f ca="1">IF(AND(ISNUMBER($BE$240),$B$183=1),$BE$240,HLOOKUP(INDIRECT(ADDRESS(2,COLUMN())),OFFSET($BN$2,0,0,ROW()-1,60),ROW()-1,FALSE))</f>
        <v>3.7378570390000001</v>
      </c>
      <c r="BF7">
        <f ca="1">IF(AND(ISNUMBER($BF$240),$B$183=1),$BF$240,HLOOKUP(INDIRECT(ADDRESS(2,COLUMN())),OFFSET($BN$2,0,0,ROW()-1,60),ROW()-1,FALSE))</f>
        <v>3.4268802310000002</v>
      </c>
      <c r="BG7">
        <f ca="1">IF(AND(ISNUMBER($BG$240),$B$183=1),$BG$240,HLOOKUP(INDIRECT(ADDRESS(2,COLUMN())),OFFSET($BN$2,0,0,ROW()-1,60),ROW()-1,FALSE))</f>
        <v>2.7996816600000001</v>
      </c>
      <c r="BH7">
        <f ca="1">IF(AND(ISNUMBER($BH$240),$B$183=1),$BH$240,HLOOKUP(INDIRECT(ADDRESS(2,COLUMN())),OFFSET($BN$2,0,0,ROW()-1,60),ROW()-1,FALSE))</f>
        <v>2.2133062469999998</v>
      </c>
      <c r="BI7">
        <f ca="1">IF(AND(ISNUMBER($BI$240),$B$183=1),$BI$240,HLOOKUP(INDIRECT(ADDRESS(2,COLUMN())),OFFSET($BN$2,0,0,ROW()-1,60),ROW()-1,FALSE))</f>
        <v>2.2130026790000001</v>
      </c>
      <c r="BJ7">
        <f ca="1">IF(AND(ISNUMBER($BJ$240),$B$183=1),$BJ$240,HLOOKUP(INDIRECT(ADDRESS(2,COLUMN())),OFFSET($BN$2,0,0,ROW()-1,60),ROW()-1,FALSE))</f>
        <v>1.8902457429999999</v>
      </c>
      <c r="BK7">
        <f ca="1">IF(AND(ISNUMBER($BK$240),$B$183=1),$BK$240,HLOOKUP(INDIRECT(ADDRESS(2,COLUMN())),OFFSET($BN$2,0,0,ROW()-1,60),ROW()-1,FALSE))</f>
        <v>1.623434848</v>
      </c>
      <c r="BL7">
        <f ca="1">IF(AND(ISNUMBER($BL$240),$B$183=1),$BL$240,HLOOKUP(INDIRECT(ADDRESS(2,COLUMN())),OFFSET($BN$2,0,0,ROW()-1,60),ROW()-1,FALSE))</f>
        <v>2.1945651509999999</v>
      </c>
      <c r="BM7">
        <f ca="1">IF(AND(ISNUMBER($BM$240),$B$183=1),$BM$240,HLOOKUP(INDIRECT(ADDRESS(2,COLUMN())),OFFSET($BN$2,0,0,ROW()-1,60),ROW()-1,FALSE))</f>
        <v>1.8718136160000001</v>
      </c>
      <c r="BN7">
        <f>1.444923724</f>
        <v>1.4449237239999999</v>
      </c>
      <c r="BO7">
        <f>1.752543695</f>
        <v>1.752543695</v>
      </c>
      <c r="BP7">
        <f>2.30663141</f>
        <v>2.30663141</v>
      </c>
      <c r="BQ7">
        <f>2.584413703</f>
        <v>2.5844137030000001</v>
      </c>
      <c r="BR7">
        <f>3.059779123</f>
        <v>3.0597791230000002</v>
      </c>
      <c r="BS7">
        <f>2.775625603</f>
        <v>2.7756256029999999</v>
      </c>
      <c r="BT7">
        <f>3.662982547</f>
        <v>3.6629825469999999</v>
      </c>
      <c r="BU7">
        <f>4.319163219</f>
        <v>4.319163219</v>
      </c>
      <c r="BV7">
        <f>3.62559162</f>
        <v>3.6255916199999998</v>
      </c>
      <c r="BW7">
        <f>3.780663375</f>
        <v>3.780663375</v>
      </c>
      <c r="BX7">
        <f>3.209053518</f>
        <v>3.2090535180000002</v>
      </c>
      <c r="BY7">
        <f>3.339478005</f>
        <v>3.3394780050000001</v>
      </c>
      <c r="BZ7">
        <f>3.519450565</f>
        <v>3.5194505650000001</v>
      </c>
      <c r="CA7">
        <f>4.307123551</f>
        <v>4.3071235510000001</v>
      </c>
      <c r="CB7">
        <f>4.364408662</f>
        <v>4.3644086619999998</v>
      </c>
      <c r="CC7">
        <f>3.319382251</f>
        <v>3.319382251</v>
      </c>
      <c r="CD7">
        <f>4.376978965</f>
        <v>4.3769789650000002</v>
      </c>
      <c r="CE7">
        <f>4.233780263</f>
        <v>4.2337802629999999</v>
      </c>
      <c r="CF7">
        <f>4.763918485</f>
        <v>4.7639184849999996</v>
      </c>
      <c r="CG7">
        <f>4.12233117</f>
        <v>4.1223311699999998</v>
      </c>
      <c r="CH7">
        <f>3.477287143</f>
        <v>3.4772871429999999</v>
      </c>
      <c r="CI7">
        <f>3.485425913</f>
        <v>3.4854259129999998</v>
      </c>
      <c r="CJ7">
        <f>4.165715417</f>
        <v>4.1657154170000004</v>
      </c>
      <c r="CK7">
        <f>4.211356658</f>
        <v>4.2113566579999997</v>
      </c>
      <c r="CL7">
        <f>2.379570757</f>
        <v>2.3795707570000002</v>
      </c>
      <c r="CM7">
        <f>3.413780457</f>
        <v>3.4137804570000001</v>
      </c>
      <c r="CN7">
        <f>2.602376221</f>
        <v>2.6023762210000001</v>
      </c>
      <c r="CO7">
        <f>1.589813575</f>
        <v>1.589813575</v>
      </c>
      <c r="CP7">
        <f>2.948481761</f>
        <v>2.948481761</v>
      </c>
      <c r="CQ7">
        <f>1.216903262</f>
        <v>1.216903262</v>
      </c>
      <c r="CR7">
        <f>0.557761449</f>
        <v>0.55776144900000002</v>
      </c>
      <c r="CS7">
        <f>0.213669114</f>
        <v>0.21366911399999999</v>
      </c>
      <c r="CT7">
        <f>-0.777415396</f>
        <v>-0.77741539599999998</v>
      </c>
      <c r="CU7">
        <f>-1.576363534</f>
        <v>-1.576363534</v>
      </c>
      <c r="CV7">
        <f>-1.664631343</f>
        <v>-1.6646313429999999</v>
      </c>
      <c r="CW7">
        <f>0.445168444</f>
        <v>0.445168444</v>
      </c>
      <c r="CX7">
        <f>1.109212104</f>
        <v>1.109212104</v>
      </c>
      <c r="CY7">
        <f>1.188942876</f>
        <v>1.188942876</v>
      </c>
      <c r="CZ7">
        <f>3.21670816</f>
        <v>3.21670816</v>
      </c>
      <c r="DA7">
        <f>3.193604954</f>
        <v>3.193604954</v>
      </c>
      <c r="DB7">
        <f>4.777603002</f>
        <v>4.7776030020000002</v>
      </c>
      <c r="DC7">
        <f>4.87697481</f>
        <v>4.8769748100000001</v>
      </c>
      <c r="DD7">
        <f>3.210222944</f>
        <v>3.2102229439999999</v>
      </c>
      <c r="DE7">
        <f>1.762583686</f>
        <v>1.7625836859999999</v>
      </c>
      <c r="DF7">
        <f>5.343670802</f>
        <v>5.3436708020000001</v>
      </c>
      <c r="DG7">
        <f>3.190765876</f>
        <v>3.1907658759999999</v>
      </c>
      <c r="DH7">
        <f>4.07093576</f>
        <v>4.0709357600000002</v>
      </c>
      <c r="DI7">
        <f>5.573429426</f>
        <v>5.5734294259999997</v>
      </c>
      <c r="DJ7">
        <f>3.476316772</f>
        <v>3.4763167720000001</v>
      </c>
      <c r="DK7">
        <f>3.817675774</f>
        <v>3.817675774</v>
      </c>
      <c r="DL7">
        <f>4.118279983</f>
        <v>4.1182799829999999</v>
      </c>
      <c r="DM7">
        <f>3.737857039</f>
        <v>3.7378570390000001</v>
      </c>
      <c r="DN7">
        <f>3.426880231</f>
        <v>3.4268802310000002</v>
      </c>
      <c r="DO7">
        <f>2.79968166</f>
        <v>2.7996816600000001</v>
      </c>
      <c r="DP7">
        <f>2.213306247</f>
        <v>2.2133062469999998</v>
      </c>
      <c r="DQ7">
        <f>2.213002679</f>
        <v>2.2130026790000001</v>
      </c>
      <c r="DR7">
        <f>1.890245743</f>
        <v>1.8902457429999999</v>
      </c>
      <c r="DS7">
        <f>1.623434848</f>
        <v>1.623434848</v>
      </c>
      <c r="DT7">
        <f>2.194565151</f>
        <v>2.1945651509999999</v>
      </c>
      <c r="DU7">
        <f>1.871813616</f>
        <v>1.8718136160000001</v>
      </c>
    </row>
    <row r="8" spans="1:125">
      <c r="A8" t="str">
        <f>"    Shopping Center REITs"</f>
        <v xml:space="preserve">    Shopping Center REITs</v>
      </c>
      <c r="B8" t="str">
        <f>"RECFSSSC Index"</f>
        <v>RECFSSSC Index</v>
      </c>
      <c r="C8" t="str">
        <f t="shared" si="0"/>
        <v>PR005</v>
      </c>
      <c r="D8" t="str">
        <f t="shared" si="1"/>
        <v>PX_LAST</v>
      </c>
      <c r="E8" t="str">
        <f t="shared" si="2"/>
        <v>动态</v>
      </c>
      <c r="F8">
        <f ca="1">IF(AND(ISNUMBER($F$241),$B$183=1),$F$241,HLOOKUP(INDIRECT(ADDRESS(2,COLUMN())),OFFSET($BN$2,0,0,ROW()-1,60),ROW()-1,FALSE))</f>
        <v>1.9495590410000001</v>
      </c>
      <c r="G8">
        <f ca="1">IF(AND(ISNUMBER($G$241),$B$183=1),$G$241,HLOOKUP(INDIRECT(ADDRESS(2,COLUMN())),OFFSET($BN$2,0,0,ROW()-1,60),ROW()-1,FALSE))</f>
        <v>2.1703271040000001</v>
      </c>
      <c r="H8">
        <f ca="1">IF(AND(ISNUMBER($H$241),$B$183=1),$H$241,HLOOKUP(INDIRECT(ADDRESS(2,COLUMN())),OFFSET($BN$2,0,0,ROW()-1,60),ROW()-1,FALSE))</f>
        <v>1.3124411220000001</v>
      </c>
      <c r="I8">
        <f ca="1">IF(AND(ISNUMBER($I$241),$B$183=1),$I$241,HLOOKUP(INDIRECT(ADDRESS(2,COLUMN())),OFFSET($BN$2,0,0,ROW()-1,60),ROW()-1,FALSE))</f>
        <v>2.2725923309999998</v>
      </c>
      <c r="J8">
        <f ca="1">IF(AND(ISNUMBER($J$241),$B$183=1),$J$241,HLOOKUP(INDIRECT(ADDRESS(2,COLUMN())),OFFSET($BN$2,0,0,ROW()-1,60),ROW()-1,FALSE))</f>
        <v>2.510907547</v>
      </c>
      <c r="K8">
        <f ca="1">IF(AND(ISNUMBER($K$241),$B$183=1),$K$241,HLOOKUP(INDIRECT(ADDRESS(2,COLUMN())),OFFSET($BN$2,0,0,ROW()-1,60),ROW()-1,FALSE))</f>
        <v>2.7205614140000001</v>
      </c>
      <c r="L8">
        <f ca="1">IF(AND(ISNUMBER($L$241),$B$183=1),$L$241,HLOOKUP(INDIRECT(ADDRESS(2,COLUMN())),OFFSET($BN$2,0,0,ROW()-1,60),ROW()-1,FALSE))</f>
        <v>3.3186341389999998</v>
      </c>
      <c r="M8">
        <f ca="1">IF(AND(ISNUMBER($M$241),$B$183=1),$M$241,HLOOKUP(INDIRECT(ADDRESS(2,COLUMN())),OFFSET($BN$2,0,0,ROW()-1,60),ROW()-1,FALSE))</f>
        <v>3.0609345920000002</v>
      </c>
      <c r="N8">
        <f ca="1">IF(AND(ISNUMBER($N$241),$B$183=1),$N$241,HLOOKUP(INDIRECT(ADDRESS(2,COLUMN())),OFFSET($BN$2,0,0,ROW()-1,60),ROW()-1,FALSE))</f>
        <v>3.0564384449999999</v>
      </c>
      <c r="O8">
        <f ca="1">IF(AND(ISNUMBER($O$241),$B$183=1),$O$241,HLOOKUP(INDIRECT(ADDRESS(2,COLUMN())),OFFSET($BN$2,0,0,ROW()-1,60),ROW()-1,FALSE))</f>
        <v>3.0518973150000002</v>
      </c>
      <c r="P8">
        <f ca="1">IF(AND(ISNUMBER($P$241),$B$183=1),$P$241,HLOOKUP(INDIRECT(ADDRESS(2,COLUMN())),OFFSET($BN$2,0,0,ROW()-1,60),ROW()-1,FALSE))</f>
        <v>3.310111306</v>
      </c>
      <c r="Q8">
        <f ca="1">IF(AND(ISNUMBER($Q$241),$B$183=1),$Q$241,HLOOKUP(INDIRECT(ADDRESS(2,COLUMN())),OFFSET($BN$2,0,0,ROW()-1,60),ROW()-1,FALSE))</f>
        <v>3.243395923</v>
      </c>
      <c r="R8">
        <f ca="1">IF(AND(ISNUMBER($R$241),$B$183=1),$R$241,HLOOKUP(INDIRECT(ADDRESS(2,COLUMN())),OFFSET($BN$2,0,0,ROW()-1,60),ROW()-1,FALSE))</f>
        <v>3.2379506849999999</v>
      </c>
      <c r="S8">
        <f ca="1">IF(AND(ISNUMBER($S$241),$B$183=1),$S$241,HLOOKUP(INDIRECT(ADDRESS(2,COLUMN())),OFFSET($BN$2,0,0,ROW()-1,60),ROW()-1,FALSE))</f>
        <v>3.1812348890000002</v>
      </c>
      <c r="T8">
        <f ca="1">IF(AND(ISNUMBER($T$241),$B$183=1),$T$241,HLOOKUP(INDIRECT(ADDRESS(2,COLUMN())),OFFSET($BN$2,0,0,ROW()-1,60),ROW()-1,FALSE))</f>
        <v>3.3121266980000001</v>
      </c>
      <c r="U8">
        <f ca="1">IF(AND(ISNUMBER($U$241),$B$183=1),$U$241,HLOOKUP(INDIRECT(ADDRESS(2,COLUMN())),OFFSET($BN$2,0,0,ROW()-1,60),ROW()-1,FALSE))</f>
        <v>2.9586672379999999</v>
      </c>
      <c r="V8">
        <f ca="1">IF(AND(ISNUMBER($V$241),$B$183=1),$V$241,HLOOKUP(INDIRECT(ADDRESS(2,COLUMN())),OFFSET($BN$2,0,0,ROW()-1,60),ROW()-1,FALSE))</f>
        <v>3.4716781069999998</v>
      </c>
      <c r="W8">
        <f ca="1">IF(AND(ISNUMBER($W$241),$B$183=1),$W$241,HLOOKUP(INDIRECT(ADDRESS(2,COLUMN())),OFFSET($BN$2,0,0,ROW()-1,60),ROW()-1,FALSE))</f>
        <v>3.4146116289999999</v>
      </c>
      <c r="X8">
        <f ca="1">IF(AND(ISNUMBER($X$241),$B$183=1),$X$241,HLOOKUP(INDIRECT(ADDRESS(2,COLUMN())),OFFSET($BN$2,0,0,ROW()-1,60),ROW()-1,FALSE))</f>
        <v>3.6250220679999998</v>
      </c>
      <c r="Y8">
        <f ca="1">IF(AND(ISNUMBER($Y$241),$B$183=1),$Y$241,HLOOKUP(INDIRECT(ADDRESS(2,COLUMN())),OFFSET($BN$2,0,0,ROW()-1,60),ROW()-1,FALSE))</f>
        <v>3.4888504899999999</v>
      </c>
      <c r="Z8">
        <f ca="1">IF(AND(ISNUMBER($Z$241),$B$183=1),$Z$241,HLOOKUP(INDIRECT(ADDRESS(2,COLUMN())),OFFSET($BN$2,0,0,ROW()-1,60),ROW()-1,FALSE))</f>
        <v>3.2198732809999999</v>
      </c>
      <c r="AA8">
        <f ca="1">IF(AND(ISNUMBER($AA$241),$B$183=1),$AA$241,HLOOKUP(INDIRECT(ADDRESS(2,COLUMN())),OFFSET($BN$2,0,0,ROW()-1,60),ROW()-1,FALSE))</f>
        <v>3.0400402560000002</v>
      </c>
      <c r="AB8">
        <f ca="1">IF(AND(ISNUMBER($AB$241),$B$183=1),$AB$241,HLOOKUP(INDIRECT(ADDRESS(2,COLUMN())),OFFSET($BN$2,0,0,ROW()-1,60),ROW()-1,FALSE))</f>
        <v>2.8729517960000002</v>
      </c>
      <c r="AC8">
        <f ca="1">IF(AND(ISNUMBER($AC$241),$B$183=1),$AC$241,HLOOKUP(INDIRECT(ADDRESS(2,COLUMN())),OFFSET($BN$2,0,0,ROW()-1,60),ROW()-1,FALSE))</f>
        <v>2.8847575139999999</v>
      </c>
      <c r="AD8">
        <f ca="1">IF(AND(ISNUMBER($AD$241),$B$183=1),$AD$241,HLOOKUP(INDIRECT(ADDRESS(2,COLUMN())),OFFSET($BN$2,0,0,ROW()-1,60),ROW()-1,FALSE))</f>
        <v>2.0807095609999999</v>
      </c>
      <c r="AE8">
        <f ca="1">IF(AND(ISNUMBER($AE$241),$B$183=1),$AE$241,HLOOKUP(INDIRECT(ADDRESS(2,COLUMN())),OFFSET($BN$2,0,0,ROW()-1,60),ROW()-1,FALSE))</f>
        <v>2.4223469739999999</v>
      </c>
      <c r="AF8">
        <f ca="1">IF(AND(ISNUMBER($AF$241),$B$183=1),$AF$241,HLOOKUP(INDIRECT(ADDRESS(2,COLUMN())),OFFSET($BN$2,0,0,ROW()-1,60),ROW()-1,FALSE))</f>
        <v>2.2197013700000001</v>
      </c>
      <c r="AG8">
        <f ca="1">IF(AND(ISNUMBER($AG$241),$B$183=1),$AG$241,HLOOKUP(INDIRECT(ADDRESS(2,COLUMN())),OFFSET($BN$2,0,0,ROW()-1,60),ROW()-1,FALSE))</f>
        <v>1.2067644360000001</v>
      </c>
      <c r="AH8">
        <f ca="1">IF(AND(ISNUMBER($AH$241),$B$183=1),$AH$241,HLOOKUP(INDIRECT(ADDRESS(2,COLUMN())),OFFSET($BN$2,0,0,ROW()-1,60),ROW()-1,FALSE))</f>
        <v>1.5138833599999999</v>
      </c>
      <c r="AI8">
        <f ca="1">IF(AND(ISNUMBER($AI$241),$B$183=1),$AI$241,HLOOKUP(INDIRECT(ADDRESS(2,COLUMN())),OFFSET($BN$2,0,0,ROW()-1,60),ROW()-1,FALSE))</f>
        <v>-3.3555748000000003E-2</v>
      </c>
      <c r="AJ8">
        <f ca="1">IF(AND(ISNUMBER($AJ$241),$B$183=1),$AJ$241,HLOOKUP(INDIRECT(ADDRESS(2,COLUMN())),OFFSET($BN$2,0,0,ROW()-1,60),ROW()-1,FALSE))</f>
        <v>0.77072688</v>
      </c>
      <c r="AK8">
        <f ca="1">IF(AND(ISNUMBER($AK$241),$B$183=1),$AK$241,HLOOKUP(INDIRECT(ADDRESS(2,COLUMN())),OFFSET($BN$2,0,0,ROW()-1,60),ROW()-1,FALSE))</f>
        <v>-2.6346541569999999</v>
      </c>
      <c r="AL8">
        <f ca="1">IF(AND(ISNUMBER($AL$241),$B$183=1),$AL$241,HLOOKUP(INDIRECT(ADDRESS(2,COLUMN())),OFFSET($BN$2,0,0,ROW()-1,60),ROW()-1,FALSE))</f>
        <v>-3.190921806</v>
      </c>
      <c r="AM8">
        <f ca="1">IF(AND(ISNUMBER($AM$241),$B$183=1),$AM$241,HLOOKUP(INDIRECT(ADDRESS(2,COLUMN())),OFFSET($BN$2,0,0,ROW()-1,60),ROW()-1,FALSE))</f>
        <v>-4.1766297330000004</v>
      </c>
      <c r="AN8">
        <f ca="1">IF(AND(ISNUMBER($AN$241),$B$183=1),$AN$241,HLOOKUP(INDIRECT(ADDRESS(2,COLUMN())),OFFSET($BN$2,0,0,ROW()-1,60),ROW()-1,FALSE))</f>
        <v>-5.9347808290000001</v>
      </c>
      <c r="AO8">
        <f ca="1">IF(AND(ISNUMBER($AO$241),$B$183=1),$AO$241,HLOOKUP(INDIRECT(ADDRESS(2,COLUMN())),OFFSET($BN$2,0,0,ROW()-1,60),ROW()-1,FALSE))</f>
        <v>-2.2889856210000001</v>
      </c>
      <c r="AP8">
        <f ca="1">IF(AND(ISNUMBER($AP$241),$B$183=1),$AP$241,HLOOKUP(INDIRECT(ADDRESS(2,COLUMN())),OFFSET($BN$2,0,0,ROW()-1,60),ROW()-1,FALSE))</f>
        <v>-1.876377795</v>
      </c>
      <c r="AQ8">
        <f ca="1">IF(AND(ISNUMBER($AQ$241),$B$183=1),$AQ$241,HLOOKUP(INDIRECT(ADDRESS(2,COLUMN())),OFFSET($BN$2,0,0,ROW()-1,60),ROW()-1,FALSE))</f>
        <v>0.49652900300000002</v>
      </c>
      <c r="AR8">
        <f ca="1">IF(AND(ISNUMBER($AR$241),$B$183=1),$AR$241,HLOOKUP(INDIRECT(ADDRESS(2,COLUMN())),OFFSET($BN$2,0,0,ROW()-1,60),ROW()-1,FALSE))</f>
        <v>-0.26510386699999999</v>
      </c>
      <c r="AS8">
        <f ca="1">IF(AND(ISNUMBER($AS$241),$B$183=1),$AS$241,HLOOKUP(INDIRECT(ADDRESS(2,COLUMN())),OFFSET($BN$2,0,0,ROW()-1,60),ROW()-1,FALSE))</f>
        <v>1.5044988180000001</v>
      </c>
      <c r="AT8">
        <f ca="1">IF(AND(ISNUMBER($AT$241),$B$183=1),$AT$241,HLOOKUP(INDIRECT(ADDRESS(2,COLUMN())),OFFSET($BN$2,0,0,ROW()-1,60),ROW()-1,FALSE))</f>
        <v>2.9489370629999998</v>
      </c>
      <c r="AU8">
        <f ca="1">IF(AND(ISNUMBER($AU$241),$B$183=1),$AU$241,HLOOKUP(INDIRECT(ADDRESS(2,COLUMN())),OFFSET($BN$2,0,0,ROW()-1,60),ROW()-1,FALSE))</f>
        <v>1.992868021</v>
      </c>
      <c r="AV8">
        <f ca="1">IF(AND(ISNUMBER($AV$241),$B$183=1),$AV$241,HLOOKUP(INDIRECT(ADDRESS(2,COLUMN())),OFFSET($BN$2,0,0,ROW()-1,60),ROW()-1,FALSE))</f>
        <v>1.8493860040000001</v>
      </c>
      <c r="AW8">
        <f ca="1">IF(AND(ISNUMBER($AW$241),$B$183=1),$AW$241,HLOOKUP(INDIRECT(ADDRESS(2,COLUMN())),OFFSET($BN$2,0,0,ROW()-1,60),ROW()-1,FALSE))</f>
        <v>2.3993587299999999</v>
      </c>
      <c r="AX8">
        <f ca="1">IF(AND(ISNUMBER($AX$241),$B$183=1),$AX$241,HLOOKUP(INDIRECT(ADDRESS(2,COLUMN())),OFFSET($BN$2,0,0,ROW()-1,60),ROW()-1,FALSE))</f>
        <v>2.0712587220000001</v>
      </c>
      <c r="AY8">
        <f ca="1">IF(AND(ISNUMBER($AY$241),$B$183=1),$AY$241,HLOOKUP(INDIRECT(ADDRESS(2,COLUMN())),OFFSET($BN$2,0,0,ROW()-1,60),ROW()-1,FALSE))</f>
        <v>3.4613518230000002</v>
      </c>
      <c r="AZ8">
        <f ca="1">IF(AND(ISNUMBER($AZ$241),$B$183=1),$AZ$241,HLOOKUP(INDIRECT(ADDRESS(2,COLUMN())),OFFSET($BN$2,0,0,ROW()-1,60),ROW()-1,FALSE))</f>
        <v>1.4530914770000001</v>
      </c>
      <c r="BA8">
        <f ca="1">IF(AND(ISNUMBER($BA$241),$B$183=1),$BA$241,HLOOKUP(INDIRECT(ADDRESS(2,COLUMN())),OFFSET($BN$2,0,0,ROW()-1,60),ROW()-1,FALSE))</f>
        <v>2.2409797239999998</v>
      </c>
      <c r="BB8">
        <f ca="1">IF(AND(ISNUMBER($BB$241),$B$183=1),$BB$241,HLOOKUP(INDIRECT(ADDRESS(2,COLUMN())),OFFSET($BN$2,0,0,ROW()-1,60),ROW()-1,FALSE))</f>
        <v>2.0681945220000002</v>
      </c>
      <c r="BC8">
        <f ca="1">IF(AND(ISNUMBER($BC$241),$B$183=1),$BC$241,HLOOKUP(INDIRECT(ADDRESS(2,COLUMN())),OFFSET($BN$2,0,0,ROW()-1,60),ROW()-1,FALSE))</f>
        <v>2.325042759</v>
      </c>
      <c r="BD8">
        <f ca="1">IF(AND(ISNUMBER($BD$241),$B$183=1),$BD$241,HLOOKUP(INDIRECT(ADDRESS(2,COLUMN())),OFFSET($BN$2,0,0,ROW()-1,60),ROW()-1,FALSE))</f>
        <v>4.9093577530000001</v>
      </c>
      <c r="BE8">
        <f ca="1">IF(AND(ISNUMBER($BE$241),$B$183=1),$BE$241,HLOOKUP(INDIRECT(ADDRESS(2,COLUMN())),OFFSET($BN$2,0,0,ROW()-1,60),ROW()-1,FALSE))</f>
        <v>2.7043158979999999</v>
      </c>
      <c r="BF8">
        <f ca="1">IF(AND(ISNUMBER($BF$241),$B$183=1),$BF$241,HLOOKUP(INDIRECT(ADDRESS(2,COLUMN())),OFFSET($BN$2,0,0,ROW()-1,60),ROW()-1,FALSE))</f>
        <v>4.0274661949999997</v>
      </c>
      <c r="BG8">
        <f ca="1">IF(AND(ISNUMBER($BG$241),$B$183=1),$BG$241,HLOOKUP(INDIRECT(ADDRESS(2,COLUMN())),OFFSET($BN$2,0,0,ROW()-1,60),ROW()-1,FALSE))</f>
        <v>2.762317275</v>
      </c>
      <c r="BH8">
        <f ca="1">IF(AND(ISNUMBER($BH$241),$B$183=1),$BH$241,HLOOKUP(INDIRECT(ADDRESS(2,COLUMN())),OFFSET($BN$2,0,0,ROW()-1,60),ROW()-1,FALSE))</f>
        <v>3.931455814</v>
      </c>
      <c r="BI8">
        <f ca="1">IF(AND(ISNUMBER($BI$241),$B$183=1),$BI$241,HLOOKUP(INDIRECT(ADDRESS(2,COLUMN())),OFFSET($BN$2,0,0,ROW()-1,60),ROW()-1,FALSE))</f>
        <v>2.4355218179999998</v>
      </c>
      <c r="BJ8">
        <f ca="1">IF(AND(ISNUMBER($BJ$241),$B$183=1),$BJ$241,HLOOKUP(INDIRECT(ADDRESS(2,COLUMN())),OFFSET($BN$2,0,0,ROW()-1,60),ROW()-1,FALSE))</f>
        <v>1.0862043100000001</v>
      </c>
      <c r="BK8">
        <f ca="1">IF(AND(ISNUMBER($BK$241),$B$183=1),$BK$241,HLOOKUP(INDIRECT(ADDRESS(2,COLUMN())),OFFSET($BN$2,0,0,ROW()-1,60),ROW()-1,FALSE))</f>
        <v>0.76519733300000004</v>
      </c>
      <c r="BL8">
        <f ca="1">IF(AND(ISNUMBER($BL$241),$B$183=1),$BL$241,HLOOKUP(INDIRECT(ADDRESS(2,COLUMN())),OFFSET($BN$2,0,0,ROW()-1,60),ROW()-1,FALSE))</f>
        <v>-1.5904553109999999</v>
      </c>
      <c r="BM8">
        <f ca="1">IF(AND(ISNUMBER($BM$241),$B$183=1),$BM$241,HLOOKUP(INDIRECT(ADDRESS(2,COLUMN())),OFFSET($BN$2,0,0,ROW()-1,60),ROW()-1,FALSE))</f>
        <v>-0.89093292499999999</v>
      </c>
      <c r="BN8">
        <f>1.949559041</f>
        <v>1.9495590410000001</v>
      </c>
      <c r="BO8">
        <f>2.170327104</f>
        <v>2.1703271040000001</v>
      </c>
      <c r="BP8">
        <f>1.312441122</f>
        <v>1.3124411220000001</v>
      </c>
      <c r="BQ8">
        <f>2.272592331</f>
        <v>2.2725923309999998</v>
      </c>
      <c r="BR8">
        <f>2.510907547</f>
        <v>2.510907547</v>
      </c>
      <c r="BS8">
        <f>2.720561414</f>
        <v>2.7205614140000001</v>
      </c>
      <c r="BT8">
        <f>3.318634139</f>
        <v>3.3186341389999998</v>
      </c>
      <c r="BU8">
        <f>3.060934592</f>
        <v>3.0609345920000002</v>
      </c>
      <c r="BV8">
        <f>3.056438445</f>
        <v>3.0564384449999999</v>
      </c>
      <c r="BW8">
        <f>3.051897315</f>
        <v>3.0518973150000002</v>
      </c>
      <c r="BX8">
        <f>3.310111306</f>
        <v>3.310111306</v>
      </c>
      <c r="BY8">
        <f>3.243395923</f>
        <v>3.243395923</v>
      </c>
      <c r="BZ8">
        <f>3.237950685</f>
        <v>3.2379506849999999</v>
      </c>
      <c r="CA8">
        <f>3.181234889</f>
        <v>3.1812348890000002</v>
      </c>
      <c r="CB8">
        <f>3.312126698</f>
        <v>3.3121266980000001</v>
      </c>
      <c r="CC8">
        <f>2.958667238</f>
        <v>2.9586672379999999</v>
      </c>
      <c r="CD8">
        <f>3.471678107</f>
        <v>3.4716781069999998</v>
      </c>
      <c r="CE8">
        <f>3.414611629</f>
        <v>3.4146116289999999</v>
      </c>
      <c r="CF8">
        <f>3.625022068</f>
        <v>3.6250220679999998</v>
      </c>
      <c r="CG8">
        <f>3.48885049</f>
        <v>3.4888504899999999</v>
      </c>
      <c r="CH8">
        <f>3.219873281</f>
        <v>3.2198732809999999</v>
      </c>
      <c r="CI8">
        <f>3.040040256</f>
        <v>3.0400402560000002</v>
      </c>
      <c r="CJ8">
        <f>2.872951796</f>
        <v>2.8729517960000002</v>
      </c>
      <c r="CK8">
        <f>2.884757514</f>
        <v>2.8847575139999999</v>
      </c>
      <c r="CL8">
        <f>2.080709561</f>
        <v>2.0807095609999999</v>
      </c>
      <c r="CM8">
        <f>2.422346974</f>
        <v>2.4223469739999999</v>
      </c>
      <c r="CN8">
        <f>2.21970137</f>
        <v>2.2197013700000001</v>
      </c>
      <c r="CO8">
        <f>1.206764436</f>
        <v>1.2067644360000001</v>
      </c>
      <c r="CP8">
        <f>1.51388336</f>
        <v>1.5138833599999999</v>
      </c>
      <c r="CQ8">
        <f>-0.033555748</f>
        <v>-3.3555748000000003E-2</v>
      </c>
      <c r="CR8">
        <f>0.77072688</f>
        <v>0.77072688</v>
      </c>
      <c r="CS8">
        <f>-2.634654157</f>
        <v>-2.6346541569999999</v>
      </c>
      <c r="CT8">
        <f>-3.190921806</f>
        <v>-3.190921806</v>
      </c>
      <c r="CU8">
        <f>-4.176629733</f>
        <v>-4.1766297330000004</v>
      </c>
      <c r="CV8">
        <f>-5.934780829</f>
        <v>-5.9347808290000001</v>
      </c>
      <c r="CW8">
        <f>-2.288985621</f>
        <v>-2.2889856210000001</v>
      </c>
      <c r="CX8">
        <f>-1.876377795</f>
        <v>-1.876377795</v>
      </c>
      <c r="CY8">
        <f>0.496529003</f>
        <v>0.49652900300000002</v>
      </c>
      <c r="CZ8">
        <f>-0.265103867</f>
        <v>-0.26510386699999999</v>
      </c>
      <c r="DA8">
        <f>1.504498818</f>
        <v>1.5044988180000001</v>
      </c>
      <c r="DB8">
        <f>2.948937063</f>
        <v>2.9489370629999998</v>
      </c>
      <c r="DC8">
        <f>1.992868021</f>
        <v>1.992868021</v>
      </c>
      <c r="DD8">
        <f>1.849386004</f>
        <v>1.8493860040000001</v>
      </c>
      <c r="DE8">
        <f>2.39935873</f>
        <v>2.3993587299999999</v>
      </c>
      <c r="DF8">
        <f>2.071258722</f>
        <v>2.0712587220000001</v>
      </c>
      <c r="DG8">
        <f>3.461351823</f>
        <v>3.4613518230000002</v>
      </c>
      <c r="DH8">
        <f>1.453091477</f>
        <v>1.4530914770000001</v>
      </c>
      <c r="DI8">
        <f>2.240979724</f>
        <v>2.2409797239999998</v>
      </c>
      <c r="DJ8">
        <f>2.068194522</f>
        <v>2.0681945220000002</v>
      </c>
      <c r="DK8">
        <f>2.325042759</f>
        <v>2.325042759</v>
      </c>
      <c r="DL8">
        <f>4.909357753</f>
        <v>4.9093577530000001</v>
      </c>
      <c r="DM8">
        <f>2.704315898</f>
        <v>2.7043158979999999</v>
      </c>
      <c r="DN8">
        <f>4.027466195</f>
        <v>4.0274661949999997</v>
      </c>
      <c r="DO8">
        <f>2.762317275</f>
        <v>2.762317275</v>
      </c>
      <c r="DP8">
        <f>3.931455814</f>
        <v>3.931455814</v>
      </c>
      <c r="DQ8">
        <f>2.435521818</f>
        <v>2.4355218179999998</v>
      </c>
      <c r="DR8">
        <f>1.08620431</f>
        <v>1.0862043100000001</v>
      </c>
      <c r="DS8">
        <f>0.765197333</f>
        <v>0.76519733300000004</v>
      </c>
      <c r="DT8">
        <f>-1.590455311</f>
        <v>-1.5904553109999999</v>
      </c>
      <c r="DU8">
        <f>-0.890932925</f>
        <v>-0.89093292499999999</v>
      </c>
    </row>
    <row r="9" spans="1:125">
      <c r="A9" t="str">
        <f>"    Regional Mall REITs"</f>
        <v xml:space="preserve">    Regional Mall REITs</v>
      </c>
      <c r="B9" t="str">
        <f>"RECFSSRM Index"</f>
        <v>RECFSSRM Index</v>
      </c>
      <c r="C9" t="str">
        <f t="shared" si="0"/>
        <v>PR005</v>
      </c>
      <c r="D9" t="str">
        <f t="shared" si="1"/>
        <v>PX_LAST</v>
      </c>
      <c r="E9" t="str">
        <f t="shared" si="2"/>
        <v>动态</v>
      </c>
      <c r="F9">
        <f ca="1">IF(AND(ISNUMBER($F$242),$B$183=1),$F$242,HLOOKUP(INDIRECT(ADDRESS(2,COLUMN())),OFFSET($BN$2,0,0,ROW()-1,60),ROW()-1,FALSE))</f>
        <v>1.2072308940000001</v>
      </c>
      <c r="G9">
        <f ca="1">IF(AND(ISNUMBER($G$242),$B$183=1),$G$242,HLOOKUP(INDIRECT(ADDRESS(2,COLUMN())),OFFSET($BN$2,0,0,ROW()-1,60),ROW()-1,FALSE))</f>
        <v>1.543248188</v>
      </c>
      <c r="H9">
        <f ca="1">IF(AND(ISNUMBER($H$242),$B$183=1),$H$242,HLOOKUP(INDIRECT(ADDRESS(2,COLUMN())),OFFSET($BN$2,0,0,ROW()-1,60),ROW()-1,FALSE))</f>
        <v>2.8134186579999998</v>
      </c>
      <c r="I9">
        <f ca="1">IF(AND(ISNUMBER($I$242),$B$183=1),$I$242,HLOOKUP(INDIRECT(ADDRESS(2,COLUMN())),OFFSET($BN$2,0,0,ROW()-1,60),ROW()-1,FALSE))</f>
        <v>2.7453567300000001</v>
      </c>
      <c r="J9">
        <f ca="1">IF(AND(ISNUMBER($J$242),$B$183=1),$J$242,HLOOKUP(INDIRECT(ADDRESS(2,COLUMN())),OFFSET($BN$2,0,0,ROW()-1,60),ROW()-1,FALSE))</f>
        <v>3.3113052280000002</v>
      </c>
      <c r="K9">
        <f ca="1">IF(AND(ISNUMBER($K$242),$B$183=1),$K$242,HLOOKUP(INDIRECT(ADDRESS(2,COLUMN())),OFFSET($BN$2,0,0,ROW()-1,60),ROW()-1,FALSE))</f>
        <v>2.8027791409999998</v>
      </c>
      <c r="L9">
        <f ca="1">IF(AND(ISNUMBER($L$242),$B$183=1),$L$242,HLOOKUP(INDIRECT(ADDRESS(2,COLUMN())),OFFSET($BN$2,0,0,ROW()-1,60),ROW()-1,FALSE))</f>
        <v>3.8351176570000001</v>
      </c>
      <c r="M9">
        <f ca="1">IF(AND(ISNUMBER($M$242),$B$183=1),$M$242,HLOOKUP(INDIRECT(ADDRESS(2,COLUMN())),OFFSET($BN$2,0,0,ROW()-1,60),ROW()-1,FALSE))</f>
        <v>4.9425153469999996</v>
      </c>
      <c r="N9">
        <f ca="1">IF(AND(ISNUMBER($N$242),$B$183=1),$N$242,HLOOKUP(INDIRECT(ADDRESS(2,COLUMN())),OFFSET($BN$2,0,0,ROW()-1,60),ROW()-1,FALSE))</f>
        <v>3.844795848</v>
      </c>
      <c r="O9">
        <f ca="1">IF(AND(ISNUMBER($O$242),$B$183=1),$O$242,HLOOKUP(INDIRECT(ADDRESS(2,COLUMN())),OFFSET($BN$2,0,0,ROW()-1,60),ROW()-1,FALSE))</f>
        <v>4.104652196</v>
      </c>
      <c r="P9">
        <f ca="1">IF(AND(ISNUMBER($P$242),$B$183=1),$P$242,HLOOKUP(INDIRECT(ADDRESS(2,COLUMN())),OFFSET($BN$2,0,0,ROW()-1,60),ROW()-1,FALSE))</f>
        <v>3.1642235990000001</v>
      </c>
      <c r="Q9">
        <f ca="1">IF(AND(ISNUMBER($Q$242),$B$183=1),$Q$242,HLOOKUP(INDIRECT(ADDRESS(2,COLUMN())),OFFSET($BN$2,0,0,ROW()-1,60),ROW()-1,FALSE))</f>
        <v>3.3824384850000002</v>
      </c>
      <c r="R9">
        <f ca="1">IF(AND(ISNUMBER($R$242),$B$183=1),$R$242,HLOOKUP(INDIRECT(ADDRESS(2,COLUMN())),OFFSET($BN$2,0,0,ROW()-1,60),ROW()-1,FALSE))</f>
        <v>3.62612282</v>
      </c>
      <c r="S9">
        <f ca="1">IF(AND(ISNUMBER($S$242),$B$183=1),$S$242,HLOOKUP(INDIRECT(ADDRESS(2,COLUMN())),OFFSET($BN$2,0,0,ROW()-1,60),ROW()-1,FALSE))</f>
        <v>4.7654180879999997</v>
      </c>
      <c r="T9">
        <f ca="1">IF(AND(ISNUMBER($T$242),$B$183=1),$T$242,HLOOKUP(INDIRECT(ADDRESS(2,COLUMN())),OFFSET($BN$2,0,0,ROW()-1,60),ROW()-1,FALSE))</f>
        <v>4.7941311840000003</v>
      </c>
      <c r="U9">
        <f ca="1">IF(AND(ISNUMBER($U$242),$B$183=1),$U$242,HLOOKUP(INDIRECT(ADDRESS(2,COLUMN())),OFFSET($BN$2,0,0,ROW()-1,60),ROW()-1,FALSE))</f>
        <v>3.4793715789999999</v>
      </c>
      <c r="V9">
        <f ca="1">IF(AND(ISNUMBER($V$242),$B$183=1),$V$242,HLOOKUP(INDIRECT(ADDRESS(2,COLUMN())),OFFSET($BN$2,0,0,ROW()-1,60),ROW()-1,FALSE))</f>
        <v>4.7393429549999997</v>
      </c>
      <c r="W9">
        <f ca="1">IF(AND(ISNUMBER($W$242),$B$183=1),$W$242,HLOOKUP(INDIRECT(ADDRESS(2,COLUMN())),OFFSET($BN$2,0,0,ROW()-1,60),ROW()-1,FALSE))</f>
        <v>4.5760282539999997</v>
      </c>
      <c r="X9">
        <f ca="1">IF(AND(ISNUMBER($X$242),$B$183=1),$X$242,HLOOKUP(INDIRECT(ADDRESS(2,COLUMN())),OFFSET($BN$2,0,0,ROW()-1,60),ROW()-1,FALSE))</f>
        <v>5.2462519070000004</v>
      </c>
      <c r="Y9">
        <f ca="1">IF(AND(ISNUMBER($Y$242),$B$183=1),$Y$242,HLOOKUP(INDIRECT(ADDRESS(2,COLUMN())),OFFSET($BN$2,0,0,ROW()-1,60),ROW()-1,FALSE))</f>
        <v>4.3845928199999999</v>
      </c>
      <c r="Z9">
        <f ca="1">IF(AND(ISNUMBER($Z$242),$B$183=1),$Z$242,HLOOKUP(INDIRECT(ADDRESS(2,COLUMN())),OFFSET($BN$2,0,0,ROW()-1,60),ROW()-1,FALSE))</f>
        <v>3.5708367640000001</v>
      </c>
      <c r="AA9">
        <f ca="1">IF(AND(ISNUMBER($AA$242),$B$183=1),$AA$242,HLOOKUP(INDIRECT(ADDRESS(2,COLUMN())),OFFSET($BN$2,0,0,ROW()-1,60),ROW()-1,FALSE))</f>
        <v>3.6638085130000002</v>
      </c>
      <c r="AB9">
        <f ca="1">IF(AND(ISNUMBER($AB$242),$B$183=1),$AB$242,HLOOKUP(INDIRECT(ADDRESS(2,COLUMN())),OFFSET($BN$2,0,0,ROW()-1,60),ROW()-1,FALSE))</f>
        <v>4.6866684650000003</v>
      </c>
      <c r="AC9">
        <f ca="1">IF(AND(ISNUMBER($AC$242),$B$183=1),$AC$242,HLOOKUP(INDIRECT(ADDRESS(2,COLUMN())),OFFSET($BN$2,0,0,ROW()-1,60),ROW()-1,FALSE))</f>
        <v>4.7619958660000004</v>
      </c>
      <c r="AD9">
        <f ca="1">IF(AND(ISNUMBER($AD$242),$B$183=1),$AD$242,HLOOKUP(INDIRECT(ADDRESS(2,COLUMN())),OFFSET($BN$2,0,0,ROW()-1,60),ROW()-1,FALSE))</f>
        <v>2.5103934479999999</v>
      </c>
      <c r="AE9">
        <f ca="1">IF(AND(ISNUMBER($AE$242),$B$183=1),$AE$242,HLOOKUP(INDIRECT(ADDRESS(2,COLUMN())),OFFSET($BN$2,0,0,ROW()-1,60),ROW()-1,FALSE))</f>
        <v>3.9195434210000002</v>
      </c>
      <c r="AF9">
        <f ca="1">IF(AND(ISNUMBER($AF$242),$B$183=1),$AF$242,HLOOKUP(INDIRECT(ADDRESS(2,COLUMN())),OFFSET($BN$2,0,0,ROW()-1,60),ROW()-1,FALSE))</f>
        <v>2.8017773109999999</v>
      </c>
      <c r="AG9">
        <f ca="1">IF(AND(ISNUMBER($AG$242),$B$183=1),$AG$242,HLOOKUP(INDIRECT(ADDRESS(2,COLUMN())),OFFSET($BN$2,0,0,ROW()-1,60),ROW()-1,FALSE))</f>
        <v>1.7765812080000001</v>
      </c>
      <c r="AH9">
        <f ca="1">IF(AND(ISNUMBER($AH$242),$B$183=1),$AH$242,HLOOKUP(INDIRECT(ADDRESS(2,COLUMN())),OFFSET($BN$2,0,0,ROW()-1,60),ROW()-1,FALSE))</f>
        <v>3.388621025</v>
      </c>
      <c r="AI9">
        <f ca="1">IF(AND(ISNUMBER($AI$242),$B$183=1),$AI$242,HLOOKUP(INDIRECT(ADDRESS(2,COLUMN())),OFFSET($BN$2,0,0,ROW()-1,60),ROW()-1,FALSE))</f>
        <v>1.6486670960000001</v>
      </c>
      <c r="AJ9">
        <f ca="1">IF(AND(ISNUMBER($AJ$242),$B$183=1),$AJ$242,HLOOKUP(INDIRECT(ADDRESS(2,COLUMN())),OFFSET($BN$2,0,0,ROW()-1,60),ROW()-1,FALSE))</f>
        <v>0.482823157</v>
      </c>
      <c r="AK9">
        <f ca="1">IF(AND(ISNUMBER($AK$242),$B$183=1),$AK$242,HLOOKUP(INDIRECT(ADDRESS(2,COLUMN())),OFFSET($BN$2,0,0,ROW()-1,60),ROW()-1,FALSE))</f>
        <v>1.1974967430000001</v>
      </c>
      <c r="AL9">
        <f ca="1">IF(AND(ISNUMBER($AL$242),$B$183=1),$AL$242,HLOOKUP(INDIRECT(ADDRESS(2,COLUMN())),OFFSET($BN$2,0,0,ROW()-1,60),ROW()-1,FALSE))</f>
        <v>-6.5953293999999996E-2</v>
      </c>
      <c r="AM9">
        <f ca="1">IF(AND(ISNUMBER($AM$242),$B$183=1),$AM$242,HLOOKUP(INDIRECT(ADDRESS(2,COLUMN())),OFFSET($BN$2,0,0,ROW()-1,60),ROW()-1,FALSE))</f>
        <v>-0.64067577600000003</v>
      </c>
      <c r="AN9">
        <f ca="1">IF(AND(ISNUMBER($AN$242),$B$183=1),$AN$242,HLOOKUP(INDIRECT(ADDRESS(2,COLUMN())),OFFSET($BN$2,0,0,ROW()-1,60),ROW()-1,FALSE))</f>
        <v>8.4155125999999997E-2</v>
      </c>
      <c r="AO9">
        <f ca="1">IF(AND(ISNUMBER($AO$242),$B$183=1),$AO$242,HLOOKUP(INDIRECT(ADDRESS(2,COLUMN())),OFFSET($BN$2,0,0,ROW()-1,60),ROW()-1,FALSE))</f>
        <v>1.5541768359999999</v>
      </c>
      <c r="AP9">
        <f ca="1">IF(AND(ISNUMBER($AP$242),$B$183=1),$AP$242,HLOOKUP(INDIRECT(ADDRESS(2,COLUMN())),OFFSET($BN$2,0,0,ROW()-1,60),ROW()-1,FALSE))</f>
        <v>1.495913965</v>
      </c>
      <c r="AQ9">
        <f ca="1">IF(AND(ISNUMBER($AQ$242),$B$183=1),$AQ$242,HLOOKUP(INDIRECT(ADDRESS(2,COLUMN())),OFFSET($BN$2,0,0,ROW()-1,60),ROW()-1,FALSE))</f>
        <v>1.2523418449999999</v>
      </c>
      <c r="AR9">
        <f ca="1">IF(AND(ISNUMBER($AR$242),$B$183=1),$AR$242,HLOOKUP(INDIRECT(ADDRESS(2,COLUMN())),OFFSET($BN$2,0,0,ROW()-1,60),ROW()-1,FALSE))</f>
        <v>3.54350779</v>
      </c>
      <c r="AS9">
        <f ca="1">IF(AND(ISNUMBER($AS$242),$B$183=1),$AS$242,HLOOKUP(INDIRECT(ADDRESS(2,COLUMN())),OFFSET($BN$2,0,0,ROW()-1,60),ROW()-1,FALSE))</f>
        <v>3.5082538630000002</v>
      </c>
      <c r="AT9">
        <f ca="1">IF(AND(ISNUMBER($AT$242),$B$183=1),$AT$242,HLOOKUP(INDIRECT(ADDRESS(2,COLUMN())),OFFSET($BN$2,0,0,ROW()-1,60),ROW()-1,FALSE))</f>
        <v>5.0686259119999999</v>
      </c>
      <c r="AU9">
        <f ca="1">IF(AND(ISNUMBER($AU$242),$B$183=1),$AU$242,HLOOKUP(INDIRECT(ADDRESS(2,COLUMN())),OFFSET($BN$2,0,0,ROW()-1,60),ROW()-1,FALSE))</f>
        <v>5.1347166</v>
      </c>
      <c r="AV9">
        <f ca="1">IF(AND(ISNUMBER($AV$242),$B$183=1),$AV$242,HLOOKUP(INDIRECT(ADDRESS(2,COLUMN())),OFFSET($BN$2,0,0,ROW()-1,60),ROW()-1,FALSE))</f>
        <v>3.3370209669999999</v>
      </c>
      <c r="AW9">
        <f ca="1">IF(AND(ISNUMBER($AW$242),$B$183=1),$AW$242,HLOOKUP(INDIRECT(ADDRESS(2,COLUMN())),OFFSET($BN$2,0,0,ROW()-1,60),ROW()-1,FALSE))</f>
        <v>1.6423867480000001</v>
      </c>
      <c r="AX9">
        <f ca="1">IF(AND(ISNUMBER($AX$242),$B$183=1),$AX$242,HLOOKUP(INDIRECT(ADDRESS(2,COLUMN())),OFFSET($BN$2,0,0,ROW()-1,60),ROW()-1,FALSE))</f>
        <v>5.6945319149999998</v>
      </c>
      <c r="AY9">
        <f ca="1">IF(AND(ISNUMBER($AY$242),$B$183=1),$AY$242,HLOOKUP(INDIRECT(ADDRESS(2,COLUMN())),OFFSET($BN$2,0,0,ROW()-1,60),ROW()-1,FALSE))</f>
        <v>3.1585006849999999</v>
      </c>
      <c r="AZ9">
        <f ca="1">IF(AND(ISNUMBER($AZ$242),$B$183=1),$AZ$242,HLOOKUP(INDIRECT(ADDRESS(2,COLUMN())),OFFSET($BN$2,0,0,ROW()-1,60),ROW()-1,FALSE))</f>
        <v>4.4947760179999996</v>
      </c>
      <c r="BA9">
        <f ca="1">IF(AND(ISNUMBER($BA$242),$B$183=1),$BA$242,HLOOKUP(INDIRECT(ADDRESS(2,COLUMN())),OFFSET($BN$2,0,0,ROW()-1,60),ROW()-1,FALSE))</f>
        <v>6.6227436739999996</v>
      </c>
      <c r="BB9">
        <f ca="1">IF(AND(ISNUMBER($BB$242),$B$183=1),$BB$242,HLOOKUP(INDIRECT(ADDRESS(2,COLUMN())),OFFSET($BN$2,0,0,ROW()-1,60),ROW()-1,FALSE))</f>
        <v>3.7445863309999998</v>
      </c>
      <c r="BC9">
        <f ca="1">IF(AND(ISNUMBER($BC$242),$B$183=1),$BC$242,HLOOKUP(INDIRECT(ADDRESS(2,COLUMN())),OFFSET($BN$2,0,0,ROW()-1,60),ROW()-1,FALSE))</f>
        <v>4.1259540499999998</v>
      </c>
      <c r="BD9">
        <f ca="1">IF(AND(ISNUMBER($BD$242),$B$183=1),$BD$242,HLOOKUP(INDIRECT(ADDRESS(2,COLUMN())),OFFSET($BN$2,0,0,ROW()-1,60),ROW()-1,FALSE))</f>
        <v>3.8970323969999998</v>
      </c>
      <c r="BE9">
        <f ca="1">IF(AND(ISNUMBER($BE$242),$B$183=1),$BE$242,HLOOKUP(INDIRECT(ADDRESS(2,COLUMN())),OFFSET($BN$2,0,0,ROW()-1,60),ROW()-1,FALSE))</f>
        <v>4.1273807690000002</v>
      </c>
      <c r="BF9">
        <f ca="1">IF(AND(ISNUMBER($BF$242),$B$183=1),$BF$242,HLOOKUP(INDIRECT(ADDRESS(2,COLUMN())),OFFSET($BN$2,0,0,ROW()-1,60),ROW()-1,FALSE))</f>
        <v>3.2761610289999998</v>
      </c>
      <c r="BG9">
        <f ca="1">IF(AND(ISNUMBER($BG$242),$B$183=1),$BG$242,HLOOKUP(INDIRECT(ADDRESS(2,COLUMN())),OFFSET($BN$2,0,0,ROW()-1,60),ROW()-1,FALSE))</f>
        <v>2.8107640439999999</v>
      </c>
      <c r="BH9">
        <f ca="1">IF(AND(ISNUMBER($BH$242),$B$183=1),$BH$242,HLOOKUP(INDIRECT(ADDRESS(2,COLUMN())),OFFSET($BN$2,0,0,ROW()-1,60),ROW()-1,FALSE))</f>
        <v>1.816830274</v>
      </c>
      <c r="BI9">
        <f ca="1">IF(AND(ISNUMBER($BI$242),$B$183=1),$BI$242,HLOOKUP(INDIRECT(ADDRESS(2,COLUMN())),OFFSET($BN$2,0,0,ROW()-1,60),ROW()-1,FALSE))</f>
        <v>2.1465799329999999</v>
      </c>
      <c r="BJ9">
        <f ca="1">IF(AND(ISNUMBER($BJ$242),$B$183=1),$BJ$242,HLOOKUP(INDIRECT(ADDRESS(2,COLUMN())),OFFSET($BN$2,0,0,ROW()-1,60),ROW()-1,FALSE))</f>
        <v>2.2547236659999998</v>
      </c>
      <c r="BK9">
        <f ca="1">IF(AND(ISNUMBER($BK$242),$B$183=1),$BK$242,HLOOKUP(INDIRECT(ADDRESS(2,COLUMN())),OFFSET($BN$2,0,0,ROW()-1,60),ROW()-1,FALSE))</f>
        <v>2.046926263</v>
      </c>
      <c r="BL9">
        <f ca="1">IF(AND(ISNUMBER($BL$242),$B$183=1),$BL$242,HLOOKUP(INDIRECT(ADDRESS(2,COLUMN())),OFFSET($BN$2,0,0,ROW()-1,60),ROW()-1,FALSE))</f>
        <v>4.4981132529999996</v>
      </c>
      <c r="BM9">
        <f ca="1">IF(AND(ISNUMBER($BM$242),$B$183=1),$BM$242,HLOOKUP(INDIRECT(ADDRESS(2,COLUMN())),OFFSET($BN$2,0,0,ROW()-1,60),ROW()-1,FALSE))</f>
        <v>3.3068008390000001</v>
      </c>
      <c r="BN9">
        <f>1.207230894</f>
        <v>1.2072308940000001</v>
      </c>
      <c r="BO9">
        <f>1.543248188</f>
        <v>1.543248188</v>
      </c>
      <c r="BP9">
        <f>2.813418658</f>
        <v>2.8134186579999998</v>
      </c>
      <c r="BQ9">
        <f>2.74535673</f>
        <v>2.7453567300000001</v>
      </c>
      <c r="BR9">
        <f>3.311305228</f>
        <v>3.3113052280000002</v>
      </c>
      <c r="BS9">
        <f>2.802779141</f>
        <v>2.8027791409999998</v>
      </c>
      <c r="BT9">
        <f>3.835117657</f>
        <v>3.8351176570000001</v>
      </c>
      <c r="BU9">
        <f>4.942515347</f>
        <v>4.9425153469999996</v>
      </c>
      <c r="BV9">
        <f>3.844795848</f>
        <v>3.844795848</v>
      </c>
      <c r="BW9">
        <f>4.104652196</f>
        <v>4.104652196</v>
      </c>
      <c r="BX9">
        <f>3.164223599</f>
        <v>3.1642235990000001</v>
      </c>
      <c r="BY9">
        <f>3.382438485</f>
        <v>3.3824384850000002</v>
      </c>
      <c r="BZ9">
        <f>3.62612282</f>
        <v>3.62612282</v>
      </c>
      <c r="CA9">
        <f>4.765418088</f>
        <v>4.7654180879999997</v>
      </c>
      <c r="CB9">
        <f>4.794131184</f>
        <v>4.7941311840000003</v>
      </c>
      <c r="CC9">
        <f>3.479371579</f>
        <v>3.4793715789999999</v>
      </c>
      <c r="CD9">
        <f>4.739342955</f>
        <v>4.7393429549999997</v>
      </c>
      <c r="CE9">
        <f>4.576028254</f>
        <v>4.5760282539999997</v>
      </c>
      <c r="CF9">
        <f>5.246251907</f>
        <v>5.2462519070000004</v>
      </c>
      <c r="CG9">
        <f>4.38459282</f>
        <v>4.3845928199999999</v>
      </c>
      <c r="CH9">
        <f>3.570836764</f>
        <v>3.5708367640000001</v>
      </c>
      <c r="CI9">
        <f>3.663808513</f>
        <v>3.6638085130000002</v>
      </c>
      <c r="CJ9">
        <f>4.686668465</f>
        <v>4.6866684650000003</v>
      </c>
      <c r="CK9">
        <f>4.761995866</f>
        <v>4.7619958660000004</v>
      </c>
      <c r="CL9">
        <f>2.510393448</f>
        <v>2.5103934479999999</v>
      </c>
      <c r="CM9">
        <f>3.919543421</f>
        <v>3.9195434210000002</v>
      </c>
      <c r="CN9">
        <f>2.801777311</f>
        <v>2.8017773109999999</v>
      </c>
      <c r="CO9">
        <f>1.776581208</f>
        <v>1.7765812080000001</v>
      </c>
      <c r="CP9">
        <f>3.388621025</f>
        <v>3.388621025</v>
      </c>
      <c r="CQ9">
        <f>1.648667096</f>
        <v>1.6486670960000001</v>
      </c>
      <c r="CR9">
        <f>0.482823157</f>
        <v>0.482823157</v>
      </c>
      <c r="CS9">
        <f>1.197496743</f>
        <v>1.1974967430000001</v>
      </c>
      <c r="CT9">
        <f>-0.065953294</f>
        <v>-6.5953293999999996E-2</v>
      </c>
      <c r="CU9">
        <f>-0.640675776</f>
        <v>-0.64067577600000003</v>
      </c>
      <c r="CV9">
        <f>0.084155126</f>
        <v>8.4155125999999997E-2</v>
      </c>
      <c r="CW9">
        <f>1.554176836</f>
        <v>1.5541768359999999</v>
      </c>
      <c r="CX9">
        <f>1.495913965</f>
        <v>1.495913965</v>
      </c>
      <c r="CY9">
        <f>1.252341845</f>
        <v>1.2523418449999999</v>
      </c>
      <c r="CZ9">
        <f>3.54350779</f>
        <v>3.54350779</v>
      </c>
      <c r="DA9">
        <f>3.508253863</f>
        <v>3.5082538630000002</v>
      </c>
      <c r="DB9">
        <f>5.068625912</f>
        <v>5.0686259119999999</v>
      </c>
      <c r="DC9">
        <f>5.1347166</f>
        <v>5.1347166</v>
      </c>
      <c r="DD9">
        <f>3.337020967</f>
        <v>3.3370209669999999</v>
      </c>
      <c r="DE9">
        <f>1.642386748</f>
        <v>1.6423867480000001</v>
      </c>
      <c r="DF9">
        <f>5.694531915</f>
        <v>5.6945319149999998</v>
      </c>
      <c r="DG9">
        <f>3.158500685</f>
        <v>3.1585006849999999</v>
      </c>
      <c r="DH9">
        <f>4.494776018</f>
        <v>4.4947760179999996</v>
      </c>
      <c r="DI9">
        <f>6.622743674</f>
        <v>6.6227436739999996</v>
      </c>
      <c r="DJ9">
        <f>3.744586331</f>
        <v>3.7445863309999998</v>
      </c>
      <c r="DK9">
        <f>4.12595405</f>
        <v>4.1259540499999998</v>
      </c>
      <c r="DL9">
        <f>3.897032397</f>
        <v>3.8970323969999998</v>
      </c>
      <c r="DM9">
        <f>4.127380769</f>
        <v>4.1273807690000002</v>
      </c>
      <c r="DN9">
        <f>3.276161029</f>
        <v>3.2761610289999998</v>
      </c>
      <c r="DO9">
        <f>2.810764044</f>
        <v>2.8107640439999999</v>
      </c>
      <c r="DP9">
        <f>1.816830274</f>
        <v>1.816830274</v>
      </c>
      <c r="DQ9">
        <f>2.146579933</f>
        <v>2.1465799329999999</v>
      </c>
      <c r="DR9">
        <f>2.254723666</f>
        <v>2.2547236659999998</v>
      </c>
      <c r="DS9">
        <f>2.046926263</f>
        <v>2.046926263</v>
      </c>
      <c r="DT9">
        <f>4.498113253</f>
        <v>4.4981132529999996</v>
      </c>
      <c r="DU9">
        <f>3.306800839</f>
        <v>3.3068008390000001</v>
      </c>
    </row>
    <row r="10" spans="1:125">
      <c r="A10" t="str">
        <f>"    Residential REITs"</f>
        <v xml:space="preserve">    Residential REITs</v>
      </c>
      <c r="B10" t="str">
        <f>"RECFSSRS Index"</f>
        <v>RECFSSRS Index</v>
      </c>
      <c r="C10" t="str">
        <f t="shared" si="0"/>
        <v>PR005</v>
      </c>
      <c r="D10" t="str">
        <f t="shared" si="1"/>
        <v>PX_LAST</v>
      </c>
      <c r="E10" t="str">
        <f t="shared" si="2"/>
        <v>动态</v>
      </c>
      <c r="F10">
        <f ca="1">IF(AND(ISNUMBER($F$243),$B$183=1),$F$243,HLOOKUP(INDIRECT(ADDRESS(2,COLUMN())),OFFSET($BN$2,0,0,ROW()-1,60),ROW()-1,FALSE))</f>
        <v>3.3462044870000001</v>
      </c>
      <c r="G10">
        <f ca="1">IF(AND(ISNUMBER($G$243),$B$183=1),$G$243,HLOOKUP(INDIRECT(ADDRESS(2,COLUMN())),OFFSET($BN$2,0,0,ROW()-1,60),ROW()-1,FALSE))</f>
        <v>3.5645333849999998</v>
      </c>
      <c r="H10">
        <f ca="1">IF(AND(ISNUMBER($H$243),$B$183=1),$H$243,HLOOKUP(INDIRECT(ADDRESS(2,COLUMN())),OFFSET($BN$2,0,0,ROW()-1,60),ROW()-1,FALSE))</f>
        <v>3.71620003</v>
      </c>
      <c r="I10">
        <f ca="1">IF(AND(ISNUMBER($I$243),$B$183=1),$I$243,HLOOKUP(INDIRECT(ADDRESS(2,COLUMN())),OFFSET($BN$2,0,0,ROW()-1,60),ROW()-1,FALSE))</f>
        <v>4.1112273540000004</v>
      </c>
      <c r="J10">
        <f ca="1">IF(AND(ISNUMBER($J$243),$B$183=1),$J$243,HLOOKUP(INDIRECT(ADDRESS(2,COLUMN())),OFFSET($BN$2,0,0,ROW()-1,60),ROW()-1,FALSE))</f>
        <v>4.9319453360000001</v>
      </c>
      <c r="K10">
        <f ca="1">IF(AND(ISNUMBER($K$243),$B$183=1),$K$243,HLOOKUP(INDIRECT(ADDRESS(2,COLUMN())),OFFSET($BN$2,0,0,ROW()-1,60),ROW()-1,FALSE))</f>
        <v>5.1163226990000004</v>
      </c>
      <c r="L10">
        <f ca="1">IF(AND(ISNUMBER($L$243),$B$183=1),$L$243,HLOOKUP(INDIRECT(ADDRESS(2,COLUMN())),OFFSET($BN$2,0,0,ROW()-1,60),ROW()-1,FALSE))</f>
        <v>5.6397030319999999</v>
      </c>
      <c r="M10">
        <f ca="1">IF(AND(ISNUMBER($M$243),$B$183=1),$M$243,HLOOKUP(INDIRECT(ADDRESS(2,COLUMN())),OFFSET($BN$2,0,0,ROW()-1,60),ROW()-1,FALSE))</f>
        <v>6.954329607</v>
      </c>
      <c r="N10">
        <f ca="1">IF(AND(ISNUMBER($N$243),$B$183=1),$N$243,HLOOKUP(INDIRECT(ADDRESS(2,COLUMN())),OFFSET($BN$2,0,0,ROW()-1,60),ROW()-1,FALSE))</f>
        <v>6.8374679739999999</v>
      </c>
      <c r="O10">
        <f ca="1">IF(AND(ISNUMBER($O$243),$B$183=1),$O$243,HLOOKUP(INDIRECT(ADDRESS(2,COLUMN())),OFFSET($BN$2,0,0,ROW()-1,60),ROW()-1,FALSE))</f>
        <v>6.4519201649999998</v>
      </c>
      <c r="P10">
        <f ca="1">IF(AND(ISNUMBER($P$243),$B$183=1),$P$243,HLOOKUP(INDIRECT(ADDRESS(2,COLUMN())),OFFSET($BN$2,0,0,ROW()-1,60),ROW()-1,FALSE))</f>
        <v>6.2017975950000004</v>
      </c>
      <c r="Q10">
        <f ca="1">IF(AND(ISNUMBER($Q$243),$B$183=1),$Q$243,HLOOKUP(INDIRECT(ADDRESS(2,COLUMN())),OFFSET($BN$2,0,0,ROW()-1,60),ROW()-1,FALSE))</f>
        <v>5.9172860580000002</v>
      </c>
      <c r="R10">
        <f ca="1">IF(AND(ISNUMBER($R$243),$B$183=1),$R$243,HLOOKUP(INDIRECT(ADDRESS(2,COLUMN())),OFFSET($BN$2,0,0,ROW()-1,60),ROW()-1,FALSE))</f>
        <v>5.2718136600000003</v>
      </c>
      <c r="S10">
        <f ca="1">IF(AND(ISNUMBER($S$243),$B$183=1),$S$243,HLOOKUP(INDIRECT(ADDRESS(2,COLUMN())),OFFSET($BN$2,0,0,ROW()-1,60),ROW()-1,FALSE))</f>
        <v>5.2277861559999996</v>
      </c>
      <c r="T10">
        <f ca="1">IF(AND(ISNUMBER($T$243),$B$183=1),$T$243,HLOOKUP(INDIRECT(ADDRESS(2,COLUMN())),OFFSET($BN$2,0,0,ROW()-1,60),ROW()-1,FALSE))</f>
        <v>4.4975832630000001</v>
      </c>
      <c r="U10">
        <f ca="1">IF(AND(ISNUMBER($U$243),$B$183=1),$U$243,HLOOKUP(INDIRECT(ADDRESS(2,COLUMN())),OFFSET($BN$2,0,0,ROW()-1,60),ROW()-1,FALSE))</f>
        <v>3.8404904289999999</v>
      </c>
      <c r="V10">
        <f ca="1">IF(AND(ISNUMBER($V$243),$B$183=1),$V$243,HLOOKUP(INDIRECT(ADDRESS(2,COLUMN())),OFFSET($BN$2,0,0,ROW()-1,60),ROW()-1,FALSE))</f>
        <v>4.3587436909999999</v>
      </c>
      <c r="W10">
        <f ca="1">IF(AND(ISNUMBER($W$243),$B$183=1),$W$243,HLOOKUP(INDIRECT(ADDRESS(2,COLUMN())),OFFSET($BN$2,0,0,ROW()-1,60),ROW()-1,FALSE))</f>
        <v>4.6716554969999997</v>
      </c>
      <c r="X10">
        <f ca="1">IF(AND(ISNUMBER($X$243),$B$183=1),$X$243,HLOOKUP(INDIRECT(ADDRESS(2,COLUMN())),OFFSET($BN$2,0,0,ROW()-1,60),ROW()-1,FALSE))</f>
        <v>5.321588502</v>
      </c>
      <c r="Y10">
        <f ca="1">IF(AND(ISNUMBER($Y$243),$B$183=1),$Y$243,HLOOKUP(INDIRECT(ADDRESS(2,COLUMN())),OFFSET($BN$2,0,0,ROW()-1,60),ROW()-1,FALSE))</f>
        <v>5.446350979</v>
      </c>
      <c r="Z10">
        <f ca="1">IF(AND(ISNUMBER($Z$243),$B$183=1),$Z$243,HLOOKUP(INDIRECT(ADDRESS(2,COLUMN())),OFFSET($BN$2,0,0,ROW()-1,60),ROW()-1,FALSE))</f>
        <v>6.3559575170000002</v>
      </c>
      <c r="AA10">
        <f ca="1">IF(AND(ISNUMBER($AA$243),$B$183=1),$AA$243,HLOOKUP(INDIRECT(ADDRESS(2,COLUMN())),OFFSET($BN$2,0,0,ROW()-1,60),ROW()-1,FALSE))</f>
        <v>7.2269304349999999</v>
      </c>
      <c r="AB10">
        <f ca="1">IF(AND(ISNUMBER($AB$243),$B$183=1),$AB$243,HLOOKUP(INDIRECT(ADDRESS(2,COLUMN())),OFFSET($BN$2,0,0,ROW()-1,60),ROW()-1,FALSE))</f>
        <v>6.9984410920000002</v>
      </c>
      <c r="AC10">
        <f ca="1">IF(AND(ISNUMBER($AC$243),$B$183=1),$AC$243,HLOOKUP(INDIRECT(ADDRESS(2,COLUMN())),OFFSET($BN$2,0,0,ROW()-1,60),ROW()-1,FALSE))</f>
        <v>7.79652776</v>
      </c>
      <c r="AD10">
        <f ca="1">IF(AND(ISNUMBER($AD$243),$B$183=1),$AD$243,HLOOKUP(INDIRECT(ADDRESS(2,COLUMN())),OFFSET($BN$2,0,0,ROW()-1,60),ROW()-1,FALSE))</f>
        <v>7.2653176730000002</v>
      </c>
      <c r="AE10">
        <f ca="1">IF(AND(ISNUMBER($AE$243),$B$183=1),$AE$243,HLOOKUP(INDIRECT(ADDRESS(2,COLUMN())),OFFSET($BN$2,0,0,ROW()-1,60),ROW()-1,FALSE))</f>
        <v>6.7821166750000001</v>
      </c>
      <c r="AF10">
        <f ca="1">IF(AND(ISNUMBER($AF$243),$B$183=1),$AF$243,HLOOKUP(INDIRECT(ADDRESS(2,COLUMN())),OFFSET($BN$2,0,0,ROW()-1,60),ROW()-1,FALSE))</f>
        <v>5.9587678449999997</v>
      </c>
      <c r="AG10">
        <f ca="1">IF(AND(ISNUMBER($AG$243),$B$183=1),$AG$243,HLOOKUP(INDIRECT(ADDRESS(2,COLUMN())),OFFSET($BN$2,0,0,ROW()-1,60),ROW()-1,FALSE))</f>
        <v>5.5835207630000001</v>
      </c>
      <c r="AH10">
        <f ca="1">IF(AND(ISNUMBER($AH$243),$B$183=1),$AH$243,HLOOKUP(INDIRECT(ADDRESS(2,COLUMN())),OFFSET($BN$2,0,0,ROW()-1,60),ROW()-1,FALSE))</f>
        <v>3.4122129399999999</v>
      </c>
      <c r="AI10">
        <f ca="1">IF(AND(ISNUMBER($AI$243),$B$183=1),$AI$243,HLOOKUP(INDIRECT(ADDRESS(2,COLUMN())),OFFSET($BN$2,0,0,ROW()-1,60),ROW()-1,FALSE))</f>
        <v>0.89761842199999997</v>
      </c>
      <c r="AJ10">
        <f ca="1">IF(AND(ISNUMBER($AJ$243),$B$183=1),$AJ$243,HLOOKUP(INDIRECT(ADDRESS(2,COLUMN())),OFFSET($BN$2,0,0,ROW()-1,60),ROW()-1,FALSE))</f>
        <v>-2.3419977489999999</v>
      </c>
      <c r="AK10">
        <f ca="1">IF(AND(ISNUMBER($AK$243),$B$183=1),$AK$243,HLOOKUP(INDIRECT(ADDRESS(2,COLUMN())),OFFSET($BN$2,0,0,ROW()-1,60),ROW()-1,FALSE))</f>
        <v>-5.0405734720000002</v>
      </c>
      <c r="AL10">
        <f ca="1">IF(AND(ISNUMBER($AL$243),$B$183=1),$AL$243,HLOOKUP(INDIRECT(ADDRESS(2,COLUMN())),OFFSET($BN$2,0,0,ROW()-1,60),ROW()-1,FALSE))</f>
        <v>-5.2728332929999997</v>
      </c>
      <c r="AM10">
        <f ca="1">IF(AND(ISNUMBER($AM$243),$B$183=1),$AM$243,HLOOKUP(INDIRECT(ADDRESS(2,COLUMN())),OFFSET($BN$2,0,0,ROW()-1,60),ROW()-1,FALSE))</f>
        <v>-4.3629292550000001</v>
      </c>
      <c r="AN10">
        <f ca="1">IF(AND(ISNUMBER($AN$243),$B$183=1),$AN$243,HLOOKUP(INDIRECT(ADDRESS(2,COLUMN())),OFFSET($BN$2,0,0,ROW()-1,60),ROW()-1,FALSE))</f>
        <v>-2.7178845049999998</v>
      </c>
      <c r="AO10">
        <f ca="1">IF(AND(ISNUMBER($AO$243),$B$183=1),$AO$243,HLOOKUP(INDIRECT(ADDRESS(2,COLUMN())),OFFSET($BN$2,0,0,ROW()-1,60),ROW()-1,FALSE))</f>
        <v>-0.46925983999999998</v>
      </c>
      <c r="AP10">
        <f ca="1">IF(AND(ISNUMBER($AP$243),$B$183=1),$AP$243,HLOOKUP(INDIRECT(ADDRESS(2,COLUMN())),OFFSET($BN$2,0,0,ROW()-1,60),ROW()-1,FALSE))</f>
        <v>1.974989203</v>
      </c>
      <c r="AQ10">
        <f ca="1">IF(AND(ISNUMBER($AQ$243),$B$183=1),$AQ$243,HLOOKUP(INDIRECT(ADDRESS(2,COLUMN())),OFFSET($BN$2,0,0,ROW()-1,60),ROW()-1,FALSE))</f>
        <v>2.631459736</v>
      </c>
      <c r="AR10">
        <f ca="1">IF(AND(ISNUMBER($AR$243),$B$183=1),$AR$243,HLOOKUP(INDIRECT(ADDRESS(2,COLUMN())),OFFSET($BN$2,0,0,ROW()-1,60),ROW()-1,FALSE))</f>
        <v>4.2600575809999999</v>
      </c>
      <c r="AS10">
        <f ca="1">IF(AND(ISNUMBER($AS$243),$B$183=1),$AS$243,HLOOKUP(INDIRECT(ADDRESS(2,COLUMN())),OFFSET($BN$2,0,0,ROW()-1,60),ROW()-1,FALSE))</f>
        <v>3.8066268129999998</v>
      </c>
      <c r="AT10">
        <f ca="1">IF(AND(ISNUMBER($AT$243),$B$183=1),$AT$243,HLOOKUP(INDIRECT(ADDRESS(2,COLUMN())),OFFSET($BN$2,0,0,ROW()-1,60),ROW()-1,FALSE))</f>
        <v>4.9565534250000001</v>
      </c>
      <c r="AU10">
        <f ca="1">IF(AND(ISNUMBER($AU$243),$B$183=1),$AU$243,HLOOKUP(INDIRECT(ADDRESS(2,COLUMN())),OFFSET($BN$2,0,0,ROW()-1,60),ROW()-1,FALSE))</f>
        <v>5.6298879450000001</v>
      </c>
      <c r="AV10">
        <f ca="1">IF(AND(ISNUMBER($AV$243),$B$183=1),$AV$243,HLOOKUP(INDIRECT(ADDRESS(2,COLUMN())),OFFSET($BN$2,0,0,ROW()-1,60),ROW()-1,FALSE))</f>
        <v>5.2716310130000004</v>
      </c>
      <c r="AW10">
        <f ca="1">IF(AND(ISNUMBER($AW$243),$B$183=1),$AW$243,HLOOKUP(INDIRECT(ADDRESS(2,COLUMN())),OFFSET($BN$2,0,0,ROW()-1,60),ROW()-1,FALSE))</f>
        <v>6.4298378270000001</v>
      </c>
      <c r="AX10">
        <f ca="1">IF(AND(ISNUMBER($AX$243),$B$183=1),$AX$243,HLOOKUP(INDIRECT(ADDRESS(2,COLUMN())),OFFSET($BN$2,0,0,ROW()-1,60),ROW()-1,FALSE))</f>
        <v>6.7653072759999997</v>
      </c>
      <c r="AY10">
        <f ca="1">IF(AND(ISNUMBER($AY$243),$B$183=1),$AY$243,HLOOKUP(INDIRECT(ADDRESS(2,COLUMN())),OFFSET($BN$2,0,0,ROW()-1,60),ROW()-1,FALSE))</f>
        <v>7.5311724760000001</v>
      </c>
      <c r="AZ10">
        <f ca="1">IF(AND(ISNUMBER($AZ$243),$B$183=1),$AZ$243,HLOOKUP(INDIRECT(ADDRESS(2,COLUMN())),OFFSET($BN$2,0,0,ROW()-1,60),ROW()-1,FALSE))</f>
        <v>8.0389464030000006</v>
      </c>
      <c r="BA10">
        <f ca="1">IF(AND(ISNUMBER($BA$243),$B$183=1),$BA$243,HLOOKUP(INDIRECT(ADDRESS(2,COLUMN())),OFFSET($BN$2,0,0,ROW()-1,60),ROW()-1,FALSE))</f>
        <v>7.1071261659999996</v>
      </c>
      <c r="BB10">
        <f ca="1">IF(AND(ISNUMBER($BB$243),$B$183=1),$BB$243,HLOOKUP(INDIRECT(ADDRESS(2,COLUMN())),OFFSET($BN$2,0,0,ROW()-1,60),ROW()-1,FALSE))</f>
        <v>6.7901785390000002</v>
      </c>
      <c r="BC10">
        <f ca="1">IF(AND(ISNUMBER($BC$243),$B$183=1),$BC$243,HLOOKUP(INDIRECT(ADDRESS(2,COLUMN())),OFFSET($BN$2,0,0,ROW()-1,60),ROW()-1,FALSE))</f>
        <v>4.4957354949999999</v>
      </c>
      <c r="BD10">
        <f ca="1">IF(AND(ISNUMBER($BD$243),$B$183=1),$BD$243,HLOOKUP(INDIRECT(ADDRESS(2,COLUMN())),OFFSET($BN$2,0,0,ROW()-1,60),ROW()-1,FALSE))</f>
        <v>2.8280751550000001</v>
      </c>
      <c r="BE10">
        <f ca="1">IF(AND(ISNUMBER($BE$243),$B$183=1),$BE$243,HLOOKUP(INDIRECT(ADDRESS(2,COLUMN())),OFFSET($BN$2,0,0,ROW()-1,60),ROW()-1,FALSE))</f>
        <v>1.4546739550000001</v>
      </c>
      <c r="BF10">
        <f ca="1">IF(AND(ISNUMBER($BF$243),$B$183=1),$BF$243,HLOOKUP(INDIRECT(ADDRESS(2,COLUMN())),OFFSET($BN$2,0,0,ROW()-1,60),ROW()-1,FALSE))</f>
        <v>0.31012634900000002</v>
      </c>
      <c r="BG10">
        <f ca="1">IF(AND(ISNUMBER($BG$243),$B$183=1),$BG$243,HLOOKUP(INDIRECT(ADDRESS(2,COLUMN())),OFFSET($BN$2,0,0,ROW()-1,60),ROW()-1,FALSE))</f>
        <v>-0.753548475</v>
      </c>
      <c r="BH10">
        <f ca="1">IF(AND(ISNUMBER($BH$243),$B$183=1),$BH$243,HLOOKUP(INDIRECT(ADDRESS(2,COLUMN())),OFFSET($BN$2,0,0,ROW()-1,60),ROW()-1,FALSE))</f>
        <v>-1.6327494259999999</v>
      </c>
      <c r="BI10">
        <f ca="1">IF(AND(ISNUMBER($BI$243),$B$183=1),$BI$243,HLOOKUP(INDIRECT(ADDRESS(2,COLUMN())),OFFSET($BN$2,0,0,ROW()-1,60),ROW()-1,FALSE))</f>
        <v>-1.6337791420000001</v>
      </c>
      <c r="BJ10">
        <f ca="1">IF(AND(ISNUMBER($BJ$243),$B$183=1),$BJ$243,HLOOKUP(INDIRECT(ADDRESS(2,COLUMN())),OFFSET($BN$2,0,0,ROW()-1,60),ROW()-1,FALSE))</f>
        <v>-3.5906114250000001</v>
      </c>
      <c r="BK10">
        <f ca="1">IF(AND(ISNUMBER($BK$243),$B$183=1),$BK$243,HLOOKUP(INDIRECT(ADDRESS(2,COLUMN())),OFFSET($BN$2,0,0,ROW()-1,60),ROW()-1,FALSE))</f>
        <v>-4.565061107</v>
      </c>
      <c r="BL10">
        <f ca="1">IF(AND(ISNUMBER($BL$243),$B$183=1),$BL$243,HLOOKUP(INDIRECT(ADDRESS(2,COLUMN())),OFFSET($BN$2,0,0,ROW()-1,60),ROW()-1,FALSE))</f>
        <v>-5.6301499770000003</v>
      </c>
      <c r="BM10">
        <f ca="1">IF(AND(ISNUMBER($BM$243),$B$183=1),$BM$243,HLOOKUP(INDIRECT(ADDRESS(2,COLUMN())),OFFSET($BN$2,0,0,ROW()-1,60),ROW()-1,FALSE))</f>
        <v>-7.7995528180000004</v>
      </c>
      <c r="BN10">
        <f>3.346204487</f>
        <v>3.3462044870000001</v>
      </c>
      <c r="BO10">
        <f>3.564533385</f>
        <v>3.5645333849999998</v>
      </c>
      <c r="BP10">
        <f>3.71620003</f>
        <v>3.71620003</v>
      </c>
      <c r="BQ10">
        <f>4.111227354</f>
        <v>4.1112273540000004</v>
      </c>
      <c r="BR10">
        <f>4.931945336</f>
        <v>4.9319453360000001</v>
      </c>
      <c r="BS10">
        <f>5.116322699</f>
        <v>5.1163226990000004</v>
      </c>
      <c r="BT10">
        <f>5.639703032</f>
        <v>5.6397030319999999</v>
      </c>
      <c r="BU10">
        <f>6.954329607</f>
        <v>6.954329607</v>
      </c>
      <c r="BV10">
        <f>6.837467974</f>
        <v>6.8374679739999999</v>
      </c>
      <c r="BW10">
        <f>6.451920165</f>
        <v>6.4519201649999998</v>
      </c>
      <c r="BX10">
        <f>6.201797595</f>
        <v>6.2017975950000004</v>
      </c>
      <c r="BY10">
        <f>5.917286058</f>
        <v>5.9172860580000002</v>
      </c>
      <c r="BZ10">
        <f>5.27181366</f>
        <v>5.2718136600000003</v>
      </c>
      <c r="CA10">
        <f>5.227786156</f>
        <v>5.2277861559999996</v>
      </c>
      <c r="CB10">
        <f>4.497583263</f>
        <v>4.4975832630000001</v>
      </c>
      <c r="CC10">
        <f>3.840490429</f>
        <v>3.8404904289999999</v>
      </c>
      <c r="CD10">
        <f>4.358743691</f>
        <v>4.3587436909999999</v>
      </c>
      <c r="CE10">
        <f>4.671655497</f>
        <v>4.6716554969999997</v>
      </c>
      <c r="CF10">
        <f>5.321588502</f>
        <v>5.321588502</v>
      </c>
      <c r="CG10">
        <f>5.446350979</f>
        <v>5.446350979</v>
      </c>
      <c r="CH10">
        <f>6.355957517</f>
        <v>6.3559575170000002</v>
      </c>
      <c r="CI10">
        <f>7.226930435</f>
        <v>7.2269304349999999</v>
      </c>
      <c r="CJ10">
        <f>6.998441092</f>
        <v>6.9984410920000002</v>
      </c>
      <c r="CK10">
        <f>7.79652776</f>
        <v>7.79652776</v>
      </c>
      <c r="CL10">
        <f>7.265317673</f>
        <v>7.2653176730000002</v>
      </c>
      <c r="CM10">
        <f>6.782116675</f>
        <v>6.7821166750000001</v>
      </c>
      <c r="CN10">
        <f>5.958767845</f>
        <v>5.9587678449999997</v>
      </c>
      <c r="CO10">
        <f>5.583520763</f>
        <v>5.5835207630000001</v>
      </c>
      <c r="CP10">
        <f>3.41221294</f>
        <v>3.4122129399999999</v>
      </c>
      <c r="CQ10">
        <f>0.897618422</f>
        <v>0.89761842199999997</v>
      </c>
      <c r="CR10">
        <f>-2.341997749</f>
        <v>-2.3419977489999999</v>
      </c>
      <c r="CS10">
        <f>-5.040573472</f>
        <v>-5.0405734720000002</v>
      </c>
      <c r="CT10">
        <f>-5.272833293</f>
        <v>-5.2728332929999997</v>
      </c>
      <c r="CU10">
        <f>-4.362929255</f>
        <v>-4.3629292550000001</v>
      </c>
      <c r="CV10">
        <f>-2.717884505</f>
        <v>-2.7178845049999998</v>
      </c>
      <c r="CW10">
        <f>-0.46925984</f>
        <v>-0.46925983999999998</v>
      </c>
      <c r="CX10">
        <f>1.974989203</f>
        <v>1.974989203</v>
      </c>
      <c r="CY10">
        <f>2.631459736</f>
        <v>2.631459736</v>
      </c>
      <c r="CZ10">
        <f>4.260057581</f>
        <v>4.2600575809999999</v>
      </c>
      <c r="DA10">
        <f>3.806626813</f>
        <v>3.8066268129999998</v>
      </c>
      <c r="DB10">
        <f>4.956553425</f>
        <v>4.9565534250000001</v>
      </c>
      <c r="DC10">
        <f>5.629887945</f>
        <v>5.6298879450000001</v>
      </c>
      <c r="DD10">
        <f>5.271631013</f>
        <v>5.2716310130000004</v>
      </c>
      <c r="DE10">
        <f>6.429837827</f>
        <v>6.4298378270000001</v>
      </c>
      <c r="DF10">
        <f>6.765307276</f>
        <v>6.7653072759999997</v>
      </c>
      <c r="DG10">
        <f>7.531172476</f>
        <v>7.5311724760000001</v>
      </c>
      <c r="DH10">
        <f>8.038946403</f>
        <v>8.0389464030000006</v>
      </c>
      <c r="DI10">
        <f>7.107126166</f>
        <v>7.1071261659999996</v>
      </c>
      <c r="DJ10">
        <f>6.790178539</f>
        <v>6.7901785390000002</v>
      </c>
      <c r="DK10">
        <f>4.495735495</f>
        <v>4.4957354949999999</v>
      </c>
      <c r="DL10">
        <f>2.828075155</f>
        <v>2.8280751550000001</v>
      </c>
      <c r="DM10">
        <f>1.454673955</f>
        <v>1.4546739550000001</v>
      </c>
      <c r="DN10">
        <f>0.310126349</f>
        <v>0.31012634900000002</v>
      </c>
      <c r="DO10">
        <f>-0.753548475</f>
        <v>-0.753548475</v>
      </c>
      <c r="DP10">
        <f>-1.632749426</f>
        <v>-1.6327494259999999</v>
      </c>
      <c r="DQ10">
        <f>-1.633779142</f>
        <v>-1.6337791420000001</v>
      </c>
      <c r="DR10">
        <f>-3.590611425</f>
        <v>-3.5906114250000001</v>
      </c>
      <c r="DS10">
        <f>-4.565061107</f>
        <v>-4.565061107</v>
      </c>
      <c r="DT10">
        <f>-5.630149977</f>
        <v>-5.6301499770000003</v>
      </c>
      <c r="DU10">
        <f>-7.799552818</f>
        <v>-7.7995528180000004</v>
      </c>
    </row>
    <row r="11" spans="1:125">
      <c r="A11" t="str">
        <f>"    Apartment REITs"</f>
        <v xml:space="preserve">    Apartment REITs</v>
      </c>
      <c r="B11" t="str">
        <f>"RECFSSAP Index"</f>
        <v>RECFSSAP Index</v>
      </c>
      <c r="C11" t="str">
        <f t="shared" si="0"/>
        <v>PR005</v>
      </c>
      <c r="D11" t="str">
        <f t="shared" si="1"/>
        <v>PX_LAST</v>
      </c>
      <c r="E11" t="str">
        <f t="shared" si="2"/>
        <v>动态</v>
      </c>
      <c r="F11">
        <f ca="1">IF(AND(ISNUMBER($F$244),$B$183=1),$F$244,HLOOKUP(INDIRECT(ADDRESS(2,COLUMN())),OFFSET($BN$2,0,0,ROW()-1,60),ROW()-1,FALSE))</f>
        <v>2.6043458720000001</v>
      </c>
      <c r="G11">
        <f ca="1">IF(AND(ISNUMBER($G$244),$B$183=1),$G$244,HLOOKUP(INDIRECT(ADDRESS(2,COLUMN())),OFFSET($BN$2,0,0,ROW()-1,60),ROW()-1,FALSE))</f>
        <v>2.4537863799999999</v>
      </c>
      <c r="H11">
        <f ca="1">IF(AND(ISNUMBER($H$244),$B$183=1),$H$244,HLOOKUP(INDIRECT(ADDRESS(2,COLUMN())),OFFSET($BN$2,0,0,ROW()-1,60),ROW()-1,FALSE))</f>
        <v>2.8786365159999998</v>
      </c>
      <c r="I11">
        <f ca="1">IF(AND(ISNUMBER($I$244),$B$183=1),$I$244,HLOOKUP(INDIRECT(ADDRESS(2,COLUMN())),OFFSET($BN$2,0,0,ROW()-1,60),ROW()-1,FALSE))</f>
        <v>3.4220786360000002</v>
      </c>
      <c r="J11">
        <f ca="1">IF(AND(ISNUMBER($J$244),$B$183=1),$J$244,HLOOKUP(INDIRECT(ADDRESS(2,COLUMN())),OFFSET($BN$2,0,0,ROW()-1,60),ROW()-1,FALSE))</f>
        <v>3.8412199739999999</v>
      </c>
      <c r="K11">
        <f ca="1">IF(AND(ISNUMBER($K$244),$B$183=1),$K$244,HLOOKUP(INDIRECT(ADDRESS(2,COLUMN())),OFFSET($BN$2,0,0,ROW()-1,60),ROW()-1,FALSE))</f>
        <v>4.6233524910000003</v>
      </c>
      <c r="L11">
        <f ca="1">IF(AND(ISNUMBER($L$244),$B$183=1),$L$244,HLOOKUP(INDIRECT(ADDRESS(2,COLUMN())),OFFSET($BN$2,0,0,ROW()-1,60),ROW()-1,FALSE))</f>
        <v>5.1831028809999999</v>
      </c>
      <c r="M11">
        <f ca="1">IF(AND(ISNUMBER($M$244),$B$183=1),$M$244,HLOOKUP(INDIRECT(ADDRESS(2,COLUMN())),OFFSET($BN$2,0,0,ROW()-1,60),ROW()-1,FALSE))</f>
        <v>6.9612316280000002</v>
      </c>
      <c r="N11">
        <f ca="1">IF(AND(ISNUMBER($N$244),$B$183=1),$N$244,HLOOKUP(INDIRECT(ADDRESS(2,COLUMN())),OFFSET($BN$2,0,0,ROW()-1,60),ROW()-1,FALSE))</f>
        <v>6.6078547609999996</v>
      </c>
      <c r="O11">
        <f ca="1">IF(AND(ISNUMBER($O$244),$B$183=1),$O$244,HLOOKUP(INDIRECT(ADDRESS(2,COLUMN())),OFFSET($BN$2,0,0,ROW()-1,60),ROW()-1,FALSE))</f>
        <v>6.272656929</v>
      </c>
      <c r="P11">
        <f ca="1">IF(AND(ISNUMBER($P$244),$B$183=1),$P$244,HLOOKUP(INDIRECT(ADDRESS(2,COLUMN())),OFFSET($BN$2,0,0,ROW()-1,60),ROW()-1,FALSE))</f>
        <v>6.2475426470000004</v>
      </c>
      <c r="Q11">
        <f ca="1">IF(AND(ISNUMBER($Q$244),$B$183=1),$Q$244,HLOOKUP(INDIRECT(ADDRESS(2,COLUMN())),OFFSET($BN$2,0,0,ROW()-1,60),ROW()-1,FALSE))</f>
        <v>5.8289555740000001</v>
      </c>
      <c r="R11">
        <f ca="1">IF(AND(ISNUMBER($R$244),$B$183=1),$R$244,HLOOKUP(INDIRECT(ADDRESS(2,COLUMN())),OFFSET($BN$2,0,0,ROW()-1,60),ROW()-1,FALSE))</f>
        <v>5.2783519879999998</v>
      </c>
      <c r="S11">
        <f ca="1">IF(AND(ISNUMBER($S$244),$B$183=1),$S$244,HLOOKUP(INDIRECT(ADDRESS(2,COLUMN())),OFFSET($BN$2,0,0,ROW()-1,60),ROW()-1,FALSE))</f>
        <v>5.1101434240000003</v>
      </c>
      <c r="T11">
        <f ca="1">IF(AND(ISNUMBER($T$244),$B$183=1),$T$244,HLOOKUP(INDIRECT(ADDRESS(2,COLUMN())),OFFSET($BN$2,0,0,ROW()-1,60),ROW()-1,FALSE))</f>
        <v>4.3971214400000003</v>
      </c>
      <c r="U11">
        <f ca="1">IF(AND(ISNUMBER($U$244),$B$183=1),$U$244,HLOOKUP(INDIRECT(ADDRESS(2,COLUMN())),OFFSET($BN$2,0,0,ROW()-1,60),ROW()-1,FALSE))</f>
        <v>3.7003813619999999</v>
      </c>
      <c r="V11">
        <f ca="1">IF(AND(ISNUMBER($V$244),$B$183=1),$V$244,HLOOKUP(INDIRECT(ADDRESS(2,COLUMN())),OFFSET($BN$2,0,0,ROW()-1,60),ROW()-1,FALSE))</f>
        <v>4.3109157160000002</v>
      </c>
      <c r="W11">
        <f ca="1">IF(AND(ISNUMBER($W$244),$B$183=1),$W$244,HLOOKUP(INDIRECT(ADDRESS(2,COLUMN())),OFFSET($BN$2,0,0,ROW()-1,60),ROW()-1,FALSE))</f>
        <v>4.7654607579999997</v>
      </c>
      <c r="X11">
        <f ca="1">IF(AND(ISNUMBER($X$244),$B$183=1),$X$244,HLOOKUP(INDIRECT(ADDRESS(2,COLUMN())),OFFSET($BN$2,0,0,ROW()-1,60),ROW()-1,FALSE))</f>
        <v>5.5050350369999999</v>
      </c>
      <c r="Y11">
        <f ca="1">IF(AND(ISNUMBER($Y$244),$B$183=1),$Y$244,HLOOKUP(INDIRECT(ADDRESS(2,COLUMN())),OFFSET($BN$2,0,0,ROW()-1,60),ROW()-1,FALSE))</f>
        <v>5.6610013520000004</v>
      </c>
      <c r="Z11">
        <f ca="1">IF(AND(ISNUMBER($Z$244),$B$183=1),$Z$244,HLOOKUP(INDIRECT(ADDRESS(2,COLUMN())),OFFSET($BN$2,0,0,ROW()-1,60),ROW()-1,FALSE))</f>
        <v>6.7008074029999998</v>
      </c>
      <c r="AA11">
        <f ca="1">IF(AND(ISNUMBER($AA$244),$B$183=1),$AA$244,HLOOKUP(INDIRECT(ADDRESS(2,COLUMN())),OFFSET($BN$2,0,0,ROW()-1,60),ROW()-1,FALSE))</f>
        <v>7.6055373629999998</v>
      </c>
      <c r="AB11">
        <f ca="1">IF(AND(ISNUMBER($AB$244),$B$183=1),$AB$244,HLOOKUP(INDIRECT(ADDRESS(2,COLUMN())),OFFSET($BN$2,0,0,ROW()-1,60),ROW()-1,FALSE))</f>
        <v>7.2105337049999996</v>
      </c>
      <c r="AC11">
        <f ca="1">IF(AND(ISNUMBER($AC$244),$B$183=1),$AC$244,HLOOKUP(INDIRECT(ADDRESS(2,COLUMN())),OFFSET($BN$2,0,0,ROW()-1,60),ROW()-1,FALSE))</f>
        <v>8.2859923080000009</v>
      </c>
      <c r="AD11">
        <f ca="1">IF(AND(ISNUMBER($AD$244),$B$183=1),$AD$244,HLOOKUP(INDIRECT(ADDRESS(2,COLUMN())),OFFSET($BN$2,0,0,ROW()-1,60),ROW()-1,FALSE))</f>
        <v>7.7602358650000003</v>
      </c>
      <c r="AE11">
        <f ca="1">IF(AND(ISNUMBER($AE$244),$B$183=1),$AE$244,HLOOKUP(INDIRECT(ADDRESS(2,COLUMN())),OFFSET($BN$2,0,0,ROW()-1,60),ROW()-1,FALSE))</f>
        <v>7.0082794450000003</v>
      </c>
      <c r="AF11">
        <f ca="1">IF(AND(ISNUMBER($AF$244),$B$183=1),$AF$244,HLOOKUP(INDIRECT(ADDRESS(2,COLUMN())),OFFSET($BN$2,0,0,ROW()-1,60),ROW()-1,FALSE))</f>
        <v>6.1909277579999999</v>
      </c>
      <c r="AG11">
        <f ca="1">IF(AND(ISNUMBER($AG$244),$B$183=1),$AG$244,HLOOKUP(INDIRECT(ADDRESS(2,COLUMN())),OFFSET($BN$2,0,0,ROW()-1,60),ROW()-1,FALSE))</f>
        <v>5.910533118</v>
      </c>
      <c r="AH11">
        <f ca="1">IF(AND(ISNUMBER($AH$244),$B$183=1),$AH$244,HLOOKUP(INDIRECT(ADDRESS(2,COLUMN())),OFFSET($BN$2,0,0,ROW()-1,60),ROW()-1,FALSE))</f>
        <v>3.4210570630000001</v>
      </c>
      <c r="AI11">
        <f ca="1">IF(AND(ISNUMBER($AI$244),$B$183=1),$AI$244,HLOOKUP(INDIRECT(ADDRESS(2,COLUMN())),OFFSET($BN$2,0,0,ROW()-1,60),ROW()-1,FALSE))</f>
        <v>0.64830293299999997</v>
      </c>
      <c r="AJ11">
        <f ca="1">IF(AND(ISNUMBER($AJ$244),$B$183=1),$AJ$244,HLOOKUP(INDIRECT(ADDRESS(2,COLUMN())),OFFSET($BN$2,0,0,ROW()-1,60),ROW()-1,FALSE))</f>
        <v>-2.7277876060000001</v>
      </c>
      <c r="AK11">
        <f ca="1">IF(AND(ISNUMBER($AK$244),$B$183=1),$AK$244,HLOOKUP(INDIRECT(ADDRESS(2,COLUMN())),OFFSET($BN$2,0,0,ROW()-1,60),ROW()-1,FALSE))</f>
        <v>-5.6153801589999999</v>
      </c>
      <c r="AL11">
        <f ca="1">IF(AND(ISNUMBER($AL$244),$B$183=1),$AL$244,HLOOKUP(INDIRECT(ADDRESS(2,COLUMN())),OFFSET($BN$2,0,0,ROW()-1,60),ROW()-1,FALSE))</f>
        <v>-5.9562234780000001</v>
      </c>
      <c r="AM11">
        <f ca="1">IF(AND(ISNUMBER($AM$244),$B$183=1),$AM$244,HLOOKUP(INDIRECT(ADDRESS(2,COLUMN())),OFFSET($BN$2,0,0,ROW()-1,60),ROW()-1,FALSE))</f>
        <v>-5.0540186409999999</v>
      </c>
      <c r="AN11">
        <f ca="1">IF(AND(ISNUMBER($AN$244),$B$183=1),$AN$244,HLOOKUP(INDIRECT(ADDRESS(2,COLUMN())),OFFSET($BN$2,0,0,ROW()-1,60),ROW()-1,FALSE))</f>
        <v>-3.3686565900000001</v>
      </c>
      <c r="AO11">
        <f ca="1">IF(AND(ISNUMBER($AO$244),$B$183=1),$AO$244,HLOOKUP(INDIRECT(ADDRESS(2,COLUMN())),OFFSET($BN$2,0,0,ROW()-1,60),ROW()-1,FALSE))</f>
        <v>-0.79378130700000005</v>
      </c>
      <c r="AP11">
        <f ca="1">IF(AND(ISNUMBER($AP$244),$B$183=1),$AP$244,HLOOKUP(INDIRECT(ADDRESS(2,COLUMN())),OFFSET($BN$2,0,0,ROW()-1,60),ROW()-1,FALSE))</f>
        <v>1.8609920470000001</v>
      </c>
      <c r="AQ11">
        <f ca="1">IF(AND(ISNUMBER($AQ$244),$B$183=1),$AQ$244,HLOOKUP(INDIRECT(ADDRESS(2,COLUMN())),OFFSET($BN$2,0,0,ROW()-1,60),ROW()-1,FALSE))</f>
        <v>2.5697799180000001</v>
      </c>
      <c r="AR11">
        <f ca="1">IF(AND(ISNUMBER($AR$244),$B$183=1),$AR$244,HLOOKUP(INDIRECT(ADDRESS(2,COLUMN())),OFFSET($BN$2,0,0,ROW()-1,60),ROW()-1,FALSE))</f>
        <v>4.4338074970000001</v>
      </c>
      <c r="AS11">
        <f ca="1">IF(AND(ISNUMBER($AS$244),$B$183=1),$AS$244,HLOOKUP(INDIRECT(ADDRESS(2,COLUMN())),OFFSET($BN$2,0,0,ROW()-1,60),ROW()-1,FALSE))</f>
        <v>3.8521864099999998</v>
      </c>
      <c r="AT11">
        <f ca="1">IF(AND(ISNUMBER($AT$244),$B$183=1),$AT$244,HLOOKUP(INDIRECT(ADDRESS(2,COLUMN())),OFFSET($BN$2,0,0,ROW()-1,60),ROW()-1,FALSE))</f>
        <v>5.0587237030000001</v>
      </c>
      <c r="AU11">
        <f ca="1">IF(AND(ISNUMBER($AU$244),$B$183=1),$AU$244,HLOOKUP(INDIRECT(ADDRESS(2,COLUMN())),OFFSET($BN$2,0,0,ROW()-1,60),ROW()-1,FALSE))</f>
        <v>5.7462350840000003</v>
      </c>
      <c r="AV11">
        <f ca="1">IF(AND(ISNUMBER($AV$244),$B$183=1),$AV$244,HLOOKUP(INDIRECT(ADDRESS(2,COLUMN())),OFFSET($BN$2,0,0,ROW()-1,60),ROW()-1,FALSE))</f>
        <v>5.2134984859999998</v>
      </c>
      <c r="AW11">
        <f ca="1">IF(AND(ISNUMBER($AW$244),$B$183=1),$AW$244,HLOOKUP(INDIRECT(ADDRESS(2,COLUMN())),OFFSET($BN$2,0,0,ROW()-1,60),ROW()-1,FALSE))</f>
        <v>6.5175813380000003</v>
      </c>
      <c r="AX11">
        <f ca="1">IF(AND(ISNUMBER($AX$244),$B$183=1),$AX$244,HLOOKUP(INDIRECT(ADDRESS(2,COLUMN())),OFFSET($BN$2,0,0,ROW()-1,60),ROW()-1,FALSE))</f>
        <v>6.8905610380000004</v>
      </c>
      <c r="AY11">
        <f ca="1">IF(AND(ISNUMBER($AY$244),$B$183=1),$AY$244,HLOOKUP(INDIRECT(ADDRESS(2,COLUMN())),OFFSET($BN$2,0,0,ROW()-1,60),ROW()-1,FALSE))</f>
        <v>7.7267694770000004</v>
      </c>
      <c r="AZ11">
        <f ca="1">IF(AND(ISNUMBER($AZ$244),$B$183=1),$AZ$244,HLOOKUP(INDIRECT(ADDRESS(2,COLUMN())),OFFSET($BN$2,0,0,ROW()-1,60),ROW()-1,FALSE))</f>
        <v>8.3708922670000003</v>
      </c>
      <c r="BA11">
        <f ca="1">IF(AND(ISNUMBER($BA$244),$B$183=1),$BA$244,HLOOKUP(INDIRECT(ADDRESS(2,COLUMN())),OFFSET($BN$2,0,0,ROW()-1,60),ROW()-1,FALSE))</f>
        <v>7.3341756719999998</v>
      </c>
      <c r="BB11">
        <f ca="1">IF(AND(ISNUMBER($BB$244),$B$183=1),$BB$244,HLOOKUP(INDIRECT(ADDRESS(2,COLUMN())),OFFSET($BN$2,0,0,ROW()-1,60),ROW()-1,FALSE))</f>
        <v>6.6113562229999996</v>
      </c>
      <c r="BC11">
        <f ca="1">IF(AND(ISNUMBER($BC$244),$B$183=1),$BC$244,HLOOKUP(INDIRECT(ADDRESS(2,COLUMN())),OFFSET($BN$2,0,0,ROW()-1,60),ROW()-1,FALSE))</f>
        <v>4.4140333319999998</v>
      </c>
      <c r="BD11">
        <f ca="1">IF(AND(ISNUMBER($BD$244),$B$183=1),$BD$244,HLOOKUP(INDIRECT(ADDRESS(2,COLUMN())),OFFSET($BN$2,0,0,ROW()-1,60),ROW()-1,FALSE))</f>
        <v>2.976706622</v>
      </c>
      <c r="BE11">
        <f ca="1">IF(AND(ISNUMBER($BE$244),$B$183=1),$BE$244,HLOOKUP(INDIRECT(ADDRESS(2,COLUMN())),OFFSET($BN$2,0,0,ROW()-1,60),ROW()-1,FALSE))</f>
        <v>1.5592200620000001</v>
      </c>
      <c r="BF11">
        <f ca="1">IF(AND(ISNUMBER($BF$244),$B$183=1),$BF$244,HLOOKUP(INDIRECT(ADDRESS(2,COLUMN())),OFFSET($BN$2,0,0,ROW()-1,60),ROW()-1,FALSE))</f>
        <v>0.20350663899999999</v>
      </c>
      <c r="BG11">
        <f ca="1">IF(AND(ISNUMBER($BG$244),$B$183=1),$BG$244,HLOOKUP(INDIRECT(ADDRESS(2,COLUMN())),OFFSET($BN$2,0,0,ROW()-1,60),ROW()-1,FALSE))</f>
        <v>-0.77643376900000005</v>
      </c>
      <c r="BH11">
        <f ca="1">IF(AND(ISNUMBER($BH$244),$B$183=1),$BH$244,HLOOKUP(INDIRECT(ADDRESS(2,COLUMN())),OFFSET($BN$2,0,0,ROW()-1,60),ROW()-1,FALSE))</f>
        <v>-1.8822800630000001</v>
      </c>
      <c r="BI11">
        <f ca="1">IF(AND(ISNUMBER($BI$244),$B$183=1),$BI$244,HLOOKUP(INDIRECT(ADDRESS(2,COLUMN())),OFFSET($BN$2,0,0,ROW()-1,60),ROW()-1,FALSE))</f>
        <v>-2.0704315389999999</v>
      </c>
      <c r="BJ11">
        <f ca="1">IF(AND(ISNUMBER($BJ$244),$B$183=1),$BJ$244,HLOOKUP(INDIRECT(ADDRESS(2,COLUMN())),OFFSET($BN$2,0,0,ROW()-1,60),ROW()-1,FALSE))</f>
        <v>-3.881378437</v>
      </c>
      <c r="BK11">
        <f ca="1">IF(AND(ISNUMBER($BK$244),$B$183=1),$BK$244,HLOOKUP(INDIRECT(ADDRESS(2,COLUMN())),OFFSET($BN$2,0,0,ROW()-1,60),ROW()-1,FALSE))</f>
        <v>-4.9131365599999999</v>
      </c>
      <c r="BL11">
        <f ca="1">IF(AND(ISNUMBER($BL$244),$B$183=1),$BL$244,HLOOKUP(INDIRECT(ADDRESS(2,COLUMN())),OFFSET($BN$2,0,0,ROW()-1,60),ROW()-1,FALSE))</f>
        <v>-6.2663777170000001</v>
      </c>
      <c r="BM11">
        <f ca="1">IF(AND(ISNUMBER($BM$244),$B$183=1),$BM$244,HLOOKUP(INDIRECT(ADDRESS(2,COLUMN())),OFFSET($BN$2,0,0,ROW()-1,60),ROW()-1,FALSE))</f>
        <v>-8.6373337390000007</v>
      </c>
      <c r="BN11">
        <f>2.604345872</f>
        <v>2.6043458720000001</v>
      </c>
      <c r="BO11">
        <f>2.45378638</f>
        <v>2.4537863799999999</v>
      </c>
      <c r="BP11">
        <f>2.878636516</f>
        <v>2.8786365159999998</v>
      </c>
      <c r="BQ11">
        <f>3.422078636</f>
        <v>3.4220786360000002</v>
      </c>
      <c r="BR11">
        <f>3.841219974</f>
        <v>3.8412199739999999</v>
      </c>
      <c r="BS11">
        <f>4.623352491</f>
        <v>4.6233524910000003</v>
      </c>
      <c r="BT11">
        <f>5.183102881</f>
        <v>5.1831028809999999</v>
      </c>
      <c r="BU11">
        <f>6.961231628</f>
        <v>6.9612316280000002</v>
      </c>
      <c r="BV11">
        <f>6.607854761</f>
        <v>6.6078547609999996</v>
      </c>
      <c r="BW11">
        <f>6.272656929</f>
        <v>6.272656929</v>
      </c>
      <c r="BX11">
        <f>6.247542647</f>
        <v>6.2475426470000004</v>
      </c>
      <c r="BY11">
        <f>5.828955574</f>
        <v>5.8289555740000001</v>
      </c>
      <c r="BZ11">
        <f>5.278351988</f>
        <v>5.2783519879999998</v>
      </c>
      <c r="CA11">
        <f>5.110143424</f>
        <v>5.1101434240000003</v>
      </c>
      <c r="CB11">
        <f>4.39712144</f>
        <v>4.3971214400000003</v>
      </c>
      <c r="CC11">
        <f>3.700381362</f>
        <v>3.7003813619999999</v>
      </c>
      <c r="CD11">
        <f>4.310915716</f>
        <v>4.3109157160000002</v>
      </c>
      <c r="CE11">
        <f>4.765460758</f>
        <v>4.7654607579999997</v>
      </c>
      <c r="CF11">
        <f>5.505035037</f>
        <v>5.5050350369999999</v>
      </c>
      <c r="CG11">
        <f>5.661001352</f>
        <v>5.6610013520000004</v>
      </c>
      <c r="CH11">
        <f>6.700807403</f>
        <v>6.7008074029999998</v>
      </c>
      <c r="CI11">
        <f>7.605537363</f>
        <v>7.6055373629999998</v>
      </c>
      <c r="CJ11">
        <f>7.210533705</f>
        <v>7.2105337049999996</v>
      </c>
      <c r="CK11">
        <f>8.285992308</f>
        <v>8.2859923080000009</v>
      </c>
      <c r="CL11">
        <f>7.760235865</f>
        <v>7.7602358650000003</v>
      </c>
      <c r="CM11">
        <f>7.008279445</f>
        <v>7.0082794450000003</v>
      </c>
      <c r="CN11">
        <f>6.190927758</f>
        <v>6.1909277579999999</v>
      </c>
      <c r="CO11">
        <f>5.910533118</f>
        <v>5.910533118</v>
      </c>
      <c r="CP11">
        <f>3.421057063</f>
        <v>3.4210570630000001</v>
      </c>
      <c r="CQ11">
        <f>0.648302933</f>
        <v>0.64830293299999997</v>
      </c>
      <c r="CR11">
        <f>-2.727787606</f>
        <v>-2.7277876060000001</v>
      </c>
      <c r="CS11">
        <f>-5.615380159</f>
        <v>-5.6153801589999999</v>
      </c>
      <c r="CT11">
        <f>-5.956223478</f>
        <v>-5.9562234780000001</v>
      </c>
      <c r="CU11">
        <f>-5.054018641</f>
        <v>-5.0540186409999999</v>
      </c>
      <c r="CV11">
        <f>-3.36865659</f>
        <v>-3.3686565900000001</v>
      </c>
      <c r="CW11">
        <f>-0.793781307</f>
        <v>-0.79378130700000005</v>
      </c>
      <c r="CX11">
        <f>1.860992047</f>
        <v>1.8609920470000001</v>
      </c>
      <c r="CY11">
        <f>2.569779918</f>
        <v>2.5697799180000001</v>
      </c>
      <c r="CZ11">
        <f>4.433807497</f>
        <v>4.4338074970000001</v>
      </c>
      <c r="DA11">
        <f>3.85218641</f>
        <v>3.8521864099999998</v>
      </c>
      <c r="DB11">
        <f>5.058723703</f>
        <v>5.0587237030000001</v>
      </c>
      <c r="DC11">
        <f>5.746235084</f>
        <v>5.7462350840000003</v>
      </c>
      <c r="DD11">
        <f>5.213498486</f>
        <v>5.2134984859999998</v>
      </c>
      <c r="DE11">
        <f>6.517581338</f>
        <v>6.5175813380000003</v>
      </c>
      <c r="DF11">
        <f>6.890561038</f>
        <v>6.8905610380000004</v>
      </c>
      <c r="DG11">
        <f>7.726769477</f>
        <v>7.7267694770000004</v>
      </c>
      <c r="DH11">
        <f>8.370892267</f>
        <v>8.3708922670000003</v>
      </c>
      <c r="DI11">
        <f>7.334175672</f>
        <v>7.3341756719999998</v>
      </c>
      <c r="DJ11">
        <f>6.611356223</f>
        <v>6.6113562229999996</v>
      </c>
      <c r="DK11">
        <f>4.414033332</f>
        <v>4.4140333319999998</v>
      </c>
      <c r="DL11">
        <f>2.976706622</f>
        <v>2.976706622</v>
      </c>
      <c r="DM11">
        <f>1.559220062</f>
        <v>1.5592200620000001</v>
      </c>
      <c r="DN11">
        <f>0.203506639</f>
        <v>0.20350663899999999</v>
      </c>
      <c r="DO11">
        <f>-0.776433769</f>
        <v>-0.77643376900000005</v>
      </c>
      <c r="DP11">
        <f>-1.882280063</f>
        <v>-1.8822800630000001</v>
      </c>
      <c r="DQ11">
        <f>-2.070431539</f>
        <v>-2.0704315389999999</v>
      </c>
      <c r="DR11">
        <f>-3.881378437</f>
        <v>-3.881378437</v>
      </c>
      <c r="DS11">
        <f>-4.91313656</f>
        <v>-4.9131365599999999</v>
      </c>
      <c r="DT11">
        <f>-6.266377717</f>
        <v>-6.2663777170000001</v>
      </c>
      <c r="DU11">
        <f>-8.637333739</f>
        <v>-8.6373337390000007</v>
      </c>
    </row>
    <row r="12" spans="1:125">
      <c r="A12" t="str">
        <f>"    Manufactured Home REITs"</f>
        <v xml:space="preserve">    Manufactured Home REITs</v>
      </c>
      <c r="B12" t="str">
        <f>"RECFSSMH Index"</f>
        <v>RECFSSMH Index</v>
      </c>
      <c r="C12" t="str">
        <f t="shared" si="0"/>
        <v>PR005</v>
      </c>
      <c r="D12" t="str">
        <f t="shared" si="1"/>
        <v>PX_LAST</v>
      </c>
      <c r="E12" t="str">
        <f t="shared" si="2"/>
        <v>动态</v>
      </c>
      <c r="F12">
        <f ca="1">IF(AND(ISNUMBER($F$245),$B$183=1),$F$245,HLOOKUP(INDIRECT(ADDRESS(2,COLUMN())),OFFSET($BN$2,0,0,ROW()-1,60),ROW()-1,FALSE))</f>
        <v>5.6712443669999999</v>
      </c>
      <c r="G12">
        <f ca="1">IF(AND(ISNUMBER($G$245),$B$183=1),$G$245,HLOOKUP(INDIRECT(ADDRESS(2,COLUMN())),OFFSET($BN$2,0,0,ROW()-1,60),ROW()-1,FALSE))</f>
        <v>7.1250470559999997</v>
      </c>
      <c r="H12">
        <f ca="1">IF(AND(ISNUMBER($H$245),$B$183=1),$H$245,HLOOKUP(INDIRECT(ADDRESS(2,COLUMN())),OFFSET($BN$2,0,0,ROW()-1,60),ROW()-1,FALSE))</f>
        <v>5.6727111399999997</v>
      </c>
      <c r="I12">
        <f ca="1">IF(AND(ISNUMBER($I$245),$B$183=1),$I$245,HLOOKUP(INDIRECT(ADDRESS(2,COLUMN())),OFFSET($BN$2,0,0,ROW()-1,60),ROW()-1,FALSE))</f>
        <v>5.3860161519999998</v>
      </c>
      <c r="J12">
        <f ca="1">IF(AND(ISNUMBER($J$245),$B$183=1),$J$245,HLOOKUP(INDIRECT(ADDRESS(2,COLUMN())),OFFSET($BN$2,0,0,ROW()-1,60),ROW()-1,FALSE))</f>
        <v>7.4271456479999998</v>
      </c>
      <c r="K12">
        <f ca="1">IF(AND(ISNUMBER($K$245),$B$183=1),$K$245,HLOOKUP(INDIRECT(ADDRESS(2,COLUMN())),OFFSET($BN$2,0,0,ROW()-1,60),ROW()-1,FALSE))</f>
        <v>6.3996180799999998</v>
      </c>
      <c r="L12">
        <f ca="1">IF(AND(ISNUMBER($L$245),$B$183=1),$L$245,HLOOKUP(INDIRECT(ADDRESS(2,COLUMN())),OFFSET($BN$2,0,0,ROW()-1,60),ROW()-1,FALSE))</f>
        <v>7.1072306110000003</v>
      </c>
      <c r="M12">
        <f ca="1">IF(AND(ISNUMBER($M$245),$B$183=1),$M$245,HLOOKUP(INDIRECT(ADDRESS(2,COLUMN())),OFFSET($BN$2,0,0,ROW()-1,60),ROW()-1,FALSE))</f>
        <v>6.5889405119999997</v>
      </c>
      <c r="N12">
        <f ca="1">IF(AND(ISNUMBER($N$245),$B$183=1),$N$245,HLOOKUP(INDIRECT(ADDRESS(2,COLUMN())),OFFSET($BN$2,0,0,ROW()-1,60),ROW()-1,FALSE))</f>
        <v>7.2013666560000003</v>
      </c>
      <c r="O12">
        <f ca="1">IF(AND(ISNUMBER($O$245),$B$183=1),$O$245,HLOOKUP(INDIRECT(ADDRESS(2,COLUMN())),OFFSET($BN$2,0,0,ROW()-1,60),ROW()-1,FALSE))</f>
        <v>6.9706906660000003</v>
      </c>
      <c r="P12">
        <f ca="1">IF(AND(ISNUMBER($P$245),$B$183=1),$P$245,HLOOKUP(INDIRECT(ADDRESS(2,COLUMN())),OFFSET($BN$2,0,0,ROW()-1,60),ROW()-1,FALSE))</f>
        <v>6.7661440419999996</v>
      </c>
      <c r="Q12">
        <f ca="1">IF(AND(ISNUMBER($Q$245),$B$183=1),$Q$245,HLOOKUP(INDIRECT(ADDRESS(2,COLUMN())),OFFSET($BN$2,0,0,ROW()-1,60),ROW()-1,FALSE))</f>
        <v>7.3580854090000001</v>
      </c>
      <c r="R12">
        <f ca="1">IF(AND(ISNUMBER($R$245),$B$183=1),$R$245,HLOOKUP(INDIRECT(ADDRESS(2,COLUMN())),OFFSET($BN$2,0,0,ROW()-1,60),ROW()-1,FALSE))</f>
        <v>5.2041535630000002</v>
      </c>
      <c r="S12">
        <f ca="1">IF(AND(ISNUMBER($S$245),$B$183=1),$S$245,HLOOKUP(INDIRECT(ADDRESS(2,COLUMN())),OFFSET($BN$2,0,0,ROW()-1,60),ROW()-1,FALSE))</f>
        <v>6.362169164</v>
      </c>
      <c r="T12">
        <f ca="1">IF(AND(ISNUMBER($T$245),$B$183=1),$T$245,HLOOKUP(INDIRECT(ADDRESS(2,COLUMN())),OFFSET($BN$2,0,0,ROW()-1,60),ROW()-1,FALSE))</f>
        <v>5.5034787610000002</v>
      </c>
      <c r="U12">
        <f ca="1">IF(AND(ISNUMBER($U$245),$B$183=1),$U$245,HLOOKUP(INDIRECT(ADDRESS(2,COLUMN())),OFFSET($BN$2,0,0,ROW()-1,60),ROW()-1,FALSE))</f>
        <v>5.0217492369999999</v>
      </c>
      <c r="V12">
        <f ca="1">IF(AND(ISNUMBER($V$245),$B$183=1),$V$245,HLOOKUP(INDIRECT(ADDRESS(2,COLUMN())),OFFSET($BN$2,0,0,ROW()-1,60),ROW()-1,FALSE))</f>
        <v>4.7999058550000004</v>
      </c>
      <c r="W12">
        <f ca="1">IF(AND(ISNUMBER($W$245),$B$183=1),$W$245,HLOOKUP(INDIRECT(ADDRESS(2,COLUMN())),OFFSET($BN$2,0,0,ROW()-1,60),ROW()-1,FALSE))</f>
        <v>3.8399371260000001</v>
      </c>
      <c r="X12">
        <f ca="1">IF(AND(ISNUMBER($X$245),$B$183=1),$X$245,HLOOKUP(INDIRECT(ADDRESS(2,COLUMN())),OFFSET($BN$2,0,0,ROW()-1,60),ROW()-1,FALSE))</f>
        <v>3.6416021519999999</v>
      </c>
      <c r="Y12">
        <f ca="1">IF(AND(ISNUMBER($Y$245),$B$183=1),$Y$245,HLOOKUP(INDIRECT(ADDRESS(2,COLUMN())),OFFSET($BN$2,0,0,ROW()-1,60),ROW()-1,FALSE))</f>
        <v>3.7173049539999998</v>
      </c>
      <c r="Z12">
        <f ca="1">IF(AND(ISNUMBER($Z$245),$B$183=1),$Z$245,HLOOKUP(INDIRECT(ADDRESS(2,COLUMN())),OFFSET($BN$2,0,0,ROW()-1,60),ROW()-1,FALSE))</f>
        <v>2.519552332</v>
      </c>
      <c r="AA12">
        <f ca="1">IF(AND(ISNUMBER($AA$245),$B$183=1),$AA$245,HLOOKUP(INDIRECT(ADDRESS(2,COLUMN())),OFFSET($BN$2,0,0,ROW()-1,60),ROW()-1,FALSE))</f>
        <v>3.1665556929999998</v>
      </c>
      <c r="AB12">
        <f ca="1">IF(AND(ISNUMBER($AB$245),$B$183=1),$AB$245,HLOOKUP(INDIRECT(ADDRESS(2,COLUMN())),OFFSET($BN$2,0,0,ROW()-1,60),ROW()-1,FALSE))</f>
        <v>4.6549543499999997</v>
      </c>
      <c r="AC12">
        <f ca="1">IF(AND(ISNUMBER($AC$245),$B$183=1),$AC$245,HLOOKUP(INDIRECT(ADDRESS(2,COLUMN())),OFFSET($BN$2,0,0,ROW()-1,60),ROW()-1,FALSE))</f>
        <v>3.157062544</v>
      </c>
      <c r="AD12">
        <f ca="1">IF(AND(ISNUMBER($AD$245),$B$183=1),$AD$245,HLOOKUP(INDIRECT(ADDRESS(2,COLUMN())),OFFSET($BN$2,0,0,ROW()-1,60),ROW()-1,FALSE))</f>
        <v>2.2642198480000002</v>
      </c>
      <c r="AE12">
        <f ca="1">IF(AND(ISNUMBER($AE$245),$B$183=1),$AE$245,HLOOKUP(INDIRECT(ADDRESS(2,COLUMN())),OFFSET($BN$2,0,0,ROW()-1,60),ROW()-1,FALSE))</f>
        <v>4.3254321100000004</v>
      </c>
      <c r="AF12">
        <f ca="1">IF(AND(ISNUMBER($AF$245),$B$183=1),$AF$245,HLOOKUP(INDIRECT(ADDRESS(2,COLUMN())),OFFSET($BN$2,0,0,ROW()-1,60),ROW()-1,FALSE))</f>
        <v>3.312751918</v>
      </c>
      <c r="AG12">
        <f ca="1">IF(AND(ISNUMBER($AG$245),$B$183=1),$AG$245,HLOOKUP(INDIRECT(ADDRESS(2,COLUMN())),OFFSET($BN$2,0,0,ROW()-1,60),ROW()-1,FALSE))</f>
        <v>2.3750488089999999</v>
      </c>
      <c r="AH12">
        <f ca="1">IF(AND(ISNUMBER($AH$245),$B$183=1),$AH$245,HLOOKUP(INDIRECT(ADDRESS(2,COLUMN())),OFFSET($BN$2,0,0,ROW()-1,60),ROW()-1,FALSE))</f>
        <v>3.3194050329999998</v>
      </c>
      <c r="AI12">
        <f ca="1">IF(AND(ISNUMBER($AI$245),$B$183=1),$AI$245,HLOOKUP(INDIRECT(ADDRESS(2,COLUMN())),OFFSET($BN$2,0,0,ROW()-1,60),ROW()-1,FALSE))</f>
        <v>3.701906256</v>
      </c>
      <c r="AJ12">
        <f ca="1">IF(AND(ISNUMBER($AJ$245),$B$183=1),$AJ$245,HLOOKUP(INDIRECT(ADDRESS(2,COLUMN())),OFFSET($BN$2,0,0,ROW()-1,60),ROW()-1,FALSE))</f>
        <v>2.1966216369999998</v>
      </c>
      <c r="AK12">
        <f ca="1">IF(AND(ISNUMBER($AK$245),$B$183=1),$AK$245,HLOOKUP(INDIRECT(ADDRESS(2,COLUMN())),OFFSET($BN$2,0,0,ROW()-1,60),ROW()-1,FALSE))</f>
        <v>0.82698392399999998</v>
      </c>
      <c r="AL12">
        <f ca="1">IF(AND(ISNUMBER($AL$245),$B$183=1),$AL$245,HLOOKUP(INDIRECT(ADDRESS(2,COLUMN())),OFFSET($BN$2,0,0,ROW()-1,60),ROW()-1,FALSE))</f>
        <v>2.319247098</v>
      </c>
      <c r="AM12">
        <f ca="1">IF(AND(ISNUMBER($AM$245),$B$183=1),$AM$245,HLOOKUP(INDIRECT(ADDRESS(2,COLUMN())),OFFSET($BN$2,0,0,ROW()-1,60),ROW()-1,FALSE))</f>
        <v>4.0603191650000001</v>
      </c>
      <c r="AN12">
        <f ca="1">IF(AND(ISNUMBER($AN$245),$B$183=1),$AN$245,HLOOKUP(INDIRECT(ADDRESS(2,COLUMN())),OFFSET($BN$2,0,0,ROW()-1,60),ROW()-1,FALSE))</f>
        <v>5.6038622919999996</v>
      </c>
      <c r="AO12">
        <f ca="1">IF(AND(ISNUMBER($AO$245),$B$183=1),$AO$245,HLOOKUP(INDIRECT(ADDRESS(2,COLUMN())),OFFSET($BN$2,0,0,ROW()-1,60),ROW()-1,FALSE))</f>
        <v>2.9638721380000002</v>
      </c>
      <c r="AP12">
        <f ca="1">IF(AND(ISNUMBER($AP$245),$B$183=1),$AP$245,HLOOKUP(INDIRECT(ADDRESS(2,COLUMN())),OFFSET($BN$2,0,0,ROW()-1,60),ROW()-1,FALSE))</f>
        <v>3.2571984660000002</v>
      </c>
      <c r="AQ12">
        <f ca="1">IF(AND(ISNUMBER($AQ$245),$B$183=1),$AQ$245,HLOOKUP(INDIRECT(ADDRESS(2,COLUMN())),OFFSET($BN$2,0,0,ROW()-1,60),ROW()-1,FALSE))</f>
        <v>3.3145570499999999</v>
      </c>
      <c r="AR12">
        <f ca="1">IF(AND(ISNUMBER($AR$245),$B$183=1),$AR$245,HLOOKUP(INDIRECT(ADDRESS(2,COLUMN())),OFFSET($BN$2,0,0,ROW()-1,60),ROW()-1,FALSE))</f>
        <v>2.2789695509999999</v>
      </c>
      <c r="AS12">
        <f ca="1">IF(AND(ISNUMBER($AS$245),$B$183=1),$AS$245,HLOOKUP(INDIRECT(ADDRESS(2,COLUMN())),OFFSET($BN$2,0,0,ROW()-1,60),ROW()-1,FALSE))</f>
        <v>3.346392426</v>
      </c>
      <c r="AT12">
        <f ca="1">IF(AND(ISNUMBER($AT$245),$B$183=1),$AT$245,HLOOKUP(INDIRECT(ADDRESS(2,COLUMN())),OFFSET($BN$2,0,0,ROW()-1,60),ROW()-1,FALSE))</f>
        <v>3.840411783</v>
      </c>
      <c r="AU12">
        <f ca="1">IF(AND(ISNUMBER($AU$245),$B$183=1),$AU$245,HLOOKUP(INDIRECT(ADDRESS(2,COLUMN())),OFFSET($BN$2,0,0,ROW()-1,60),ROW()-1,FALSE))</f>
        <v>4.2232708309999998</v>
      </c>
      <c r="AV12">
        <f ca="1">IF(AND(ISNUMBER($AV$245),$B$183=1),$AV$245,HLOOKUP(INDIRECT(ADDRESS(2,COLUMN())),OFFSET($BN$2,0,0,ROW()-1,60),ROW()-1,FALSE))</f>
        <v>6.1322139</v>
      </c>
      <c r="AW12">
        <f ca="1">IF(AND(ISNUMBER($AW$245),$B$183=1),$AW$245,HLOOKUP(INDIRECT(ADDRESS(2,COLUMN())),OFFSET($BN$2,0,0,ROW()-1,60),ROW()-1,FALSE))</f>
        <v>5.336620141</v>
      </c>
      <c r="AX12">
        <f ca="1">IF(AND(ISNUMBER($AX$245),$B$183=1),$AX$245,HLOOKUP(INDIRECT(ADDRESS(2,COLUMN())),OFFSET($BN$2,0,0,ROW()-1,60),ROW()-1,FALSE))</f>
        <v>5.0807483700000002</v>
      </c>
      <c r="AY12">
        <f ca="1">IF(AND(ISNUMBER($AY$245),$B$183=1),$AY$245,HLOOKUP(INDIRECT(ADDRESS(2,COLUMN())),OFFSET($BN$2,0,0,ROW()-1,60),ROW()-1,FALSE))</f>
        <v>4.8191798520000004</v>
      </c>
      <c r="AZ12">
        <f ca="1">IF(AND(ISNUMBER($AZ$245),$B$183=1),$AZ$245,HLOOKUP(INDIRECT(ADDRESS(2,COLUMN())),OFFSET($BN$2,0,0,ROW()-1,60),ROW()-1,FALSE))</f>
        <v>3.5078806999999999</v>
      </c>
      <c r="BA12">
        <f ca="1">IF(AND(ISNUMBER($BA$245),$B$183=1),$BA$245,HLOOKUP(INDIRECT(ADDRESS(2,COLUMN())),OFFSET($BN$2,0,0,ROW()-1,60),ROW()-1,FALSE))</f>
        <v>4.4166881279999997</v>
      </c>
      <c r="BB12">
        <f ca="1">IF(AND(ISNUMBER($BB$245),$B$183=1),$BB$245,HLOOKUP(INDIRECT(ADDRESS(2,COLUMN())),OFFSET($BN$2,0,0,ROW()-1,60),ROW()-1,FALSE))</f>
        <v>8.7523749209999995</v>
      </c>
      <c r="BC12">
        <f ca="1">IF(AND(ISNUMBER($BC$245),$B$183=1),$BC$245,HLOOKUP(INDIRECT(ADDRESS(2,COLUMN())),OFFSET($BN$2,0,0,ROW()-1,60),ROW()-1,FALSE))</f>
        <v>5.545291185</v>
      </c>
      <c r="BD12">
        <f ca="1">IF(AND(ISNUMBER($BD$245),$B$183=1),$BD$245,HLOOKUP(INDIRECT(ADDRESS(2,COLUMN())),OFFSET($BN$2,0,0,ROW()-1,60),ROW()-1,FALSE))</f>
        <v>1.069697669</v>
      </c>
      <c r="BE12">
        <f ca="1">IF(AND(ISNUMBER($BE$245),$B$183=1),$BE$245,HLOOKUP(INDIRECT(ADDRESS(2,COLUMN())),OFFSET($BN$2,0,0,ROW()-1,60),ROW()-1,FALSE))</f>
        <v>0.30311320200000003</v>
      </c>
      <c r="BF12">
        <f ca="1">IF(AND(ISNUMBER($BF$245),$B$183=1),$BF$245,HLOOKUP(INDIRECT(ADDRESS(2,COLUMN())),OFFSET($BN$2,0,0,ROW()-1,60),ROW()-1,FALSE))</f>
        <v>1.555398324</v>
      </c>
      <c r="BG12">
        <f ca="1">IF(AND(ISNUMBER($BG$245),$B$183=1),$BG$245,HLOOKUP(INDIRECT(ADDRESS(2,COLUMN())),OFFSET($BN$2,0,0,ROW()-1,60),ROW()-1,FALSE))</f>
        <v>-0.46809944399999998</v>
      </c>
      <c r="BH12">
        <f ca="1">IF(AND(ISNUMBER($BH$245),$B$183=1),$BH$245,HLOOKUP(INDIRECT(ADDRESS(2,COLUMN())),OFFSET($BN$2,0,0,ROW()-1,60),ROW()-1,FALSE))</f>
        <v>1.5983910240000001</v>
      </c>
      <c r="BI12">
        <f ca="1">IF(AND(ISNUMBER($BI$245),$B$183=1),$BI$245,HLOOKUP(INDIRECT(ADDRESS(2,COLUMN())),OFFSET($BN$2,0,0,ROW()-1,60),ROW()-1,FALSE))</f>
        <v>3.9471698989999999</v>
      </c>
      <c r="BJ12">
        <f ca="1">IF(AND(ISNUMBER($BJ$245),$B$183=1),$BJ$245,HLOOKUP(INDIRECT(ADDRESS(2,COLUMN())),OFFSET($BN$2,0,0,ROW()-1,60),ROW()-1,FALSE))</f>
        <v>1.797246806</v>
      </c>
      <c r="BK12">
        <f ca="1">IF(AND(ISNUMBER($BK$245),$B$183=1),$BK$245,HLOOKUP(INDIRECT(ADDRESS(2,COLUMN())),OFFSET($BN$2,0,0,ROW()-1,60),ROW()-1,FALSE))</f>
        <v>2.1223154989999999</v>
      </c>
      <c r="BL12">
        <f ca="1">IF(AND(ISNUMBER($BL$245),$B$183=1),$BL$245,HLOOKUP(INDIRECT(ADDRESS(2,COLUMN())),OFFSET($BN$2,0,0,ROW()-1,60),ROW()-1,FALSE))</f>
        <v>1.7892937149999999</v>
      </c>
      <c r="BM12">
        <f ca="1">IF(AND(ISNUMBER($BM$245),$B$183=1),$BM$245,HLOOKUP(INDIRECT(ADDRESS(2,COLUMN())),OFFSET($BN$2,0,0,ROW()-1,60),ROW()-1,FALSE))</f>
        <v>2.152647639</v>
      </c>
      <c r="BN12">
        <f>5.671244367</f>
        <v>5.6712443669999999</v>
      </c>
      <c r="BO12">
        <f>7.125047056</f>
        <v>7.1250470559999997</v>
      </c>
      <c r="BP12">
        <f>5.67271114</f>
        <v>5.6727111399999997</v>
      </c>
      <c r="BQ12">
        <f>5.386016152</f>
        <v>5.3860161519999998</v>
      </c>
      <c r="BR12">
        <f>7.427145648</f>
        <v>7.4271456479999998</v>
      </c>
      <c r="BS12">
        <f>6.39961808</f>
        <v>6.3996180799999998</v>
      </c>
      <c r="BT12">
        <f>7.107230611</f>
        <v>7.1072306110000003</v>
      </c>
      <c r="BU12">
        <f>6.588940512</f>
        <v>6.5889405119999997</v>
      </c>
      <c r="BV12">
        <f>7.201366656</f>
        <v>7.2013666560000003</v>
      </c>
      <c r="BW12">
        <f>6.970690666</f>
        <v>6.9706906660000003</v>
      </c>
      <c r="BX12">
        <f>6.766144042</f>
        <v>6.7661440419999996</v>
      </c>
      <c r="BY12">
        <f>7.358085409</f>
        <v>7.3580854090000001</v>
      </c>
      <c r="BZ12">
        <f>5.204153563</f>
        <v>5.2041535630000002</v>
      </c>
      <c r="CA12">
        <f>6.362169164</f>
        <v>6.362169164</v>
      </c>
      <c r="CB12">
        <f>5.503478761</f>
        <v>5.5034787610000002</v>
      </c>
      <c r="CC12">
        <f>5.021749237</f>
        <v>5.0217492369999999</v>
      </c>
      <c r="CD12">
        <f>4.799905855</f>
        <v>4.7999058550000004</v>
      </c>
      <c r="CE12">
        <f>3.839937126</f>
        <v>3.8399371260000001</v>
      </c>
      <c r="CF12">
        <f>3.641602152</f>
        <v>3.6416021519999999</v>
      </c>
      <c r="CG12">
        <f>3.717304954</f>
        <v>3.7173049539999998</v>
      </c>
      <c r="CH12">
        <f>2.519552332</f>
        <v>2.519552332</v>
      </c>
      <c r="CI12">
        <f>3.166555693</f>
        <v>3.1665556929999998</v>
      </c>
      <c r="CJ12">
        <f>4.65495435</f>
        <v>4.6549543499999997</v>
      </c>
      <c r="CK12">
        <f>3.157062544</f>
        <v>3.157062544</v>
      </c>
      <c r="CL12">
        <f>2.264219848</f>
        <v>2.2642198480000002</v>
      </c>
      <c r="CM12">
        <f>4.32543211</f>
        <v>4.3254321100000004</v>
      </c>
      <c r="CN12">
        <f>3.312751918</f>
        <v>3.312751918</v>
      </c>
      <c r="CO12">
        <f>2.375048809</f>
        <v>2.3750488089999999</v>
      </c>
      <c r="CP12">
        <f>3.319405033</f>
        <v>3.3194050329999998</v>
      </c>
      <c r="CQ12">
        <f>3.701906256</f>
        <v>3.701906256</v>
      </c>
      <c r="CR12">
        <f>2.196621637</f>
        <v>2.1966216369999998</v>
      </c>
      <c r="CS12">
        <f>0.826983924</f>
        <v>0.82698392399999998</v>
      </c>
      <c r="CT12">
        <f>2.319247098</f>
        <v>2.319247098</v>
      </c>
      <c r="CU12">
        <f>4.060319165</f>
        <v>4.0603191650000001</v>
      </c>
      <c r="CV12">
        <f>5.603862292</f>
        <v>5.6038622919999996</v>
      </c>
      <c r="CW12">
        <f>2.963872138</f>
        <v>2.9638721380000002</v>
      </c>
      <c r="CX12">
        <f>3.257198466</f>
        <v>3.2571984660000002</v>
      </c>
      <c r="CY12">
        <f>3.31455705</f>
        <v>3.3145570499999999</v>
      </c>
      <c r="CZ12">
        <f>2.278969551</f>
        <v>2.2789695509999999</v>
      </c>
      <c r="DA12">
        <f>3.346392426</f>
        <v>3.346392426</v>
      </c>
      <c r="DB12">
        <f>3.840411783</f>
        <v>3.840411783</v>
      </c>
      <c r="DC12">
        <f>4.223270831</f>
        <v>4.2232708309999998</v>
      </c>
      <c r="DD12">
        <f>6.1322139</f>
        <v>6.1322139</v>
      </c>
      <c r="DE12">
        <f>5.336620141</f>
        <v>5.336620141</v>
      </c>
      <c r="DF12">
        <f>5.08074837</f>
        <v>5.0807483700000002</v>
      </c>
      <c r="DG12">
        <f>4.819179852</f>
        <v>4.8191798520000004</v>
      </c>
      <c r="DH12">
        <f>3.5078807</f>
        <v>3.5078806999999999</v>
      </c>
      <c r="DI12">
        <f>4.416688128</f>
        <v>4.4166881279999997</v>
      </c>
      <c r="DJ12">
        <f>8.752374921</f>
        <v>8.7523749209999995</v>
      </c>
      <c r="DK12">
        <f>5.545291185</f>
        <v>5.545291185</v>
      </c>
      <c r="DL12">
        <f>1.069697669</f>
        <v>1.069697669</v>
      </c>
      <c r="DM12">
        <f>0.303113202</f>
        <v>0.30311320200000003</v>
      </c>
      <c r="DN12">
        <f>1.555398324</f>
        <v>1.555398324</v>
      </c>
      <c r="DO12">
        <f>-0.468099444</f>
        <v>-0.46809944399999998</v>
      </c>
      <c r="DP12">
        <f>1.598391024</f>
        <v>1.5983910240000001</v>
      </c>
      <c r="DQ12">
        <f>3.947169899</f>
        <v>3.9471698989999999</v>
      </c>
      <c r="DR12">
        <f>1.797246806</f>
        <v>1.797246806</v>
      </c>
      <c r="DS12">
        <f>2.122315499</f>
        <v>2.1223154989999999</v>
      </c>
      <c r="DT12">
        <f>1.789293715</f>
        <v>1.7892937149999999</v>
      </c>
      <c r="DU12">
        <f>2.152647639</f>
        <v>2.152647639</v>
      </c>
    </row>
    <row r="13" spans="1:125">
      <c r="A13" t="str">
        <f>"    Single Family Rental REITs"</f>
        <v xml:space="preserve">    Single Family Rental REITs</v>
      </c>
      <c r="B13" t="str">
        <f>"RECFSSSF Index"</f>
        <v>RECFSSSF Index</v>
      </c>
      <c r="C13" t="str">
        <f t="shared" si="0"/>
        <v>PR005</v>
      </c>
      <c r="D13" t="str">
        <f t="shared" si="1"/>
        <v>PX_LAST</v>
      </c>
      <c r="E13" t="str">
        <f t="shared" si="2"/>
        <v>动态</v>
      </c>
      <c r="F13">
        <f ca="1">IF(AND(ISNUMBER($F$246),$B$183=1),$F$246,HLOOKUP(INDIRECT(ADDRESS(2,COLUMN())),OFFSET($BN$2,0,0,ROW()-1,60),ROW()-1,FALSE))</f>
        <v>6.0063084450000002</v>
      </c>
      <c r="G13">
        <f ca="1">IF(AND(ISNUMBER($G$246),$B$183=1),$G$246,HLOOKUP(INDIRECT(ADDRESS(2,COLUMN())),OFFSET($BN$2,0,0,ROW()-1,60),ROW()-1,FALSE))</f>
        <v>6.7626686720000002</v>
      </c>
      <c r="H13">
        <f ca="1">IF(AND(ISNUMBER($H$246),$B$183=1),$H$246,HLOOKUP(INDIRECT(ADDRESS(2,COLUMN())),OFFSET($BN$2,0,0,ROW()-1,60),ROW()-1,FALSE))</f>
        <v>6.830291087</v>
      </c>
      <c r="I13">
        <f ca="1">IF(AND(ISNUMBER($I$246),$B$183=1),$I$246,HLOOKUP(INDIRECT(ADDRESS(2,COLUMN())),OFFSET($BN$2,0,0,ROW()-1,60),ROW()-1,FALSE))</f>
        <v>6.6476969920000002</v>
      </c>
      <c r="J13">
        <f ca="1">IF(AND(ISNUMBER($J$246),$B$183=1),$J$246,HLOOKUP(INDIRECT(ADDRESS(2,COLUMN())),OFFSET($BN$2,0,0,ROW()-1,60),ROW()-1,FALSE))</f>
        <v>13.00590405</v>
      </c>
      <c r="K13">
        <f ca="1">IF(AND(ISNUMBER($K$246),$B$183=1),$K$246,HLOOKUP(INDIRECT(ADDRESS(2,COLUMN())),OFFSET($BN$2,0,0,ROW()-1,60),ROW()-1,FALSE))</f>
        <v>8.7021288899999991</v>
      </c>
      <c r="L13">
        <f ca="1">IF(AND(ISNUMBER($L$246),$B$183=1),$L$246,HLOOKUP(INDIRECT(ADDRESS(2,COLUMN())),OFFSET($BN$2,0,0,ROW()-1,60),ROW()-1,FALSE))</f>
        <v>8.8186380779999993</v>
      </c>
      <c r="M13">
        <f ca="1">IF(AND(ISNUMBER($M$246),$B$183=1),$M$246,HLOOKUP(INDIRECT(ADDRESS(2,COLUMN())),OFFSET($BN$2,0,0,ROW()-1,60),ROW()-1,FALSE))</f>
        <v>7.4502994649999996</v>
      </c>
      <c r="N13">
        <f ca="1">IF(AND(ISNUMBER($N$246),$B$183=1),$N$246,HLOOKUP(INDIRECT(ADDRESS(2,COLUMN())),OFFSET($BN$2,0,0,ROW()-1,60),ROW()-1,FALSE))</f>
        <v>10.333370909999999</v>
      </c>
      <c r="O13">
        <f ca="1">IF(AND(ISNUMBER($O$246),$B$183=1),$O$246,HLOOKUP(INDIRECT(ADDRESS(2,COLUMN())),OFFSET($BN$2,0,0,ROW()-1,60),ROW()-1,FALSE))</f>
        <v>10.13544018</v>
      </c>
      <c r="P13">
        <f ca="1">IF(AND(ISNUMBER($P$246),$B$183=1),$P$246,HLOOKUP(INDIRECT(ADDRESS(2,COLUMN())),OFFSET($BN$2,0,0,ROW()-1,60),ROW()-1,FALSE))</f>
        <v>2.5897339499999998</v>
      </c>
      <c r="Q13">
        <f ca="1">IF(AND(ISNUMBER($Q$246),$B$183=1),$Q$246,HLOOKUP(INDIRECT(ADDRESS(2,COLUMN())),OFFSET($BN$2,0,0,ROW()-1,60),ROW()-1,FALSE))</f>
        <v>2.7325905289999999</v>
      </c>
      <c r="R13">
        <f ca="1">IF(AND(ISNUMBER($R$246),$B$183=1),$R$246,HLOOKUP(INDIRECT(ADDRESS(2,COLUMN())),OFFSET($BN$2,0,0,ROW()-1,60),ROW()-1,FALSE))</f>
        <v>0</v>
      </c>
      <c r="S13">
        <f ca="1">IF(AND(ISNUMBER($S$246),$B$183=1),$S$246,HLOOKUP(INDIRECT(ADDRESS(2,COLUMN())),OFFSET($BN$2,0,0,ROW()-1,60),ROW()-1,FALSE))</f>
        <v>0</v>
      </c>
      <c r="T13">
        <f ca="1">IF(AND(ISNUMBER($T$246),$B$183=1),$T$246,HLOOKUP(INDIRECT(ADDRESS(2,COLUMN())),OFFSET($BN$2,0,0,ROW()-1,60),ROW()-1,FALSE))</f>
        <v>0</v>
      </c>
      <c r="U13">
        <f ca="1">IF(AND(ISNUMBER($U$246),$B$183=1),$U$246,HLOOKUP(INDIRECT(ADDRESS(2,COLUMN())),OFFSET($BN$2,0,0,ROW()-1,60),ROW()-1,FALSE))</f>
        <v>0</v>
      </c>
      <c r="V13">
        <f ca="1">IF(AND(ISNUMBER($V$246),$B$183=1),$V$246,HLOOKUP(INDIRECT(ADDRESS(2,COLUMN())),OFFSET($BN$2,0,0,ROW()-1,60),ROW()-1,FALSE))</f>
        <v>0</v>
      </c>
      <c r="W13">
        <f ca="1">IF(AND(ISNUMBER($W$246),$B$183=1),$W$246,HLOOKUP(INDIRECT(ADDRESS(2,COLUMN())),OFFSET($BN$2,0,0,ROW()-1,60),ROW()-1,FALSE))</f>
        <v>0</v>
      </c>
      <c r="X13">
        <f ca="1">IF(AND(ISNUMBER($X$246),$B$183=1),$X$246,HLOOKUP(INDIRECT(ADDRESS(2,COLUMN())),OFFSET($BN$2,0,0,ROW()-1,60),ROW()-1,FALSE))</f>
        <v>0</v>
      </c>
      <c r="Y13">
        <f ca="1">IF(AND(ISNUMBER($Y$246),$B$183=1),$Y$246,HLOOKUP(INDIRECT(ADDRESS(2,COLUMN())),OFFSET($BN$2,0,0,ROW()-1,60),ROW()-1,FALSE))</f>
        <v>0</v>
      </c>
      <c r="Z13">
        <f ca="1">IF(AND(ISNUMBER($Z$246),$B$183=1),$Z$246,HLOOKUP(INDIRECT(ADDRESS(2,COLUMN())),OFFSET($BN$2,0,0,ROW()-1,60),ROW()-1,FALSE))</f>
        <v>0</v>
      </c>
      <c r="AA13">
        <f ca="1">IF(AND(ISNUMBER($AA$246),$B$183=1),$AA$246,HLOOKUP(INDIRECT(ADDRESS(2,COLUMN())),OFFSET($BN$2,0,0,ROW()-1,60),ROW()-1,FALSE))</f>
        <v>0</v>
      </c>
      <c r="AB13">
        <f ca="1">IF(AND(ISNUMBER($AB$246),$B$183=1),$AB$246,HLOOKUP(INDIRECT(ADDRESS(2,COLUMN())),OFFSET($BN$2,0,0,ROW()-1,60),ROW()-1,FALSE))</f>
        <v>0</v>
      </c>
      <c r="AC13">
        <f ca="1">IF(AND(ISNUMBER($AC$246),$B$183=1),$AC$246,HLOOKUP(INDIRECT(ADDRESS(2,COLUMN())),OFFSET($BN$2,0,0,ROW()-1,60),ROW()-1,FALSE))</f>
        <v>0</v>
      </c>
      <c r="AD13">
        <f ca="1">IF(AND(ISNUMBER($AD$246),$B$183=1),$AD$246,HLOOKUP(INDIRECT(ADDRESS(2,COLUMN())),OFFSET($BN$2,0,0,ROW()-1,60),ROW()-1,FALSE))</f>
        <v>0</v>
      </c>
      <c r="AE13">
        <f ca="1">IF(AND(ISNUMBER($AE$246),$B$183=1),$AE$246,HLOOKUP(INDIRECT(ADDRESS(2,COLUMN())),OFFSET($BN$2,0,0,ROW()-1,60),ROW()-1,FALSE))</f>
        <v>0</v>
      </c>
      <c r="AF13">
        <f ca="1">IF(AND(ISNUMBER($AF$246),$B$183=1),$AF$246,HLOOKUP(INDIRECT(ADDRESS(2,COLUMN())),OFFSET($BN$2,0,0,ROW()-1,60),ROW()-1,FALSE))</f>
        <v>0</v>
      </c>
      <c r="AG13">
        <f ca="1">IF(AND(ISNUMBER($AG$246),$B$183=1),$AG$246,HLOOKUP(INDIRECT(ADDRESS(2,COLUMN())),OFFSET($BN$2,0,0,ROW()-1,60),ROW()-1,FALSE))</f>
        <v>0</v>
      </c>
      <c r="AH13">
        <f ca="1">IF(AND(ISNUMBER($AH$246),$B$183=1),$AH$246,HLOOKUP(INDIRECT(ADDRESS(2,COLUMN())),OFFSET($BN$2,0,0,ROW()-1,60),ROW()-1,FALSE))</f>
        <v>0</v>
      </c>
      <c r="AI13">
        <f ca="1">IF(AND(ISNUMBER($AI$246),$B$183=1),$AI$246,HLOOKUP(INDIRECT(ADDRESS(2,COLUMN())),OFFSET($BN$2,0,0,ROW()-1,60),ROW()-1,FALSE))</f>
        <v>0</v>
      </c>
      <c r="AJ13">
        <f ca="1">IF(AND(ISNUMBER($AJ$246),$B$183=1),$AJ$246,HLOOKUP(INDIRECT(ADDRESS(2,COLUMN())),OFFSET($BN$2,0,0,ROW()-1,60),ROW()-1,FALSE))</f>
        <v>0</v>
      </c>
      <c r="AK13">
        <f ca="1">IF(AND(ISNUMBER($AK$246),$B$183=1),$AK$246,HLOOKUP(INDIRECT(ADDRESS(2,COLUMN())),OFFSET($BN$2,0,0,ROW()-1,60),ROW()-1,FALSE))</f>
        <v>0</v>
      </c>
      <c r="AL13">
        <f ca="1">IF(AND(ISNUMBER($AL$246),$B$183=1),$AL$246,HLOOKUP(INDIRECT(ADDRESS(2,COLUMN())),OFFSET($BN$2,0,0,ROW()-1,60),ROW()-1,FALSE))</f>
        <v>0</v>
      </c>
      <c r="AM13">
        <f ca="1">IF(AND(ISNUMBER($AM$246),$B$183=1),$AM$246,HLOOKUP(INDIRECT(ADDRESS(2,COLUMN())),OFFSET($BN$2,0,0,ROW()-1,60),ROW()-1,FALSE))</f>
        <v>0</v>
      </c>
      <c r="AN13">
        <f ca="1">IF(AND(ISNUMBER($AN$246),$B$183=1),$AN$246,HLOOKUP(INDIRECT(ADDRESS(2,COLUMN())),OFFSET($BN$2,0,0,ROW()-1,60),ROW()-1,FALSE))</f>
        <v>0</v>
      </c>
      <c r="AO13">
        <f ca="1">IF(AND(ISNUMBER($AO$246),$B$183=1),$AO$246,HLOOKUP(INDIRECT(ADDRESS(2,COLUMN())),OFFSET($BN$2,0,0,ROW()-1,60),ROW()-1,FALSE))</f>
        <v>0</v>
      </c>
      <c r="AP13">
        <f ca="1">IF(AND(ISNUMBER($AP$246),$B$183=1),$AP$246,HLOOKUP(INDIRECT(ADDRESS(2,COLUMN())),OFFSET($BN$2,0,0,ROW()-1,60),ROW()-1,FALSE))</f>
        <v>0</v>
      </c>
      <c r="AQ13">
        <f ca="1">IF(AND(ISNUMBER($AQ$246),$B$183=1),$AQ$246,HLOOKUP(INDIRECT(ADDRESS(2,COLUMN())),OFFSET($BN$2,0,0,ROW()-1,60),ROW()-1,FALSE))</f>
        <v>0</v>
      </c>
      <c r="AR13">
        <f ca="1">IF(AND(ISNUMBER($AR$246),$B$183=1),$AR$246,HLOOKUP(INDIRECT(ADDRESS(2,COLUMN())),OFFSET($BN$2,0,0,ROW()-1,60),ROW()-1,FALSE))</f>
        <v>0</v>
      </c>
      <c r="AS13">
        <f ca="1">IF(AND(ISNUMBER($AS$246),$B$183=1),$AS$246,HLOOKUP(INDIRECT(ADDRESS(2,COLUMN())),OFFSET($BN$2,0,0,ROW()-1,60),ROW()-1,FALSE))</f>
        <v>0</v>
      </c>
      <c r="AT13">
        <f ca="1">IF(AND(ISNUMBER($AT$246),$B$183=1),$AT$246,HLOOKUP(INDIRECT(ADDRESS(2,COLUMN())),OFFSET($BN$2,0,0,ROW()-1,60),ROW()-1,FALSE))</f>
        <v>0</v>
      </c>
      <c r="AU13">
        <f ca="1">IF(AND(ISNUMBER($AU$246),$B$183=1),$AU$246,HLOOKUP(INDIRECT(ADDRESS(2,COLUMN())),OFFSET($BN$2,0,0,ROW()-1,60),ROW()-1,FALSE))</f>
        <v>0</v>
      </c>
      <c r="AV13">
        <f ca="1">IF(AND(ISNUMBER($AV$246),$B$183=1),$AV$246,HLOOKUP(INDIRECT(ADDRESS(2,COLUMN())),OFFSET($BN$2,0,0,ROW()-1,60),ROW()-1,FALSE))</f>
        <v>0</v>
      </c>
      <c r="AW13">
        <f ca="1">IF(AND(ISNUMBER($AW$246),$B$183=1),$AW$246,HLOOKUP(INDIRECT(ADDRESS(2,COLUMN())),OFFSET($BN$2,0,0,ROW()-1,60),ROW()-1,FALSE))</f>
        <v>0</v>
      </c>
      <c r="AX13">
        <f ca="1">IF(AND(ISNUMBER($AX$246),$B$183=1),$AX$246,HLOOKUP(INDIRECT(ADDRESS(2,COLUMN())),OFFSET($BN$2,0,0,ROW()-1,60),ROW()-1,FALSE))</f>
        <v>0</v>
      </c>
      <c r="AY13">
        <f ca="1">IF(AND(ISNUMBER($AY$246),$B$183=1),$AY$246,HLOOKUP(INDIRECT(ADDRESS(2,COLUMN())),OFFSET($BN$2,0,0,ROW()-1,60),ROW()-1,FALSE))</f>
        <v>0</v>
      </c>
      <c r="AZ13">
        <f ca="1">IF(AND(ISNUMBER($AZ$246),$B$183=1),$AZ$246,HLOOKUP(INDIRECT(ADDRESS(2,COLUMN())),OFFSET($BN$2,0,0,ROW()-1,60),ROW()-1,FALSE))</f>
        <v>0</v>
      </c>
      <c r="BA13">
        <f ca="1">IF(AND(ISNUMBER($BA$246),$B$183=1),$BA$246,HLOOKUP(INDIRECT(ADDRESS(2,COLUMN())),OFFSET($BN$2,0,0,ROW()-1,60),ROW()-1,FALSE))</f>
        <v>0</v>
      </c>
      <c r="BB13">
        <f ca="1">IF(AND(ISNUMBER($BB$246),$B$183=1),$BB$246,HLOOKUP(INDIRECT(ADDRESS(2,COLUMN())),OFFSET($BN$2,0,0,ROW()-1,60),ROW()-1,FALSE))</f>
        <v>0</v>
      </c>
      <c r="BC13">
        <f ca="1">IF(AND(ISNUMBER($BC$246),$B$183=1),$BC$246,HLOOKUP(INDIRECT(ADDRESS(2,COLUMN())),OFFSET($BN$2,0,0,ROW()-1,60),ROW()-1,FALSE))</f>
        <v>0</v>
      </c>
      <c r="BD13">
        <f ca="1">IF(AND(ISNUMBER($BD$246),$B$183=1),$BD$246,HLOOKUP(INDIRECT(ADDRESS(2,COLUMN())),OFFSET($BN$2,0,0,ROW()-1,60),ROW()-1,FALSE))</f>
        <v>0</v>
      </c>
      <c r="BE13">
        <f ca="1">IF(AND(ISNUMBER($BE$246),$B$183=1),$BE$246,HLOOKUP(INDIRECT(ADDRESS(2,COLUMN())),OFFSET($BN$2,0,0,ROW()-1,60),ROW()-1,FALSE))</f>
        <v>0</v>
      </c>
      <c r="BF13">
        <f ca="1">IF(AND(ISNUMBER($BF$246),$B$183=1),$BF$246,HLOOKUP(INDIRECT(ADDRESS(2,COLUMN())),OFFSET($BN$2,0,0,ROW()-1,60),ROW()-1,FALSE))</f>
        <v>0</v>
      </c>
      <c r="BG13">
        <f ca="1">IF(AND(ISNUMBER($BG$246),$B$183=1),$BG$246,HLOOKUP(INDIRECT(ADDRESS(2,COLUMN())),OFFSET($BN$2,0,0,ROW()-1,60),ROW()-1,FALSE))</f>
        <v>0</v>
      </c>
      <c r="BH13">
        <f ca="1">IF(AND(ISNUMBER($BH$246),$B$183=1),$BH$246,HLOOKUP(INDIRECT(ADDRESS(2,COLUMN())),OFFSET($BN$2,0,0,ROW()-1,60),ROW()-1,FALSE))</f>
        <v>0</v>
      </c>
      <c r="BI13">
        <f ca="1">IF(AND(ISNUMBER($BI$246),$B$183=1),$BI$246,HLOOKUP(INDIRECT(ADDRESS(2,COLUMN())),OFFSET($BN$2,0,0,ROW()-1,60),ROW()-1,FALSE))</f>
        <v>0</v>
      </c>
      <c r="BJ13">
        <f ca="1">IF(AND(ISNUMBER($BJ$246),$B$183=1),$BJ$246,HLOOKUP(INDIRECT(ADDRESS(2,COLUMN())),OFFSET($BN$2,0,0,ROW()-1,60),ROW()-1,FALSE))</f>
        <v>0</v>
      </c>
      <c r="BK13">
        <f ca="1">IF(AND(ISNUMBER($BK$246),$B$183=1),$BK$246,HLOOKUP(INDIRECT(ADDRESS(2,COLUMN())),OFFSET($BN$2,0,0,ROW()-1,60),ROW()-1,FALSE))</f>
        <v>0</v>
      </c>
      <c r="BL13">
        <f ca="1">IF(AND(ISNUMBER($BL$246),$B$183=1),$BL$246,HLOOKUP(INDIRECT(ADDRESS(2,COLUMN())),OFFSET($BN$2,0,0,ROW()-1,60),ROW()-1,FALSE))</f>
        <v>0</v>
      </c>
      <c r="BM13">
        <f ca="1">IF(AND(ISNUMBER($BM$246),$B$183=1),$BM$246,HLOOKUP(INDIRECT(ADDRESS(2,COLUMN())),OFFSET($BN$2,0,0,ROW()-1,60),ROW()-1,FALSE))</f>
        <v>0</v>
      </c>
      <c r="BN13">
        <f>6.006308445</f>
        <v>6.0063084450000002</v>
      </c>
      <c r="BO13">
        <f>6.762668672</f>
        <v>6.7626686720000002</v>
      </c>
      <c r="BP13">
        <f>6.830291087</f>
        <v>6.830291087</v>
      </c>
      <c r="BQ13">
        <f>6.647696992</f>
        <v>6.6476969920000002</v>
      </c>
      <c r="BR13">
        <f>13.00590405</f>
        <v>13.00590405</v>
      </c>
      <c r="BS13">
        <f>8.70212889</f>
        <v>8.7021288899999991</v>
      </c>
      <c r="BT13">
        <f>8.818638078</f>
        <v>8.8186380779999993</v>
      </c>
      <c r="BU13">
        <f>7.450299465</f>
        <v>7.4502994649999996</v>
      </c>
      <c r="BV13">
        <f>10.33337091</f>
        <v>10.333370909999999</v>
      </c>
      <c r="BW13">
        <f>10.13544018</f>
        <v>10.13544018</v>
      </c>
      <c r="BX13">
        <f>2.58973395</f>
        <v>2.5897339499999998</v>
      </c>
      <c r="BY13">
        <f>2.732590529</f>
        <v>2.7325905289999999</v>
      </c>
      <c r="BZ13">
        <f>0</f>
        <v>0</v>
      </c>
      <c r="CA13">
        <f>0</f>
        <v>0</v>
      </c>
      <c r="CB13">
        <f>0</f>
        <v>0</v>
      </c>
      <c r="CC13">
        <f>0</f>
        <v>0</v>
      </c>
      <c r="CD13">
        <f>0</f>
        <v>0</v>
      </c>
      <c r="CE13">
        <f>0</f>
        <v>0</v>
      </c>
      <c r="CF13">
        <f>0</f>
        <v>0</v>
      </c>
      <c r="CG13">
        <f>0</f>
        <v>0</v>
      </c>
      <c r="CH13">
        <f>0</f>
        <v>0</v>
      </c>
      <c r="CI13">
        <f>0</f>
        <v>0</v>
      </c>
      <c r="CJ13">
        <f>0</f>
        <v>0</v>
      </c>
      <c r="CK13">
        <f>0</f>
        <v>0</v>
      </c>
      <c r="CL13">
        <f>0</f>
        <v>0</v>
      </c>
      <c r="CM13">
        <f>0</f>
        <v>0</v>
      </c>
      <c r="CN13">
        <f>0</f>
        <v>0</v>
      </c>
      <c r="CO13">
        <f>0</f>
        <v>0</v>
      </c>
      <c r="CP13">
        <f>0</f>
        <v>0</v>
      </c>
      <c r="CQ13">
        <f>0</f>
        <v>0</v>
      </c>
      <c r="CR13">
        <f>0</f>
        <v>0</v>
      </c>
      <c r="CS13">
        <f>0</f>
        <v>0</v>
      </c>
      <c r="CT13">
        <f>0</f>
        <v>0</v>
      </c>
      <c r="CU13">
        <f>0</f>
        <v>0</v>
      </c>
      <c r="CV13">
        <f>0</f>
        <v>0</v>
      </c>
      <c r="CW13">
        <f>0</f>
        <v>0</v>
      </c>
      <c r="CX13">
        <f>0</f>
        <v>0</v>
      </c>
      <c r="CY13">
        <f>0</f>
        <v>0</v>
      </c>
      <c r="CZ13">
        <f>0</f>
        <v>0</v>
      </c>
      <c r="DA13">
        <f>0</f>
        <v>0</v>
      </c>
      <c r="DB13">
        <f>0</f>
        <v>0</v>
      </c>
      <c r="DC13">
        <f>0</f>
        <v>0</v>
      </c>
      <c r="DD13">
        <f>0</f>
        <v>0</v>
      </c>
      <c r="DE13">
        <f>0</f>
        <v>0</v>
      </c>
      <c r="DF13">
        <f>0</f>
        <v>0</v>
      </c>
      <c r="DG13">
        <f>0</f>
        <v>0</v>
      </c>
      <c r="DH13">
        <f>0</f>
        <v>0</v>
      </c>
      <c r="DI13">
        <f>0</f>
        <v>0</v>
      </c>
      <c r="DJ13">
        <f>0</f>
        <v>0</v>
      </c>
      <c r="DK13">
        <f>0</f>
        <v>0</v>
      </c>
      <c r="DL13">
        <f>0</f>
        <v>0</v>
      </c>
      <c r="DM13">
        <f>0</f>
        <v>0</v>
      </c>
      <c r="DN13">
        <f>0</f>
        <v>0</v>
      </c>
      <c r="DO13">
        <f>0</f>
        <v>0</v>
      </c>
      <c r="DP13">
        <f>0</f>
        <v>0</v>
      </c>
      <c r="DQ13">
        <f>0</f>
        <v>0</v>
      </c>
      <c r="DR13">
        <f>0</f>
        <v>0</v>
      </c>
      <c r="DS13">
        <f>0</f>
        <v>0</v>
      </c>
      <c r="DT13">
        <f>0</f>
        <v>0</v>
      </c>
      <c r="DU13">
        <f>0</f>
        <v>0</v>
      </c>
    </row>
    <row r="14" spans="1:125">
      <c r="A14" t="str">
        <f>"    Diversified REITs"</f>
        <v xml:space="preserve">    Diversified REITs</v>
      </c>
      <c r="B14" t="str">
        <f>"RECFSSDV Index"</f>
        <v>RECFSSDV Index</v>
      </c>
      <c r="C14" t="str">
        <f t="shared" si="0"/>
        <v>PR005</v>
      </c>
      <c r="D14" t="str">
        <f t="shared" si="1"/>
        <v>PX_LAST</v>
      </c>
      <c r="E14" t="str">
        <f t="shared" si="2"/>
        <v>动态</v>
      </c>
      <c r="F14">
        <f ca="1">IF(AND(ISNUMBER($F$247),$B$183=1),$F$247,HLOOKUP(INDIRECT(ADDRESS(2,COLUMN())),OFFSET($BN$2,0,0,ROW()-1,60),ROW()-1,FALSE))</f>
        <v>5.4353000319999998</v>
      </c>
      <c r="G14">
        <f ca="1">IF(AND(ISNUMBER($G$247),$B$183=1),$G$247,HLOOKUP(INDIRECT(ADDRESS(2,COLUMN())),OFFSET($BN$2,0,0,ROW()-1,60),ROW()-1,FALSE))</f>
        <v>6.9315116300000001</v>
      </c>
      <c r="H14">
        <f ca="1">IF(AND(ISNUMBER($H$247),$B$183=1),$H$247,HLOOKUP(INDIRECT(ADDRESS(2,COLUMN())),OFFSET($BN$2,0,0,ROW()-1,60),ROW()-1,FALSE))</f>
        <v>4.4562522839999996</v>
      </c>
      <c r="I14">
        <f ca="1">IF(AND(ISNUMBER($I$247),$B$183=1),$I$247,HLOOKUP(INDIRECT(ADDRESS(2,COLUMN())),OFFSET($BN$2,0,0,ROW()-1,60),ROW()-1,FALSE))</f>
        <v>6.9396253000000005E-2</v>
      </c>
      <c r="J14">
        <f ca="1">IF(AND(ISNUMBER($J$247),$B$183=1),$J$247,HLOOKUP(INDIRECT(ADDRESS(2,COLUMN())),OFFSET($BN$2,0,0,ROW()-1,60),ROW()-1,FALSE))</f>
        <v>-0.354018575</v>
      </c>
      <c r="K14">
        <f ca="1">IF(AND(ISNUMBER($K$247),$B$183=1),$K$247,HLOOKUP(INDIRECT(ADDRESS(2,COLUMN())),OFFSET($BN$2,0,0,ROW()-1,60),ROW()-1,FALSE))</f>
        <v>0.74733329400000004</v>
      </c>
      <c r="L14">
        <f ca="1">IF(AND(ISNUMBER($L$247),$B$183=1),$L$247,HLOOKUP(INDIRECT(ADDRESS(2,COLUMN())),OFFSET($BN$2,0,0,ROW()-1,60),ROW()-1,FALSE))</f>
        <v>3.5252611649999999</v>
      </c>
      <c r="M14">
        <f ca="1">IF(AND(ISNUMBER($M$247),$B$183=1),$M$247,HLOOKUP(INDIRECT(ADDRESS(2,COLUMN())),OFFSET($BN$2,0,0,ROW()-1,60),ROW()-1,FALSE))</f>
        <v>-0.59548316899999998</v>
      </c>
      <c r="N14">
        <f ca="1">IF(AND(ISNUMBER($N$247),$B$183=1),$N$247,HLOOKUP(INDIRECT(ADDRESS(2,COLUMN())),OFFSET($BN$2,0,0,ROW()-1,60),ROW()-1,FALSE))</f>
        <v>1.315317549</v>
      </c>
      <c r="O14">
        <f ca="1">IF(AND(ISNUMBER($O$247),$B$183=1),$O$247,HLOOKUP(INDIRECT(ADDRESS(2,COLUMN())),OFFSET($BN$2,0,0,ROW()-1,60),ROW()-1,FALSE))</f>
        <v>2.4989539039999999</v>
      </c>
      <c r="P14">
        <f ca="1">IF(AND(ISNUMBER($P$247),$B$183=1),$P$247,HLOOKUP(INDIRECT(ADDRESS(2,COLUMN())),OFFSET($BN$2,0,0,ROW()-1,60),ROW()-1,FALSE))</f>
        <v>2.117175155</v>
      </c>
      <c r="Q14">
        <f ca="1">IF(AND(ISNUMBER($Q$247),$B$183=1),$Q$247,HLOOKUP(INDIRECT(ADDRESS(2,COLUMN())),OFFSET($BN$2,0,0,ROW()-1,60),ROW()-1,FALSE))</f>
        <v>0.82161430300000005</v>
      </c>
      <c r="R14">
        <f ca="1">IF(AND(ISNUMBER($R$247),$B$183=1),$R$247,HLOOKUP(INDIRECT(ADDRESS(2,COLUMN())),OFFSET($BN$2,0,0,ROW()-1,60),ROW()-1,FALSE))</f>
        <v>2.5590391430000001</v>
      </c>
      <c r="S14">
        <f ca="1">IF(AND(ISNUMBER($S$247),$B$183=1),$S$247,HLOOKUP(INDIRECT(ADDRESS(2,COLUMN())),OFFSET($BN$2,0,0,ROW()-1,60),ROW()-1,FALSE))</f>
        <v>3.0249974869999998</v>
      </c>
      <c r="T14">
        <f ca="1">IF(AND(ISNUMBER($T$247),$B$183=1),$T$247,HLOOKUP(INDIRECT(ADDRESS(2,COLUMN())),OFFSET($BN$2,0,0,ROW()-1,60),ROW()-1,FALSE))</f>
        <v>-5.5200522000000002E-2</v>
      </c>
      <c r="U14">
        <f ca="1">IF(AND(ISNUMBER($U$247),$B$183=1),$U$247,HLOOKUP(INDIRECT(ADDRESS(2,COLUMN())),OFFSET($BN$2,0,0,ROW()-1,60),ROW()-1,FALSE))</f>
        <v>1.843283257</v>
      </c>
      <c r="V14">
        <f ca="1">IF(AND(ISNUMBER($V$247),$B$183=1),$V$247,HLOOKUP(INDIRECT(ADDRESS(2,COLUMN())),OFFSET($BN$2,0,0,ROW()-1,60),ROW()-1,FALSE))</f>
        <v>2.0667302040000002</v>
      </c>
      <c r="W14">
        <f ca="1">IF(AND(ISNUMBER($W$247),$B$183=1),$W$247,HLOOKUP(INDIRECT(ADDRESS(2,COLUMN())),OFFSET($BN$2,0,0,ROW()-1,60),ROW()-1,FALSE))</f>
        <v>2.6909779440000001</v>
      </c>
      <c r="X14">
        <f ca="1">IF(AND(ISNUMBER($X$247),$B$183=1),$X$247,HLOOKUP(INDIRECT(ADDRESS(2,COLUMN())),OFFSET($BN$2,0,0,ROW()-1,60),ROW()-1,FALSE))</f>
        <v>3.5526907510000001</v>
      </c>
      <c r="Y14">
        <f ca="1">IF(AND(ISNUMBER($Y$247),$B$183=1),$Y$247,HLOOKUP(INDIRECT(ADDRESS(2,COLUMN())),OFFSET($BN$2,0,0,ROW()-1,60),ROW()-1,FALSE))</f>
        <v>2.2525890990000002</v>
      </c>
      <c r="Z14">
        <f ca="1">IF(AND(ISNUMBER($Z$247),$B$183=1),$Z$247,HLOOKUP(INDIRECT(ADDRESS(2,COLUMN())),OFFSET($BN$2,0,0,ROW()-1,60),ROW()-1,FALSE))</f>
        <v>5.9072274480000004</v>
      </c>
      <c r="AA14">
        <f ca="1">IF(AND(ISNUMBER($AA$247),$B$183=1),$AA$247,HLOOKUP(INDIRECT(ADDRESS(2,COLUMN())),OFFSET($BN$2,0,0,ROW()-1,60),ROW()-1,FALSE))</f>
        <v>3.7004187329999998</v>
      </c>
      <c r="AB14">
        <f ca="1">IF(AND(ISNUMBER($AB$247),$B$183=1),$AB$247,HLOOKUP(INDIRECT(ADDRESS(2,COLUMN())),OFFSET($BN$2,0,0,ROW()-1,60),ROW()-1,FALSE))</f>
        <v>4.3340367579999999</v>
      </c>
      <c r="AC14">
        <f ca="1">IF(AND(ISNUMBER($AC$247),$B$183=1),$AC$247,HLOOKUP(INDIRECT(ADDRESS(2,COLUMN())),OFFSET($BN$2,0,0,ROW()-1,60),ROW()-1,FALSE))</f>
        <v>1.374419646</v>
      </c>
      <c r="AD14">
        <f ca="1">IF(AND(ISNUMBER($AD$247),$B$183=1),$AD$247,HLOOKUP(INDIRECT(ADDRESS(2,COLUMN())),OFFSET($BN$2,0,0,ROW()-1,60),ROW()-1,FALSE))</f>
        <v>-3.7765906889999998</v>
      </c>
      <c r="AE14">
        <f ca="1">IF(AND(ISNUMBER($AE$247),$B$183=1),$AE$247,HLOOKUP(INDIRECT(ADDRESS(2,COLUMN())),OFFSET($BN$2,0,0,ROW()-1,60),ROW()-1,FALSE))</f>
        <v>-2.4572319660000002</v>
      </c>
      <c r="AF14">
        <f ca="1">IF(AND(ISNUMBER($AF$247),$B$183=1),$AF$247,HLOOKUP(INDIRECT(ADDRESS(2,COLUMN())),OFFSET($BN$2,0,0,ROW()-1,60),ROW()-1,FALSE))</f>
        <v>-1.368786898</v>
      </c>
      <c r="AG14">
        <f ca="1">IF(AND(ISNUMBER($AG$247),$B$183=1),$AG$247,HLOOKUP(INDIRECT(ADDRESS(2,COLUMN())),OFFSET($BN$2,0,0,ROW()-1,60),ROW()-1,FALSE))</f>
        <v>1.6884562569999999</v>
      </c>
      <c r="AH14">
        <f ca="1">IF(AND(ISNUMBER($AH$247),$B$183=1),$AH$247,HLOOKUP(INDIRECT(ADDRESS(2,COLUMN())),OFFSET($BN$2,0,0,ROW()-1,60),ROW()-1,FALSE))</f>
        <v>42.72366383</v>
      </c>
      <c r="AI14">
        <f ca="1">IF(AND(ISNUMBER($AI$247),$B$183=1),$AI$247,HLOOKUP(INDIRECT(ADDRESS(2,COLUMN())),OFFSET($BN$2,0,0,ROW()-1,60),ROW()-1,FALSE))</f>
        <v>45.314417900000002</v>
      </c>
      <c r="AJ14">
        <f ca="1">IF(AND(ISNUMBER($AJ$247),$B$183=1),$AJ$247,HLOOKUP(INDIRECT(ADDRESS(2,COLUMN())),OFFSET($BN$2,0,0,ROW()-1,60),ROW()-1,FALSE))</f>
        <v>46.51447795</v>
      </c>
      <c r="AK14">
        <f ca="1">IF(AND(ISNUMBER($AK$247),$B$183=1),$AK$247,HLOOKUP(INDIRECT(ADDRESS(2,COLUMN())),OFFSET($BN$2,0,0,ROW()-1,60),ROW()-1,FALSE))</f>
        <v>-1.2657148949999999</v>
      </c>
      <c r="AL14">
        <f ca="1">IF(AND(ISNUMBER($AL$247),$B$183=1),$AL$247,HLOOKUP(INDIRECT(ADDRESS(2,COLUMN())),OFFSET($BN$2,0,0,ROW()-1,60),ROW()-1,FALSE))</f>
        <v>47.053437029999998</v>
      </c>
      <c r="AM14">
        <f ca="1">IF(AND(ISNUMBER($AM$247),$B$183=1),$AM$247,HLOOKUP(INDIRECT(ADDRESS(2,COLUMN())),OFFSET($BN$2,0,0,ROW()-1,60),ROW()-1,FALSE))</f>
        <v>48.74683864</v>
      </c>
      <c r="AN14">
        <f ca="1">IF(AND(ISNUMBER($AN$247),$B$183=1),$AN$247,HLOOKUP(INDIRECT(ADDRESS(2,COLUMN())),OFFSET($BN$2,0,0,ROW()-1,60),ROW()-1,FALSE))</f>
        <v>46.186228579999998</v>
      </c>
      <c r="AO14">
        <f ca="1">IF(AND(ISNUMBER($AO$247),$B$183=1),$AO$247,HLOOKUP(INDIRECT(ADDRESS(2,COLUMN())),OFFSET($BN$2,0,0,ROW()-1,60),ROW()-1,FALSE))</f>
        <v>-2.9088999250000001</v>
      </c>
      <c r="AP14">
        <f ca="1">IF(AND(ISNUMBER($AP$247),$B$183=1),$AP$247,HLOOKUP(INDIRECT(ADDRESS(2,COLUMN())),OFFSET($BN$2,0,0,ROW()-1,60),ROW()-1,FALSE))</f>
        <v>41.638419540000001</v>
      </c>
      <c r="AQ14">
        <f ca="1">IF(AND(ISNUMBER($AQ$247),$B$183=1),$AQ$247,HLOOKUP(INDIRECT(ADDRESS(2,COLUMN())),OFFSET($BN$2,0,0,ROW()-1,60),ROW()-1,FALSE))</f>
        <v>40.865588549999998</v>
      </c>
      <c r="AR14">
        <f ca="1">IF(AND(ISNUMBER($AR$247),$B$183=1),$AR$247,HLOOKUP(INDIRECT(ADDRESS(2,COLUMN())),OFFSET($BN$2,0,0,ROW()-1,60),ROW()-1,FALSE))</f>
        <v>6.6298746770000001</v>
      </c>
      <c r="AS14">
        <f ca="1">IF(AND(ISNUMBER($AS$247),$B$183=1),$AS$247,HLOOKUP(INDIRECT(ADDRESS(2,COLUMN())),OFFSET($BN$2,0,0,ROW()-1,60),ROW()-1,FALSE))</f>
        <v>3.8120183569999999</v>
      </c>
      <c r="AT14">
        <f ca="1">IF(AND(ISNUMBER($AT$247),$B$183=1),$AT$247,HLOOKUP(INDIRECT(ADDRESS(2,COLUMN())),OFFSET($BN$2,0,0,ROW()-1,60),ROW()-1,FALSE))</f>
        <v>46.85156061</v>
      </c>
      <c r="AU14">
        <f ca="1">IF(AND(ISNUMBER($AU$247),$B$183=1),$AU$247,HLOOKUP(INDIRECT(ADDRESS(2,COLUMN())),OFFSET($BN$2,0,0,ROW()-1,60),ROW()-1,FALSE))</f>
        <v>49.584500689999999</v>
      </c>
      <c r="AV14">
        <f ca="1">IF(AND(ISNUMBER($AV$247),$B$183=1),$AV$247,HLOOKUP(INDIRECT(ADDRESS(2,COLUMN())),OFFSET($BN$2,0,0,ROW()-1,60),ROW()-1,FALSE))</f>
        <v>55.171042559999997</v>
      </c>
      <c r="AW14">
        <f ca="1">IF(AND(ISNUMBER($AW$247),$B$183=1),$AW$247,HLOOKUP(INDIRECT(ADDRESS(2,COLUMN())),OFFSET($BN$2,0,0,ROW()-1,60),ROW()-1,FALSE))</f>
        <v>3.4693114060000001</v>
      </c>
      <c r="AX14">
        <f ca="1">IF(AND(ISNUMBER($AX$247),$B$183=1),$AX$247,HLOOKUP(INDIRECT(ADDRESS(2,COLUMN())),OFFSET($BN$2,0,0,ROW()-1,60),ROW()-1,FALSE))</f>
        <v>30.369608419999999</v>
      </c>
      <c r="AY14">
        <f ca="1">IF(AND(ISNUMBER($AY$247),$B$183=1),$AY$247,HLOOKUP(INDIRECT(ADDRESS(2,COLUMN())),OFFSET($BN$2,0,0,ROW()-1,60),ROW()-1,FALSE))</f>
        <v>30.415241229999999</v>
      </c>
      <c r="AZ14">
        <f ca="1">IF(AND(ISNUMBER($AZ$247),$B$183=1),$AZ$247,HLOOKUP(INDIRECT(ADDRESS(2,COLUMN())),OFFSET($BN$2,0,0,ROW()-1,60),ROW()-1,FALSE))</f>
        <v>38.445603560000002</v>
      </c>
      <c r="BA14">
        <f ca="1">IF(AND(ISNUMBER($BA$247),$B$183=1),$BA$247,HLOOKUP(INDIRECT(ADDRESS(2,COLUMN())),OFFSET($BN$2,0,0,ROW()-1,60),ROW()-1,FALSE))</f>
        <v>7.3123907819999996</v>
      </c>
      <c r="BB14">
        <f ca="1">IF(AND(ISNUMBER($BB$247),$B$183=1),$BB$247,HLOOKUP(INDIRECT(ADDRESS(2,COLUMN())),OFFSET($BN$2,0,0,ROW()-1,60),ROW()-1,FALSE))</f>
        <v>3.6968087710000002</v>
      </c>
      <c r="BC14">
        <f ca="1">IF(AND(ISNUMBER($BC$247),$B$183=1),$BC$247,HLOOKUP(INDIRECT(ADDRESS(2,COLUMN())),OFFSET($BN$2,0,0,ROW()-1,60),ROW()-1,FALSE))</f>
        <v>-1.5907745120000001</v>
      </c>
      <c r="BD14">
        <f ca="1">IF(AND(ISNUMBER($BD$247),$B$183=1),$BD$247,HLOOKUP(INDIRECT(ADDRESS(2,COLUMN())),OFFSET($BN$2,0,0,ROW()-1,60),ROW()-1,FALSE))</f>
        <v>-0.68555851700000003</v>
      </c>
      <c r="BE14">
        <f ca="1">IF(AND(ISNUMBER($BE$247),$B$183=1),$BE$247,HLOOKUP(INDIRECT(ADDRESS(2,COLUMN())),OFFSET($BN$2,0,0,ROW()-1,60),ROW()-1,FALSE))</f>
        <v>-2.0026876329999999</v>
      </c>
      <c r="BF14">
        <f ca="1">IF(AND(ISNUMBER($BF$247),$B$183=1),$BF$247,HLOOKUP(INDIRECT(ADDRESS(2,COLUMN())),OFFSET($BN$2,0,0,ROW()-1,60),ROW()-1,FALSE))</f>
        <v>-1.1902505590000001</v>
      </c>
      <c r="BG14">
        <f ca="1">IF(AND(ISNUMBER($BG$247),$B$183=1),$BG$247,HLOOKUP(INDIRECT(ADDRESS(2,COLUMN())),OFFSET($BN$2,0,0,ROW()-1,60),ROW()-1,FALSE))</f>
        <v>3.2243075000000003E-2</v>
      </c>
      <c r="BH14">
        <f ca="1">IF(AND(ISNUMBER($BH$247),$B$183=1),$BH$247,HLOOKUP(INDIRECT(ADDRESS(2,COLUMN())),OFFSET($BN$2,0,0,ROW()-1,60),ROW()-1,FALSE))</f>
        <v>-2.0622623610000002</v>
      </c>
      <c r="BI14">
        <f ca="1">IF(AND(ISNUMBER($BI$247),$B$183=1),$BI$247,HLOOKUP(INDIRECT(ADDRESS(2,COLUMN())),OFFSET($BN$2,0,0,ROW()-1,60),ROW()-1,FALSE))</f>
        <v>-0.85826898299999999</v>
      </c>
      <c r="BJ14">
        <f ca="1">IF(AND(ISNUMBER($BJ$247),$B$183=1),$BJ$247,HLOOKUP(INDIRECT(ADDRESS(2,COLUMN())),OFFSET($BN$2,0,0,ROW()-1,60),ROW()-1,FALSE))</f>
        <v>-0.11718258500000001</v>
      </c>
      <c r="BK14">
        <f ca="1">IF(AND(ISNUMBER($BK$247),$B$183=1),$BK$247,HLOOKUP(INDIRECT(ADDRESS(2,COLUMN())),OFFSET($BN$2,0,0,ROW()-1,60),ROW()-1,FALSE))</f>
        <v>-4.7840786849999999</v>
      </c>
      <c r="BL14">
        <f ca="1">IF(AND(ISNUMBER($BL$247),$B$183=1),$BL$247,HLOOKUP(INDIRECT(ADDRESS(2,COLUMN())),OFFSET($BN$2,0,0,ROW()-1,60),ROW()-1,FALSE))</f>
        <v>-3.9887835159999998</v>
      </c>
      <c r="BM14">
        <f ca="1">IF(AND(ISNUMBER($BM$247),$B$183=1),$BM$247,HLOOKUP(INDIRECT(ADDRESS(2,COLUMN())),OFFSET($BN$2,0,0,ROW()-1,60),ROW()-1,FALSE))</f>
        <v>-2.4039930730000001</v>
      </c>
      <c r="BN14">
        <f>5.435300032</f>
        <v>5.4353000319999998</v>
      </c>
      <c r="BO14">
        <f>6.93151163</f>
        <v>6.9315116300000001</v>
      </c>
      <c r="BP14">
        <f>4.456252284</f>
        <v>4.4562522839999996</v>
      </c>
      <c r="BQ14">
        <f>0.069396253</f>
        <v>6.9396253000000005E-2</v>
      </c>
      <c r="BR14">
        <f>-0.354018575</f>
        <v>-0.354018575</v>
      </c>
      <c r="BS14">
        <f>0.747333294</f>
        <v>0.74733329400000004</v>
      </c>
      <c r="BT14">
        <f>3.525261165</f>
        <v>3.5252611649999999</v>
      </c>
      <c r="BU14">
        <f>-0.595483169</f>
        <v>-0.59548316899999998</v>
      </c>
      <c r="BV14">
        <f>1.315317549</f>
        <v>1.315317549</v>
      </c>
      <c r="BW14">
        <f>2.498953904</f>
        <v>2.4989539039999999</v>
      </c>
      <c r="BX14">
        <f>2.117175155</f>
        <v>2.117175155</v>
      </c>
      <c r="BY14">
        <f>0.821614303</f>
        <v>0.82161430300000005</v>
      </c>
      <c r="BZ14">
        <f>2.559039143</f>
        <v>2.5590391430000001</v>
      </c>
      <c r="CA14">
        <f>3.024997487</f>
        <v>3.0249974869999998</v>
      </c>
      <c r="CB14">
        <f>-0.055200522</f>
        <v>-5.5200522000000002E-2</v>
      </c>
      <c r="CC14">
        <f>1.843283257</f>
        <v>1.843283257</v>
      </c>
      <c r="CD14">
        <f>2.066730204</f>
        <v>2.0667302040000002</v>
      </c>
      <c r="CE14">
        <f>2.690977944</f>
        <v>2.6909779440000001</v>
      </c>
      <c r="CF14">
        <f>3.552690751</f>
        <v>3.5526907510000001</v>
      </c>
      <c r="CG14">
        <f>2.252589099</f>
        <v>2.2525890990000002</v>
      </c>
      <c r="CH14">
        <f>5.907227448</f>
        <v>5.9072274480000004</v>
      </c>
      <c r="CI14">
        <f>3.700418733</f>
        <v>3.7004187329999998</v>
      </c>
      <c r="CJ14">
        <f>4.334036758</f>
        <v>4.3340367579999999</v>
      </c>
      <c r="CK14">
        <f>1.374419646</f>
        <v>1.374419646</v>
      </c>
      <c r="CL14">
        <f>-3.776590689</f>
        <v>-3.7765906889999998</v>
      </c>
      <c r="CM14">
        <f>-2.457231966</f>
        <v>-2.4572319660000002</v>
      </c>
      <c r="CN14">
        <f>-1.368786898</f>
        <v>-1.368786898</v>
      </c>
      <c r="CO14">
        <f>1.688456257</f>
        <v>1.6884562569999999</v>
      </c>
      <c r="CP14">
        <f>42.72366383</f>
        <v>42.72366383</v>
      </c>
      <c r="CQ14">
        <f>45.3144179</f>
        <v>45.314417900000002</v>
      </c>
      <c r="CR14">
        <f>46.51447795</f>
        <v>46.51447795</v>
      </c>
      <c r="CS14">
        <f>-1.265714895</f>
        <v>-1.2657148949999999</v>
      </c>
      <c r="CT14">
        <f>47.05343703</f>
        <v>47.053437029999998</v>
      </c>
      <c r="CU14">
        <f>48.74683864</f>
        <v>48.74683864</v>
      </c>
      <c r="CV14">
        <f>46.18622858</f>
        <v>46.186228579999998</v>
      </c>
      <c r="CW14">
        <f>-2.908899925</f>
        <v>-2.9088999250000001</v>
      </c>
      <c r="CX14">
        <f>41.63841954</f>
        <v>41.638419540000001</v>
      </c>
      <c r="CY14">
        <f>40.86558855</f>
        <v>40.865588549999998</v>
      </c>
      <c r="CZ14">
        <f>6.629874677</f>
        <v>6.6298746770000001</v>
      </c>
      <c r="DA14">
        <f>3.812018357</f>
        <v>3.8120183569999999</v>
      </c>
      <c r="DB14">
        <f>46.85156061</f>
        <v>46.85156061</v>
      </c>
      <c r="DC14">
        <f>49.58450069</f>
        <v>49.584500689999999</v>
      </c>
      <c r="DD14">
        <f>55.17104256</f>
        <v>55.171042559999997</v>
      </c>
      <c r="DE14">
        <f>3.469311406</f>
        <v>3.4693114060000001</v>
      </c>
      <c r="DF14">
        <f>30.36960842</f>
        <v>30.369608419999999</v>
      </c>
      <c r="DG14">
        <f>30.41524123</f>
        <v>30.415241229999999</v>
      </c>
      <c r="DH14">
        <f>38.44560356</f>
        <v>38.445603560000002</v>
      </c>
      <c r="DI14">
        <f>7.312390782</f>
        <v>7.3123907819999996</v>
      </c>
      <c r="DJ14">
        <f>3.696808771</f>
        <v>3.6968087710000002</v>
      </c>
      <c r="DK14">
        <f>-1.590774512</f>
        <v>-1.5907745120000001</v>
      </c>
      <c r="DL14">
        <f>-0.685558517</f>
        <v>-0.68555851700000003</v>
      </c>
      <c r="DM14">
        <f>-2.002687633</f>
        <v>-2.0026876329999999</v>
      </c>
      <c r="DN14">
        <f>-1.190250559</f>
        <v>-1.1902505590000001</v>
      </c>
      <c r="DO14">
        <f>0.032243075</f>
        <v>3.2243075000000003E-2</v>
      </c>
      <c r="DP14">
        <f>-2.062262361</f>
        <v>-2.0622623610000002</v>
      </c>
      <c r="DQ14">
        <f>-0.858268983</f>
        <v>-0.85826898299999999</v>
      </c>
      <c r="DR14">
        <f>-0.117182585</f>
        <v>-0.11718258500000001</v>
      </c>
      <c r="DS14">
        <f>-4.784078685</f>
        <v>-4.7840786849999999</v>
      </c>
      <c r="DT14">
        <f>-3.988783516</f>
        <v>-3.9887835159999998</v>
      </c>
      <c r="DU14">
        <f>-2.403993073</f>
        <v>-2.4039930730000001</v>
      </c>
    </row>
    <row r="15" spans="1:125">
      <c r="A15" t="str">
        <f>"    Self Storage REITs"</f>
        <v xml:space="preserve">    Self Storage REITs</v>
      </c>
      <c r="B15" t="str">
        <f>"RECFSSSS Index"</f>
        <v>RECFSSSS Index</v>
      </c>
      <c r="C15" t="str">
        <f t="shared" si="0"/>
        <v>PR005</v>
      </c>
      <c r="D15" t="str">
        <f t="shared" si="1"/>
        <v>PX_LAST</v>
      </c>
      <c r="E15" t="str">
        <f t="shared" si="2"/>
        <v>动态</v>
      </c>
      <c r="F15">
        <f ca="1">IF(AND(ISNUMBER($F$248),$B$183=1),$F$248,HLOOKUP(INDIRECT(ADDRESS(2,COLUMN())),OFFSET($BN$2,0,0,ROW()-1,60),ROW()-1,FALSE))</f>
        <v>3.1444771669999998</v>
      </c>
      <c r="G15">
        <f ca="1">IF(AND(ISNUMBER($G$248),$B$183=1),$G$248,HLOOKUP(INDIRECT(ADDRESS(2,COLUMN())),OFFSET($BN$2,0,0,ROW()-1,60),ROW()-1,FALSE))</f>
        <v>3.2630566829999998</v>
      </c>
      <c r="H15">
        <f ca="1">IF(AND(ISNUMBER($H$248),$B$183=1),$H$248,HLOOKUP(INDIRECT(ADDRESS(2,COLUMN())),OFFSET($BN$2,0,0,ROW()-1,60),ROW()-1,FALSE))</f>
        <v>3.8623140199999999</v>
      </c>
      <c r="I15">
        <f ca="1">IF(AND(ISNUMBER($I$248),$B$183=1),$I$248,HLOOKUP(INDIRECT(ADDRESS(2,COLUMN())),OFFSET($BN$2,0,0,ROW()-1,60),ROW()-1,FALSE))</f>
        <v>5.4511473060000002</v>
      </c>
      <c r="J15">
        <f ca="1">IF(AND(ISNUMBER($J$248),$B$183=1),$J$248,HLOOKUP(INDIRECT(ADDRESS(2,COLUMN())),OFFSET($BN$2,0,0,ROW()-1,60),ROW()-1,FALSE))</f>
        <v>5.975880589</v>
      </c>
      <c r="K15">
        <f ca="1">IF(AND(ISNUMBER($K$248),$B$183=1),$K$248,HLOOKUP(INDIRECT(ADDRESS(2,COLUMN())),OFFSET($BN$2,0,0,ROW()-1,60),ROW()-1,FALSE))</f>
        <v>6.060574098</v>
      </c>
      <c r="L15">
        <f ca="1">IF(AND(ISNUMBER($L$248),$B$183=1),$L$248,HLOOKUP(INDIRECT(ADDRESS(2,COLUMN())),OFFSET($BN$2,0,0,ROW()-1,60),ROW()-1,FALSE))</f>
        <v>7.7707933760000003</v>
      </c>
      <c r="M15">
        <f ca="1">IF(AND(ISNUMBER($M$248),$B$183=1),$M$248,HLOOKUP(INDIRECT(ADDRESS(2,COLUMN())),OFFSET($BN$2,0,0,ROW()-1,60),ROW()-1,FALSE))</f>
        <v>11.02214654</v>
      </c>
      <c r="N15">
        <f ca="1">IF(AND(ISNUMBER($N$248),$B$183=1),$N$248,HLOOKUP(INDIRECT(ADDRESS(2,COLUMN())),OFFSET($BN$2,0,0,ROW()-1,60),ROW()-1,FALSE))</f>
        <v>8.9629136739999993</v>
      </c>
      <c r="O15">
        <f ca="1">IF(AND(ISNUMBER($O$248),$B$183=1),$O$248,HLOOKUP(INDIRECT(ADDRESS(2,COLUMN())),OFFSET($BN$2,0,0,ROW()-1,60),ROW()-1,FALSE))</f>
        <v>9.3303355509999992</v>
      </c>
      <c r="P15">
        <f ca="1">IF(AND(ISNUMBER($P$248),$B$183=1),$P$248,HLOOKUP(INDIRECT(ADDRESS(2,COLUMN())),OFFSET($BN$2,0,0,ROW()-1,60),ROW()-1,FALSE))</f>
        <v>9.4222980179999993</v>
      </c>
      <c r="Q15">
        <f ca="1">IF(AND(ISNUMBER($Q$248),$B$183=1),$Q$248,HLOOKUP(INDIRECT(ADDRESS(2,COLUMN())),OFFSET($BN$2,0,0,ROW()-1,60),ROW()-1,FALSE))</f>
        <v>8.9566794870000006</v>
      </c>
      <c r="R15">
        <f ca="1">IF(AND(ISNUMBER($R$248),$B$183=1),$R$248,HLOOKUP(INDIRECT(ADDRESS(2,COLUMN())),OFFSET($BN$2,0,0,ROW()-1,60),ROW()-1,FALSE))</f>
        <v>7.5266118180000001</v>
      </c>
      <c r="S15">
        <f ca="1">IF(AND(ISNUMBER($S$248),$B$183=1),$S$248,HLOOKUP(INDIRECT(ADDRESS(2,COLUMN())),OFFSET($BN$2,0,0,ROW()-1,60),ROW()-1,FALSE))</f>
        <v>8.1562005109999998</v>
      </c>
      <c r="T15">
        <f ca="1">IF(AND(ISNUMBER($T$248),$B$183=1),$T$248,HLOOKUP(INDIRECT(ADDRESS(2,COLUMN())),OFFSET($BN$2,0,0,ROW()-1,60),ROW()-1,FALSE))</f>
        <v>7.9970722209999998</v>
      </c>
      <c r="U15">
        <f ca="1">IF(AND(ISNUMBER($U$248),$B$183=1),$U$248,HLOOKUP(INDIRECT(ADDRESS(2,COLUMN())),OFFSET($BN$2,0,0,ROW()-1,60),ROW()-1,FALSE))</f>
        <v>6.9196273179999999</v>
      </c>
      <c r="V15">
        <f ca="1">IF(AND(ISNUMBER($V$248),$B$183=1),$V$248,HLOOKUP(INDIRECT(ADDRESS(2,COLUMN())),OFFSET($BN$2,0,0,ROW()-1,60),ROW()-1,FALSE))</f>
        <v>8.0220418549999994</v>
      </c>
      <c r="W15">
        <f ca="1">IF(AND(ISNUMBER($W$248),$B$183=1),$W$248,HLOOKUP(INDIRECT(ADDRESS(2,COLUMN())),OFFSET($BN$2,0,0,ROW()-1,60),ROW()-1,FALSE))</f>
        <v>7.9482414160000001</v>
      </c>
      <c r="X15">
        <f ca="1">IF(AND(ISNUMBER($X$248),$B$183=1),$X$248,HLOOKUP(INDIRECT(ADDRESS(2,COLUMN())),OFFSET($BN$2,0,0,ROW()-1,60),ROW()-1,FALSE))</f>
        <v>9.4431459839999992</v>
      </c>
      <c r="Y15">
        <f ca="1">IF(AND(ISNUMBER($Y$248),$B$183=1),$Y$248,HLOOKUP(INDIRECT(ADDRESS(2,COLUMN())),OFFSET($BN$2,0,0,ROW()-1,60),ROW()-1,FALSE))</f>
        <v>9.5980894469999996</v>
      </c>
      <c r="Z15">
        <f ca="1">IF(AND(ISNUMBER($Z$248),$B$183=1),$Z$248,HLOOKUP(INDIRECT(ADDRESS(2,COLUMN())),OFFSET($BN$2,0,0,ROW()-1,60),ROW()-1,FALSE))</f>
        <v>8.9535339240000003</v>
      </c>
      <c r="AA15">
        <f ca="1">IF(AND(ISNUMBER($AA$248),$B$183=1),$AA$248,HLOOKUP(INDIRECT(ADDRESS(2,COLUMN())),OFFSET($BN$2,0,0,ROW()-1,60),ROW()-1,FALSE))</f>
        <v>8.4471832730000003</v>
      </c>
      <c r="AB15">
        <f ca="1">IF(AND(ISNUMBER($AB$248),$B$183=1),$AB$248,HLOOKUP(INDIRECT(ADDRESS(2,COLUMN())),OFFSET($BN$2,0,0,ROW()-1,60),ROW()-1,FALSE))</f>
        <v>8.2387576439999997</v>
      </c>
      <c r="AC15">
        <f ca="1">IF(AND(ISNUMBER($AC$248),$B$183=1),$AC$248,HLOOKUP(INDIRECT(ADDRESS(2,COLUMN())),OFFSET($BN$2,0,0,ROW()-1,60),ROW()-1,FALSE))</f>
        <v>7.0890824080000003</v>
      </c>
      <c r="AD15">
        <f ca="1">IF(AND(ISNUMBER($AD$248),$B$183=1),$AD$248,HLOOKUP(INDIRECT(ADDRESS(2,COLUMN())),OFFSET($BN$2,0,0,ROW()-1,60),ROW()-1,FALSE))</f>
        <v>6.2240038579999997</v>
      </c>
      <c r="AE15">
        <f ca="1">IF(AND(ISNUMBER($AE$248),$B$183=1),$AE$248,HLOOKUP(INDIRECT(ADDRESS(2,COLUMN())),OFFSET($BN$2,0,0,ROW()-1,60),ROW()-1,FALSE))</f>
        <v>8.331184275</v>
      </c>
      <c r="AF15">
        <f ca="1">IF(AND(ISNUMBER($AF$248),$B$183=1),$AF$248,HLOOKUP(INDIRECT(ADDRESS(2,COLUMN())),OFFSET($BN$2,0,0,ROW()-1,60),ROW()-1,FALSE))</f>
        <v>6.6825739840000002</v>
      </c>
      <c r="AG15">
        <f ca="1">IF(AND(ISNUMBER($AG$248),$B$183=1),$AG$248,HLOOKUP(INDIRECT(ADDRESS(2,COLUMN())),OFFSET($BN$2,0,0,ROW()-1,60),ROW()-1,FALSE))</f>
        <v>5.083480024</v>
      </c>
      <c r="AH15">
        <f ca="1">IF(AND(ISNUMBER($AH$248),$B$183=1),$AH$248,HLOOKUP(INDIRECT(ADDRESS(2,COLUMN())),OFFSET($BN$2,0,0,ROW()-1,60),ROW()-1,FALSE))</f>
        <v>4.4147238059999996</v>
      </c>
      <c r="AI15">
        <f ca="1">IF(AND(ISNUMBER($AI$248),$B$183=1),$AI$248,HLOOKUP(INDIRECT(ADDRESS(2,COLUMN())),OFFSET($BN$2,0,0,ROW()-1,60),ROW()-1,FALSE))</f>
        <v>0.99893303700000002</v>
      </c>
      <c r="AJ15">
        <f ca="1">IF(AND(ISNUMBER($AJ$248),$B$183=1),$AJ$248,HLOOKUP(INDIRECT(ADDRESS(2,COLUMN())),OFFSET($BN$2,0,0,ROW()-1,60),ROW()-1,FALSE))</f>
        <v>-0.68369603999999995</v>
      </c>
      <c r="AK15">
        <f ca="1">IF(AND(ISNUMBER($AK$248),$B$183=1),$AK$248,HLOOKUP(INDIRECT(ADDRESS(2,COLUMN())),OFFSET($BN$2,0,0,ROW()-1,60),ROW()-1,FALSE))</f>
        <v>-2.7249652059999998</v>
      </c>
      <c r="AL15">
        <f ca="1">IF(AND(ISNUMBER($AL$248),$B$183=1),$AL$248,HLOOKUP(INDIRECT(ADDRESS(2,COLUMN())),OFFSET($BN$2,0,0,ROW()-1,60),ROW()-1,FALSE))</f>
        <v>-4.2756119669999997</v>
      </c>
      <c r="AM15">
        <f ca="1">IF(AND(ISNUMBER($AM$248),$B$183=1),$AM$248,HLOOKUP(INDIRECT(ADDRESS(2,COLUMN())),OFFSET($BN$2,0,0,ROW()-1,60),ROW()-1,FALSE))</f>
        <v>-5.7656736899999999</v>
      </c>
      <c r="AN15">
        <f ca="1">IF(AND(ISNUMBER($AN$248),$B$183=1),$AN$248,HLOOKUP(INDIRECT(ADDRESS(2,COLUMN())),OFFSET($BN$2,0,0,ROW()-1,60),ROW()-1,FALSE))</f>
        <v>-3.9992564929999999</v>
      </c>
      <c r="AO15">
        <f ca="1">IF(AND(ISNUMBER($AO$248),$B$183=1),$AO$248,HLOOKUP(INDIRECT(ADDRESS(2,COLUMN())),OFFSET($BN$2,0,0,ROW()-1,60),ROW()-1,FALSE))</f>
        <v>-1.586413125</v>
      </c>
      <c r="AP15">
        <f ca="1">IF(AND(ISNUMBER($AP$248),$B$183=1),$AP$248,HLOOKUP(INDIRECT(ADDRESS(2,COLUMN())),OFFSET($BN$2,0,0,ROW()-1,60),ROW()-1,FALSE))</f>
        <v>2.7564201380000002</v>
      </c>
      <c r="AQ15">
        <f ca="1">IF(AND(ISNUMBER($AQ$248),$B$183=1),$AQ$248,HLOOKUP(INDIRECT(ADDRESS(2,COLUMN())),OFFSET($BN$2,0,0,ROW()-1,60),ROW()-1,FALSE))</f>
        <v>3.2765053069999999</v>
      </c>
      <c r="AR15">
        <f ca="1">IF(AND(ISNUMBER($AR$248),$B$183=1),$AR$248,HLOOKUP(INDIRECT(ADDRESS(2,COLUMN())),OFFSET($BN$2,0,0,ROW()-1,60),ROW()-1,FALSE))</f>
        <v>3.4510842230000001</v>
      </c>
      <c r="AS15">
        <f ca="1">IF(AND(ISNUMBER($AS$248),$B$183=1),$AS$248,HLOOKUP(INDIRECT(ADDRESS(2,COLUMN())),OFFSET($BN$2,0,0,ROW()-1,60),ROW()-1,FALSE))</f>
        <v>1.842383318</v>
      </c>
      <c r="AT15">
        <f ca="1">IF(AND(ISNUMBER($AT$248),$B$183=1),$AT$248,HLOOKUP(INDIRECT(ADDRESS(2,COLUMN())),OFFSET($BN$2,0,0,ROW()-1,60),ROW()-1,FALSE))</f>
        <v>5.1434311580000003</v>
      </c>
      <c r="AU15">
        <f ca="1">IF(AND(ISNUMBER($AU$248),$B$183=1),$AU$248,HLOOKUP(INDIRECT(ADDRESS(2,COLUMN())),OFFSET($BN$2,0,0,ROW()-1,60),ROW()-1,FALSE))</f>
        <v>2.241348618</v>
      </c>
      <c r="AV15">
        <f ca="1">IF(AND(ISNUMBER($AV$248),$B$183=1),$AV$248,HLOOKUP(INDIRECT(ADDRESS(2,COLUMN())),OFFSET($BN$2,0,0,ROW()-1,60),ROW()-1,FALSE))</f>
        <v>1.872510482</v>
      </c>
      <c r="AW15">
        <f ca="1">IF(AND(ISNUMBER($AW$248),$B$183=1),$AW$248,HLOOKUP(INDIRECT(ADDRESS(2,COLUMN())),OFFSET($BN$2,0,0,ROW()-1,60),ROW()-1,FALSE))</f>
        <v>2.9599535690000001</v>
      </c>
      <c r="AX15">
        <f ca="1">IF(AND(ISNUMBER($AX$248),$B$183=1),$AX$248,HLOOKUP(INDIRECT(ADDRESS(2,COLUMN())),OFFSET($BN$2,0,0,ROW()-1,60),ROW()-1,FALSE))</f>
        <v>2.4842778399999998</v>
      </c>
      <c r="AY15">
        <f ca="1">IF(AND(ISNUMBER($AY$248),$B$183=1),$AY$248,HLOOKUP(INDIRECT(ADDRESS(2,COLUMN())),OFFSET($BN$2,0,0,ROW()-1,60),ROW()-1,FALSE))</f>
        <v>5.3460928900000004</v>
      </c>
      <c r="AZ15">
        <f ca="1">IF(AND(ISNUMBER($AZ$248),$B$183=1),$AZ$248,HLOOKUP(INDIRECT(ADDRESS(2,COLUMN())),OFFSET($BN$2,0,0,ROW()-1,60),ROW()-1,FALSE))</f>
        <v>6.9350540580000004</v>
      </c>
      <c r="BA15">
        <f ca="1">IF(AND(ISNUMBER($BA$248),$B$183=1),$BA$248,HLOOKUP(INDIRECT(ADDRESS(2,COLUMN())),OFFSET($BN$2,0,0,ROW()-1,60),ROW()-1,FALSE))</f>
        <v>8.7080709249999995</v>
      </c>
      <c r="BB15">
        <f ca="1">IF(AND(ISNUMBER($BB$248),$B$183=1),$BB$248,HLOOKUP(INDIRECT(ADDRESS(2,COLUMN())),OFFSET($BN$2,0,0,ROW()-1,60),ROW()-1,FALSE))</f>
        <v>9.1932489890000006</v>
      </c>
      <c r="BC15">
        <f ca="1">IF(AND(ISNUMBER($BC$248),$B$183=1),$BC$248,HLOOKUP(INDIRECT(ADDRESS(2,COLUMN())),OFFSET($BN$2,0,0,ROW()-1,60),ROW()-1,FALSE))</f>
        <v>7.161527939</v>
      </c>
      <c r="BD15">
        <f ca="1">IF(AND(ISNUMBER($BD$248),$B$183=1),$BD$248,HLOOKUP(INDIRECT(ADDRESS(2,COLUMN())),OFFSET($BN$2,0,0,ROW()-1,60),ROW()-1,FALSE))</f>
        <v>7.3145800080000001</v>
      </c>
      <c r="BE15">
        <f ca="1">IF(AND(ISNUMBER($BE$248),$B$183=1),$BE$248,HLOOKUP(INDIRECT(ADDRESS(2,COLUMN())),OFFSET($BN$2,0,0,ROW()-1,60),ROW()-1,FALSE))</f>
        <v>6.390663945</v>
      </c>
      <c r="BF15">
        <f ca="1">IF(AND(ISNUMBER($BF$248),$B$183=1),$BF$248,HLOOKUP(INDIRECT(ADDRESS(2,COLUMN())),OFFSET($BN$2,0,0,ROW()-1,60),ROW()-1,FALSE))</f>
        <v>6.2193501749999998</v>
      </c>
      <c r="BG15">
        <f ca="1">IF(AND(ISNUMBER($BG$248),$B$183=1),$BG$248,HLOOKUP(INDIRECT(ADDRESS(2,COLUMN())),OFFSET($BN$2,0,0,ROW()-1,60),ROW()-1,FALSE))</f>
        <v>5.1653817929999999</v>
      </c>
      <c r="BH15">
        <f ca="1">IF(AND(ISNUMBER($BH$248),$B$183=1),$BH$248,HLOOKUP(INDIRECT(ADDRESS(2,COLUMN())),OFFSET($BN$2,0,0,ROW()-1,60),ROW()-1,FALSE))</f>
        <v>6.7841558260000001</v>
      </c>
      <c r="BI15">
        <f ca="1">IF(AND(ISNUMBER($BI$248),$B$183=1),$BI$248,HLOOKUP(INDIRECT(ADDRESS(2,COLUMN())),OFFSET($BN$2,0,0,ROW()-1,60),ROW()-1,FALSE))</f>
        <v>4.5324196099999998</v>
      </c>
      <c r="BJ15">
        <f ca="1">IF(AND(ISNUMBER($BJ$248),$B$183=1),$BJ$248,HLOOKUP(INDIRECT(ADDRESS(2,COLUMN())),OFFSET($BN$2,0,0,ROW()-1,60),ROW()-1,FALSE))</f>
        <v>5.698919761</v>
      </c>
      <c r="BK15">
        <f ca="1">IF(AND(ISNUMBER($BK$248),$B$183=1),$BK$248,HLOOKUP(INDIRECT(ADDRESS(2,COLUMN())),OFFSET($BN$2,0,0,ROW()-1,60),ROW()-1,FALSE))</f>
        <v>0.45320447600000002</v>
      </c>
      <c r="BL15">
        <f ca="1">IF(AND(ISNUMBER($BL$248),$B$183=1),$BL$248,HLOOKUP(INDIRECT(ADDRESS(2,COLUMN())),OFFSET($BN$2,0,0,ROW()-1,60),ROW()-1,FALSE))</f>
        <v>-2.1534075239999999</v>
      </c>
      <c r="BM15">
        <f ca="1">IF(AND(ISNUMBER($BM$248),$B$183=1),$BM$248,HLOOKUP(INDIRECT(ADDRESS(2,COLUMN())),OFFSET($BN$2,0,0,ROW()-1,60),ROW()-1,FALSE))</f>
        <v>-4.2544466119999997</v>
      </c>
      <c r="BN15">
        <f>3.144477167</f>
        <v>3.1444771669999998</v>
      </c>
      <c r="BO15">
        <f>3.263056683</f>
        <v>3.2630566829999998</v>
      </c>
      <c r="BP15">
        <f>3.86231402</f>
        <v>3.8623140199999999</v>
      </c>
      <c r="BQ15">
        <f>5.451147306</f>
        <v>5.4511473060000002</v>
      </c>
      <c r="BR15">
        <f>5.975880589</f>
        <v>5.975880589</v>
      </c>
      <c r="BS15">
        <f>6.060574098</f>
        <v>6.060574098</v>
      </c>
      <c r="BT15">
        <f>7.770793376</f>
        <v>7.7707933760000003</v>
      </c>
      <c r="BU15">
        <f>11.02214654</f>
        <v>11.02214654</v>
      </c>
      <c r="BV15">
        <f>8.962913674</f>
        <v>8.9629136739999993</v>
      </c>
      <c r="BW15">
        <f>9.330335551</f>
        <v>9.3303355509999992</v>
      </c>
      <c r="BX15">
        <f>9.422298018</f>
        <v>9.4222980179999993</v>
      </c>
      <c r="BY15">
        <f>8.956679487</f>
        <v>8.9566794870000006</v>
      </c>
      <c r="BZ15">
        <f>7.526611818</f>
        <v>7.5266118180000001</v>
      </c>
      <c r="CA15">
        <f>8.156200511</f>
        <v>8.1562005109999998</v>
      </c>
      <c r="CB15">
        <f>7.997072221</f>
        <v>7.9970722209999998</v>
      </c>
      <c r="CC15">
        <f>6.919627318</f>
        <v>6.9196273179999999</v>
      </c>
      <c r="CD15">
        <f>8.022041855</f>
        <v>8.0220418549999994</v>
      </c>
      <c r="CE15">
        <f>7.948241416</f>
        <v>7.9482414160000001</v>
      </c>
      <c r="CF15">
        <f>9.443145984</f>
        <v>9.4431459839999992</v>
      </c>
      <c r="CG15">
        <f>9.598089447</f>
        <v>9.5980894469999996</v>
      </c>
      <c r="CH15">
        <f>8.953533924</f>
        <v>8.9535339240000003</v>
      </c>
      <c r="CI15">
        <f>8.447183273</f>
        <v>8.4471832730000003</v>
      </c>
      <c r="CJ15">
        <f>8.238757644</f>
        <v>8.2387576439999997</v>
      </c>
      <c r="CK15">
        <f>7.089082408</f>
        <v>7.0890824080000003</v>
      </c>
      <c r="CL15">
        <f>6.224003858</f>
        <v>6.2240038579999997</v>
      </c>
      <c r="CM15">
        <f>8.331184275</f>
        <v>8.331184275</v>
      </c>
      <c r="CN15">
        <f>6.682573984</f>
        <v>6.6825739840000002</v>
      </c>
      <c r="CO15">
        <f>5.083480024</f>
        <v>5.083480024</v>
      </c>
      <c r="CP15">
        <f>4.414723806</f>
        <v>4.4147238059999996</v>
      </c>
      <c r="CQ15">
        <f>0.998933037</f>
        <v>0.99893303700000002</v>
      </c>
      <c r="CR15">
        <f>-0.68369604</f>
        <v>-0.68369603999999995</v>
      </c>
      <c r="CS15">
        <f>-2.724965206</f>
        <v>-2.7249652059999998</v>
      </c>
      <c r="CT15">
        <f>-4.275611967</f>
        <v>-4.2756119669999997</v>
      </c>
      <c r="CU15">
        <f>-5.76567369</f>
        <v>-5.7656736899999999</v>
      </c>
      <c r="CV15">
        <f>-3.999256493</f>
        <v>-3.9992564929999999</v>
      </c>
      <c r="CW15">
        <f>-1.586413125</f>
        <v>-1.586413125</v>
      </c>
      <c r="CX15">
        <f>2.756420138</f>
        <v>2.7564201380000002</v>
      </c>
      <c r="CY15">
        <f>3.276505307</f>
        <v>3.2765053069999999</v>
      </c>
      <c r="CZ15">
        <f>3.451084223</f>
        <v>3.4510842230000001</v>
      </c>
      <c r="DA15">
        <f>1.842383318</f>
        <v>1.842383318</v>
      </c>
      <c r="DB15">
        <f>5.143431158</f>
        <v>5.1434311580000003</v>
      </c>
      <c r="DC15">
        <f>2.241348618</f>
        <v>2.241348618</v>
      </c>
      <c r="DD15">
        <f>1.872510482</f>
        <v>1.872510482</v>
      </c>
      <c r="DE15">
        <f>2.959953569</f>
        <v>2.9599535690000001</v>
      </c>
      <c r="DF15">
        <f>2.48427784</f>
        <v>2.4842778399999998</v>
      </c>
      <c r="DG15">
        <f>5.34609289</f>
        <v>5.3460928900000004</v>
      </c>
      <c r="DH15">
        <f>6.935054058</f>
        <v>6.9350540580000004</v>
      </c>
      <c r="DI15">
        <f>8.708070925</f>
        <v>8.7080709249999995</v>
      </c>
      <c r="DJ15">
        <f>9.193248989</f>
        <v>9.1932489890000006</v>
      </c>
      <c r="DK15">
        <f>7.161527939</f>
        <v>7.161527939</v>
      </c>
      <c r="DL15">
        <f>7.314580008</f>
        <v>7.3145800080000001</v>
      </c>
      <c r="DM15">
        <f>6.390663945</f>
        <v>6.390663945</v>
      </c>
      <c r="DN15">
        <f>6.219350175</f>
        <v>6.2193501749999998</v>
      </c>
      <c r="DO15">
        <f>5.165381793</f>
        <v>5.1653817929999999</v>
      </c>
      <c r="DP15">
        <f>6.784155826</f>
        <v>6.7841558260000001</v>
      </c>
      <c r="DQ15">
        <f>4.53241961</f>
        <v>4.5324196099999998</v>
      </c>
      <c r="DR15">
        <f>5.698919761</f>
        <v>5.698919761</v>
      </c>
      <c r="DS15">
        <f>0.453204476</f>
        <v>0.45320447600000002</v>
      </c>
      <c r="DT15">
        <f>-2.153407524</f>
        <v>-2.1534075239999999</v>
      </c>
      <c r="DU15">
        <f>-4.254446612</f>
        <v>-4.2544466119999997</v>
      </c>
    </row>
    <row r="16" spans="1:125">
      <c r="A16" t="str">
        <f>"    Health Care REITs"</f>
        <v xml:space="preserve">    Health Care REITs</v>
      </c>
      <c r="B16" t="str">
        <f>"RECFSSHC Index"</f>
        <v>RECFSSHC Index</v>
      </c>
      <c r="C16" t="str">
        <f t="shared" si="0"/>
        <v>PR005</v>
      </c>
      <c r="D16" t="str">
        <f t="shared" si="1"/>
        <v>PX_LAST</v>
      </c>
      <c r="E16" t="str">
        <f t="shared" si="2"/>
        <v>动态</v>
      </c>
      <c r="F16">
        <f ca="1">IF(AND(ISNUMBER($F$249),$B$183=1),$F$249,HLOOKUP(INDIRECT(ADDRESS(2,COLUMN())),OFFSET($BN$2,0,0,ROW()-1,60),ROW()-1,FALSE))</f>
        <v>2.0788181259999998</v>
      </c>
      <c r="G16">
        <f ca="1">IF(AND(ISNUMBER($G$249),$B$183=1),$G$249,HLOOKUP(INDIRECT(ADDRESS(2,COLUMN())),OFFSET($BN$2,0,0,ROW()-1,60),ROW()-1,FALSE))</f>
        <v>1.9553645589999999</v>
      </c>
      <c r="H16">
        <f ca="1">IF(AND(ISNUMBER($H$249),$B$183=1),$H$249,HLOOKUP(INDIRECT(ADDRESS(2,COLUMN())),OFFSET($BN$2,0,0,ROW()-1,60),ROW()-1,FALSE))</f>
        <v>1.8331075509999999</v>
      </c>
      <c r="I16">
        <f ca="1">IF(AND(ISNUMBER($I$249),$B$183=1),$I$249,HLOOKUP(INDIRECT(ADDRESS(2,COLUMN())),OFFSET($BN$2,0,0,ROW()-1,60),ROW()-1,FALSE))</f>
        <v>2.6336127349999998</v>
      </c>
      <c r="J16">
        <f ca="1">IF(AND(ISNUMBER($J$249),$B$183=1),$J$249,HLOOKUP(INDIRECT(ADDRESS(2,COLUMN())),OFFSET($BN$2,0,0,ROW()-1,60),ROW()-1,FALSE))</f>
        <v>2.3077531819999999</v>
      </c>
      <c r="K16">
        <f ca="1">IF(AND(ISNUMBER($K$249),$B$183=1),$K$249,HLOOKUP(INDIRECT(ADDRESS(2,COLUMN())),OFFSET($BN$2,0,0,ROW()-1,60),ROW()-1,FALSE))</f>
        <v>2.4916117010000001</v>
      </c>
      <c r="L16">
        <f ca="1">IF(AND(ISNUMBER($L$249),$B$183=1),$L$249,HLOOKUP(INDIRECT(ADDRESS(2,COLUMN())),OFFSET($BN$2,0,0,ROW()-1,60),ROW()-1,FALSE))</f>
        <v>3.2355277999999998</v>
      </c>
      <c r="M16">
        <f ca="1">IF(AND(ISNUMBER($M$249),$B$183=1),$M$249,HLOOKUP(INDIRECT(ADDRESS(2,COLUMN())),OFFSET($BN$2,0,0,ROW()-1,60),ROW()-1,FALSE))</f>
        <v>1.6954389240000001</v>
      </c>
      <c r="N16">
        <f ca="1">IF(AND(ISNUMBER($N$249),$B$183=1),$N$249,HLOOKUP(INDIRECT(ADDRESS(2,COLUMN())),OFFSET($BN$2,0,0,ROW()-1,60),ROW()-1,FALSE))</f>
        <v>1.2561532950000001</v>
      </c>
      <c r="O16">
        <f ca="1">IF(AND(ISNUMBER($O$249),$B$183=1),$O$249,HLOOKUP(INDIRECT(ADDRESS(2,COLUMN())),OFFSET($BN$2,0,0,ROW()-1,60),ROW()-1,FALSE))</f>
        <v>1.970905804</v>
      </c>
      <c r="P16">
        <f ca="1">IF(AND(ISNUMBER($P$249),$B$183=1),$P$249,HLOOKUP(INDIRECT(ADDRESS(2,COLUMN())),OFFSET($BN$2,0,0,ROW()-1,60),ROW()-1,FALSE))</f>
        <v>1.537237915</v>
      </c>
      <c r="Q16">
        <f ca="1">IF(AND(ISNUMBER($Q$249),$B$183=1),$Q$249,HLOOKUP(INDIRECT(ADDRESS(2,COLUMN())),OFFSET($BN$2,0,0,ROW()-1,60),ROW()-1,FALSE))</f>
        <v>3.1382668119999999</v>
      </c>
      <c r="R16">
        <f ca="1">IF(AND(ISNUMBER($R$249),$B$183=1),$R$249,HLOOKUP(INDIRECT(ADDRESS(2,COLUMN())),OFFSET($BN$2,0,0,ROW()-1,60),ROW()-1,FALSE))</f>
        <v>3.3944676139999999</v>
      </c>
      <c r="S16">
        <f ca="1">IF(AND(ISNUMBER($S$249),$B$183=1),$S$249,HLOOKUP(INDIRECT(ADDRESS(2,COLUMN())),OFFSET($BN$2,0,0,ROW()-1,60),ROW()-1,FALSE))</f>
        <v>3.5435120850000001</v>
      </c>
      <c r="T16">
        <f ca="1">IF(AND(ISNUMBER($T$249),$B$183=1),$T$249,HLOOKUP(INDIRECT(ADDRESS(2,COLUMN())),OFFSET($BN$2,0,0,ROW()-1,60),ROW()-1,FALSE))</f>
        <v>3.5840971800000001</v>
      </c>
      <c r="U16">
        <f ca="1">IF(AND(ISNUMBER($U$249),$B$183=1),$U$249,HLOOKUP(INDIRECT(ADDRESS(2,COLUMN())),OFFSET($BN$2,0,0,ROW()-1,60),ROW()-1,FALSE))</f>
        <v>3.725343826</v>
      </c>
      <c r="V16">
        <f ca="1">IF(AND(ISNUMBER($V$249),$B$183=1),$V$249,HLOOKUP(INDIRECT(ADDRESS(2,COLUMN())),OFFSET($BN$2,0,0,ROW()-1,60),ROW()-1,FALSE))</f>
        <v>3.457972405</v>
      </c>
      <c r="W16">
        <f ca="1">IF(AND(ISNUMBER($W$249),$B$183=1),$W$249,HLOOKUP(INDIRECT(ADDRESS(2,COLUMN())),OFFSET($BN$2,0,0,ROW()-1,60),ROW()-1,FALSE))</f>
        <v>3.3590902909999998</v>
      </c>
      <c r="X16">
        <f ca="1">IF(AND(ISNUMBER($X$249),$B$183=1),$X$249,HLOOKUP(INDIRECT(ADDRESS(2,COLUMN())),OFFSET($BN$2,0,0,ROW()-1,60),ROW()-1,FALSE))</f>
        <v>3.0166877140000001</v>
      </c>
      <c r="Y16">
        <f ca="1">IF(AND(ISNUMBER($Y$249),$B$183=1),$Y$249,HLOOKUP(INDIRECT(ADDRESS(2,COLUMN())),OFFSET($BN$2,0,0,ROW()-1,60),ROW()-1,FALSE))</f>
        <v>2.554338644</v>
      </c>
      <c r="Z16">
        <f ca="1">IF(AND(ISNUMBER($Z$249),$B$183=1),$Z$249,HLOOKUP(INDIRECT(ADDRESS(2,COLUMN())),OFFSET($BN$2,0,0,ROW()-1,60),ROW()-1,FALSE))</f>
        <v>4.0625595040000002</v>
      </c>
      <c r="AA16">
        <f ca="1">IF(AND(ISNUMBER($AA$249),$B$183=1),$AA$249,HLOOKUP(INDIRECT(ADDRESS(2,COLUMN())),OFFSET($BN$2,0,0,ROW()-1,60),ROW()-1,FALSE))</f>
        <v>3.598590459</v>
      </c>
      <c r="AB16">
        <f ca="1">IF(AND(ISNUMBER($AB$249),$B$183=1),$AB$249,HLOOKUP(INDIRECT(ADDRESS(2,COLUMN())),OFFSET($BN$2,0,0,ROW()-1,60),ROW()-1,FALSE))</f>
        <v>2.9983022880000001</v>
      </c>
      <c r="AC16">
        <f ca="1">IF(AND(ISNUMBER($AC$249),$B$183=1),$AC$249,HLOOKUP(INDIRECT(ADDRESS(2,COLUMN())),OFFSET($BN$2,0,0,ROW()-1,60),ROW()-1,FALSE))</f>
        <v>4.107885392</v>
      </c>
      <c r="AD16">
        <f ca="1">IF(AND(ISNUMBER($AD$249),$B$183=1),$AD$249,HLOOKUP(INDIRECT(ADDRESS(2,COLUMN())),OFFSET($BN$2,0,0,ROW()-1,60),ROW()-1,FALSE))</f>
        <v>2.9506705759999998</v>
      </c>
      <c r="AE16">
        <f ca="1">IF(AND(ISNUMBER($AE$249),$B$183=1),$AE$249,HLOOKUP(INDIRECT(ADDRESS(2,COLUMN())),OFFSET($BN$2,0,0,ROW()-1,60),ROW()-1,FALSE))</f>
        <v>3.718062465</v>
      </c>
      <c r="AF16">
        <f ca="1">IF(AND(ISNUMBER($AF$249),$B$183=1),$AF$249,HLOOKUP(INDIRECT(ADDRESS(2,COLUMN())),OFFSET($BN$2,0,0,ROW()-1,60),ROW()-1,FALSE))</f>
        <v>3.258686435</v>
      </c>
      <c r="AG16">
        <f ca="1">IF(AND(ISNUMBER($AG$249),$B$183=1),$AG$249,HLOOKUP(INDIRECT(ADDRESS(2,COLUMN())),OFFSET($BN$2,0,0,ROW()-1,60),ROW()-1,FALSE))</f>
        <v>4.7056443889999997</v>
      </c>
      <c r="AH16">
        <f ca="1">IF(AND(ISNUMBER($AH$249),$B$183=1),$AH$249,HLOOKUP(INDIRECT(ADDRESS(2,COLUMN())),OFFSET($BN$2,0,0,ROW()-1,60),ROW()-1,FALSE))</f>
        <v>5.6141905650000004</v>
      </c>
      <c r="AI16">
        <f ca="1">IF(AND(ISNUMBER($AI$249),$B$183=1),$AI$249,HLOOKUP(INDIRECT(ADDRESS(2,COLUMN())),OFFSET($BN$2,0,0,ROW()-1,60),ROW()-1,FALSE))</f>
        <v>5.1655843859999999</v>
      </c>
      <c r="AJ16">
        <f ca="1">IF(AND(ISNUMBER($AJ$249),$B$183=1),$AJ$249,HLOOKUP(INDIRECT(ADDRESS(2,COLUMN())),OFFSET($BN$2,0,0,ROW()-1,60),ROW()-1,FALSE))</f>
        <v>5.7038993170000003</v>
      </c>
      <c r="AK16">
        <f ca="1">IF(AND(ISNUMBER($AK$249),$B$183=1),$AK$249,HLOOKUP(INDIRECT(ADDRESS(2,COLUMN())),OFFSET($BN$2,0,0,ROW()-1,60),ROW()-1,FALSE))</f>
        <v>3.7130456519999999</v>
      </c>
      <c r="AL16">
        <f ca="1">IF(AND(ISNUMBER($AL$249),$B$183=1),$AL$249,HLOOKUP(INDIRECT(ADDRESS(2,COLUMN())),OFFSET($BN$2,0,0,ROW()-1,60),ROW()-1,FALSE))</f>
        <v>2.2978087600000001</v>
      </c>
      <c r="AM16">
        <f ca="1">IF(AND(ISNUMBER($AM$249),$B$183=1),$AM$249,HLOOKUP(INDIRECT(ADDRESS(2,COLUMN())),OFFSET($BN$2,0,0,ROW()-1,60),ROW()-1,FALSE))</f>
        <v>3.3280920909999998</v>
      </c>
      <c r="AN16">
        <f ca="1">IF(AND(ISNUMBER($AN$249),$B$183=1),$AN$249,HLOOKUP(INDIRECT(ADDRESS(2,COLUMN())),OFFSET($BN$2,0,0,ROW()-1,60),ROW()-1,FALSE))</f>
        <v>4.6756319619999998</v>
      </c>
      <c r="AO16">
        <f ca="1">IF(AND(ISNUMBER($AO$249),$B$183=1),$AO$249,HLOOKUP(INDIRECT(ADDRESS(2,COLUMN())),OFFSET($BN$2,0,0,ROW()-1,60),ROW()-1,FALSE))</f>
        <v>2.9697423590000001</v>
      </c>
      <c r="AP16">
        <f ca="1">IF(AND(ISNUMBER($AP$249),$B$183=1),$AP$249,HLOOKUP(INDIRECT(ADDRESS(2,COLUMN())),OFFSET($BN$2,0,0,ROW()-1,60),ROW()-1,FALSE))</f>
        <v>0</v>
      </c>
      <c r="AQ16">
        <f ca="1">IF(AND(ISNUMBER($AQ$249),$B$183=1),$AQ$249,HLOOKUP(INDIRECT(ADDRESS(2,COLUMN())),OFFSET($BN$2,0,0,ROW()-1,60),ROW()-1,FALSE))</f>
        <v>0</v>
      </c>
      <c r="AR16">
        <f ca="1">IF(AND(ISNUMBER($AR$249),$B$183=1),$AR$249,HLOOKUP(INDIRECT(ADDRESS(2,COLUMN())),OFFSET($BN$2,0,0,ROW()-1,60),ROW()-1,FALSE))</f>
        <v>0</v>
      </c>
      <c r="AS16">
        <f ca="1">IF(AND(ISNUMBER($AS$249),$B$183=1),$AS$249,HLOOKUP(INDIRECT(ADDRESS(2,COLUMN())),OFFSET($BN$2,0,0,ROW()-1,60),ROW()-1,FALSE))</f>
        <v>2.3259606719999999</v>
      </c>
      <c r="AT16">
        <f ca="1">IF(AND(ISNUMBER($AT$249),$B$183=1),$AT$249,HLOOKUP(INDIRECT(ADDRESS(2,COLUMN())),OFFSET($BN$2,0,0,ROW()-1,60),ROW()-1,FALSE))</f>
        <v>0</v>
      </c>
      <c r="AU16">
        <f ca="1">IF(AND(ISNUMBER($AU$249),$B$183=1),$AU$249,HLOOKUP(INDIRECT(ADDRESS(2,COLUMN())),OFFSET($BN$2,0,0,ROW()-1,60),ROW()-1,FALSE))</f>
        <v>0</v>
      </c>
      <c r="AV16">
        <f ca="1">IF(AND(ISNUMBER($AV$249),$B$183=1),$AV$249,HLOOKUP(INDIRECT(ADDRESS(2,COLUMN())),OFFSET($BN$2,0,0,ROW()-1,60),ROW()-1,FALSE))</f>
        <v>0</v>
      </c>
      <c r="AW16">
        <f ca="1">IF(AND(ISNUMBER($AW$249),$B$183=1),$AW$249,HLOOKUP(INDIRECT(ADDRESS(2,COLUMN())),OFFSET($BN$2,0,0,ROW()-1,60),ROW()-1,FALSE))</f>
        <v>3.433277479</v>
      </c>
      <c r="AX16">
        <f ca="1">IF(AND(ISNUMBER($AX$249),$B$183=1),$AX$249,HLOOKUP(INDIRECT(ADDRESS(2,COLUMN())),OFFSET($BN$2,0,0,ROW()-1,60),ROW()-1,FALSE))</f>
        <v>0</v>
      </c>
      <c r="AY16">
        <f ca="1">IF(AND(ISNUMBER($AY$249),$B$183=1),$AY$249,HLOOKUP(INDIRECT(ADDRESS(2,COLUMN())),OFFSET($BN$2,0,0,ROW()-1,60),ROW()-1,FALSE))</f>
        <v>0</v>
      </c>
      <c r="AZ16">
        <f ca="1">IF(AND(ISNUMBER($AZ$249),$B$183=1),$AZ$249,HLOOKUP(INDIRECT(ADDRESS(2,COLUMN())),OFFSET($BN$2,0,0,ROW()-1,60),ROW()-1,FALSE))</f>
        <v>0</v>
      </c>
      <c r="BA16">
        <f ca="1">IF(AND(ISNUMBER($BA$249),$B$183=1),$BA$249,HLOOKUP(INDIRECT(ADDRESS(2,COLUMN())),OFFSET($BN$2,0,0,ROW()-1,60),ROW()-1,FALSE))</f>
        <v>1.7399090939999999</v>
      </c>
      <c r="BB16">
        <f ca="1">IF(AND(ISNUMBER($BB$249),$B$183=1),$BB$249,HLOOKUP(INDIRECT(ADDRESS(2,COLUMN())),OFFSET($BN$2,0,0,ROW()-1,60),ROW()-1,FALSE))</f>
        <v>0</v>
      </c>
      <c r="BC16">
        <f ca="1">IF(AND(ISNUMBER($BC$249),$B$183=1),$BC$249,HLOOKUP(INDIRECT(ADDRESS(2,COLUMN())),OFFSET($BN$2,0,0,ROW()-1,60),ROW()-1,FALSE))</f>
        <v>0</v>
      </c>
      <c r="BD16">
        <f ca="1">IF(AND(ISNUMBER($BD$249),$B$183=1),$BD$249,HLOOKUP(INDIRECT(ADDRESS(2,COLUMN())),OFFSET($BN$2,0,0,ROW()-1,60),ROW()-1,FALSE))</f>
        <v>0</v>
      </c>
      <c r="BE16">
        <f ca="1">IF(AND(ISNUMBER($BE$249),$B$183=1),$BE$249,HLOOKUP(INDIRECT(ADDRESS(2,COLUMN())),OFFSET($BN$2,0,0,ROW()-1,60),ROW()-1,FALSE))</f>
        <v>0</v>
      </c>
      <c r="BF16">
        <f ca="1">IF(AND(ISNUMBER($BF$249),$B$183=1),$BF$249,HLOOKUP(INDIRECT(ADDRESS(2,COLUMN())),OFFSET($BN$2,0,0,ROW()-1,60),ROW()-1,FALSE))</f>
        <v>0</v>
      </c>
      <c r="BG16">
        <f ca="1">IF(AND(ISNUMBER($BG$249),$B$183=1),$BG$249,HLOOKUP(INDIRECT(ADDRESS(2,COLUMN())),OFFSET($BN$2,0,0,ROW()-1,60),ROW()-1,FALSE))</f>
        <v>0</v>
      </c>
      <c r="BH16">
        <f ca="1">IF(AND(ISNUMBER($BH$249),$B$183=1),$BH$249,HLOOKUP(INDIRECT(ADDRESS(2,COLUMN())),OFFSET($BN$2,0,0,ROW()-1,60),ROW()-1,FALSE))</f>
        <v>0</v>
      </c>
      <c r="BI16">
        <f ca="1">IF(AND(ISNUMBER($BI$249),$B$183=1),$BI$249,HLOOKUP(INDIRECT(ADDRESS(2,COLUMN())),OFFSET($BN$2,0,0,ROW()-1,60),ROW()-1,FALSE))</f>
        <v>0</v>
      </c>
      <c r="BJ16">
        <f ca="1">IF(AND(ISNUMBER($BJ$249),$B$183=1),$BJ$249,HLOOKUP(INDIRECT(ADDRESS(2,COLUMN())),OFFSET($BN$2,0,0,ROW()-1,60),ROW()-1,FALSE))</f>
        <v>0</v>
      </c>
      <c r="BK16">
        <f ca="1">IF(AND(ISNUMBER($BK$249),$B$183=1),$BK$249,HLOOKUP(INDIRECT(ADDRESS(2,COLUMN())),OFFSET($BN$2,0,0,ROW()-1,60),ROW()-1,FALSE))</f>
        <v>0</v>
      </c>
      <c r="BL16">
        <f ca="1">IF(AND(ISNUMBER($BL$249),$B$183=1),$BL$249,HLOOKUP(INDIRECT(ADDRESS(2,COLUMN())),OFFSET($BN$2,0,0,ROW()-1,60),ROW()-1,FALSE))</f>
        <v>0</v>
      </c>
      <c r="BM16">
        <f ca="1">IF(AND(ISNUMBER($BM$249),$B$183=1),$BM$249,HLOOKUP(INDIRECT(ADDRESS(2,COLUMN())),OFFSET($BN$2,0,0,ROW()-1,60),ROW()-1,FALSE))</f>
        <v>0</v>
      </c>
      <c r="BN16">
        <f>2.078818126</f>
        <v>2.0788181259999998</v>
      </c>
      <c r="BO16">
        <f>1.955364559</f>
        <v>1.9553645589999999</v>
      </c>
      <c r="BP16">
        <f>1.833107551</f>
        <v>1.8331075509999999</v>
      </c>
      <c r="BQ16">
        <f>2.633612735</f>
        <v>2.6336127349999998</v>
      </c>
      <c r="BR16">
        <f>2.307753182</f>
        <v>2.3077531819999999</v>
      </c>
      <c r="BS16">
        <f>2.491611701</f>
        <v>2.4916117010000001</v>
      </c>
      <c r="BT16">
        <f>3.2355278</f>
        <v>3.2355277999999998</v>
      </c>
      <c r="BU16">
        <f>1.695438924</f>
        <v>1.6954389240000001</v>
      </c>
      <c r="BV16">
        <f>1.256153295</f>
        <v>1.2561532950000001</v>
      </c>
      <c r="BW16">
        <f>1.970905804</f>
        <v>1.970905804</v>
      </c>
      <c r="BX16">
        <f>1.537237915</f>
        <v>1.537237915</v>
      </c>
      <c r="BY16">
        <f>3.138266812</f>
        <v>3.1382668119999999</v>
      </c>
      <c r="BZ16">
        <f>3.394467614</f>
        <v>3.3944676139999999</v>
      </c>
      <c r="CA16">
        <f>3.543512085</f>
        <v>3.5435120850000001</v>
      </c>
      <c r="CB16">
        <f>3.58409718</f>
        <v>3.5840971800000001</v>
      </c>
      <c r="CC16">
        <f>3.725343826</f>
        <v>3.725343826</v>
      </c>
      <c r="CD16">
        <f>3.457972405</f>
        <v>3.457972405</v>
      </c>
      <c r="CE16">
        <f>3.359090291</f>
        <v>3.3590902909999998</v>
      </c>
      <c r="CF16">
        <f>3.016687714</f>
        <v>3.0166877140000001</v>
      </c>
      <c r="CG16">
        <f>2.554338644</f>
        <v>2.554338644</v>
      </c>
      <c r="CH16">
        <f>4.062559504</f>
        <v>4.0625595040000002</v>
      </c>
      <c r="CI16">
        <f>3.598590459</f>
        <v>3.598590459</v>
      </c>
      <c r="CJ16">
        <f>2.998302288</f>
        <v>2.9983022880000001</v>
      </c>
      <c r="CK16">
        <f>4.107885392</f>
        <v>4.107885392</v>
      </c>
      <c r="CL16">
        <f>2.950670576</f>
        <v>2.9506705759999998</v>
      </c>
      <c r="CM16">
        <f>3.718062465</f>
        <v>3.718062465</v>
      </c>
      <c r="CN16">
        <f>3.258686435</f>
        <v>3.258686435</v>
      </c>
      <c r="CO16">
        <f>4.705644389</f>
        <v>4.7056443889999997</v>
      </c>
      <c r="CP16">
        <f>5.614190565</f>
        <v>5.6141905650000004</v>
      </c>
      <c r="CQ16">
        <f>5.165584386</f>
        <v>5.1655843859999999</v>
      </c>
      <c r="CR16">
        <f>5.703899317</f>
        <v>5.7038993170000003</v>
      </c>
      <c r="CS16">
        <f>3.713045652</f>
        <v>3.7130456519999999</v>
      </c>
      <c r="CT16">
        <f>2.29780876</f>
        <v>2.2978087600000001</v>
      </c>
      <c r="CU16">
        <f>3.328092091</f>
        <v>3.3280920909999998</v>
      </c>
      <c r="CV16">
        <f>4.675631962</f>
        <v>4.6756319619999998</v>
      </c>
      <c r="CW16">
        <f>2.969742359</f>
        <v>2.9697423590000001</v>
      </c>
      <c r="CX16">
        <f>0</f>
        <v>0</v>
      </c>
      <c r="CY16">
        <f>0</f>
        <v>0</v>
      </c>
      <c r="CZ16">
        <f>0</f>
        <v>0</v>
      </c>
      <c r="DA16">
        <f>2.325960672</f>
        <v>2.3259606719999999</v>
      </c>
      <c r="DB16">
        <f>0</f>
        <v>0</v>
      </c>
      <c r="DC16">
        <f>0</f>
        <v>0</v>
      </c>
      <c r="DD16">
        <f>0</f>
        <v>0</v>
      </c>
      <c r="DE16">
        <f>3.433277479</f>
        <v>3.433277479</v>
      </c>
      <c r="DF16">
        <f>0</f>
        <v>0</v>
      </c>
      <c r="DG16">
        <f>0</f>
        <v>0</v>
      </c>
      <c r="DH16">
        <f>0</f>
        <v>0</v>
      </c>
      <c r="DI16">
        <f>1.739909094</f>
        <v>1.7399090939999999</v>
      </c>
      <c r="DJ16">
        <f>0</f>
        <v>0</v>
      </c>
      <c r="DK16">
        <f>0</f>
        <v>0</v>
      </c>
      <c r="DL16">
        <f>0</f>
        <v>0</v>
      </c>
      <c r="DM16">
        <f>0</f>
        <v>0</v>
      </c>
      <c r="DN16">
        <f>0</f>
        <v>0</v>
      </c>
      <c r="DO16">
        <f>0</f>
        <v>0</v>
      </c>
      <c r="DP16">
        <f>0</f>
        <v>0</v>
      </c>
      <c r="DQ16">
        <f>0</f>
        <v>0</v>
      </c>
      <c r="DR16">
        <f>0</f>
        <v>0</v>
      </c>
      <c r="DS16">
        <f>0</f>
        <v>0</v>
      </c>
      <c r="DT16">
        <f>0</f>
        <v>0</v>
      </c>
      <c r="DU16">
        <f>0</f>
        <v>0</v>
      </c>
    </row>
    <row r="17" spans="1:125">
      <c r="A17" t="str">
        <f>"    Data Center REITs"</f>
        <v xml:space="preserve">    Data Center REITs</v>
      </c>
      <c r="B17" t="str">
        <f>"RECFSSDC Index"</f>
        <v>RECFSSDC Index</v>
      </c>
      <c r="C17" t="str">
        <f t="shared" si="0"/>
        <v>PR005</v>
      </c>
      <c r="D17" t="str">
        <f t="shared" si="1"/>
        <v>PX_LAST</v>
      </c>
      <c r="E17" t="str">
        <f t="shared" si="2"/>
        <v>动态</v>
      </c>
      <c r="F17">
        <f ca="1">IF(AND(ISNUMBER($F$250),$B$183=1),$F$250,HLOOKUP(INDIRECT(ADDRESS(2,COLUMN())),OFFSET($BN$2,0,0,ROW()-1,60),ROW()-1,FALSE))</f>
        <v>2.0695687700000001</v>
      </c>
      <c r="G17">
        <f ca="1">IF(AND(ISNUMBER($G$250),$B$183=1),$G$250,HLOOKUP(INDIRECT(ADDRESS(2,COLUMN())),OFFSET($BN$2,0,0,ROW()-1,60),ROW()-1,FALSE))</f>
        <v>4.1626957640000004</v>
      </c>
      <c r="H17">
        <f ca="1">IF(AND(ISNUMBER($H$250),$B$183=1),$H$250,HLOOKUP(INDIRECT(ADDRESS(2,COLUMN())),OFFSET($BN$2,0,0,ROW()-1,60),ROW()-1,FALSE))</f>
        <v>5.7574372739999999</v>
      </c>
      <c r="I17">
        <f ca="1">IF(AND(ISNUMBER($I$250),$B$183=1),$I$250,HLOOKUP(INDIRECT(ADDRESS(2,COLUMN())),OFFSET($BN$2,0,0,ROW()-1,60),ROW()-1,FALSE))</f>
        <v>8.0152150899999999</v>
      </c>
      <c r="J17">
        <f ca="1">IF(AND(ISNUMBER($J$250),$B$183=1),$J$250,HLOOKUP(INDIRECT(ADDRESS(2,COLUMN())),OFFSET($BN$2,0,0,ROW()-1,60),ROW()-1,FALSE))</f>
        <v>5.2489190729999997</v>
      </c>
      <c r="K17">
        <f ca="1">IF(AND(ISNUMBER($K$250),$B$183=1),$K$250,HLOOKUP(INDIRECT(ADDRESS(2,COLUMN())),OFFSET($BN$2,0,0,ROW()-1,60),ROW()-1,FALSE))</f>
        <v>4.5095004799999998</v>
      </c>
      <c r="L17">
        <f ca="1">IF(AND(ISNUMBER($L$250),$B$183=1),$L$250,HLOOKUP(INDIRECT(ADDRESS(2,COLUMN())),OFFSET($BN$2,0,0,ROW()-1,60),ROW()-1,FALSE))</f>
        <v>7.1979277770000003</v>
      </c>
      <c r="M17">
        <f ca="1">IF(AND(ISNUMBER($M$250),$B$183=1),$M$250,HLOOKUP(INDIRECT(ADDRESS(2,COLUMN())),OFFSET($BN$2,0,0,ROW()-1,60),ROW()-1,FALSE))</f>
        <v>6.3137934260000002</v>
      </c>
      <c r="N17">
        <f ca="1">IF(AND(ISNUMBER($N$250),$B$183=1),$N$250,HLOOKUP(INDIRECT(ADDRESS(2,COLUMN())),OFFSET($BN$2,0,0,ROW()-1,60),ROW()-1,FALSE))</f>
        <v>3.973795859</v>
      </c>
      <c r="O17">
        <f ca="1">IF(AND(ISNUMBER($O$250),$B$183=1),$O$250,HLOOKUP(INDIRECT(ADDRESS(2,COLUMN())),OFFSET($BN$2,0,0,ROW()-1,60),ROW()-1,FALSE))</f>
        <v>5.7409270660000002</v>
      </c>
      <c r="P17">
        <f ca="1">IF(AND(ISNUMBER($P$250),$B$183=1),$P$250,HLOOKUP(INDIRECT(ADDRESS(2,COLUMN())),OFFSET($BN$2,0,0,ROW()-1,60),ROW()-1,FALSE))</f>
        <v>5.3747123700000001</v>
      </c>
      <c r="Q17">
        <f ca="1">IF(AND(ISNUMBER($Q$250),$B$183=1),$Q$250,HLOOKUP(INDIRECT(ADDRESS(2,COLUMN())),OFFSET($BN$2,0,0,ROW()-1,60),ROW()-1,FALSE))</f>
        <v>6.3150458199999999</v>
      </c>
      <c r="R17">
        <f ca="1">IF(AND(ISNUMBER($R$250),$B$183=1),$R$250,HLOOKUP(INDIRECT(ADDRESS(2,COLUMN())),OFFSET($BN$2,0,0,ROW()-1,60),ROW()-1,FALSE))</f>
        <v>11.21359064</v>
      </c>
      <c r="S17">
        <f ca="1">IF(AND(ISNUMBER($S$250),$B$183=1),$S$250,HLOOKUP(INDIRECT(ADDRESS(2,COLUMN())),OFFSET($BN$2,0,0,ROW()-1,60),ROW()-1,FALSE))</f>
        <v>13.636901959999999</v>
      </c>
      <c r="T17">
        <f ca="1">IF(AND(ISNUMBER($T$250),$B$183=1),$T$250,HLOOKUP(INDIRECT(ADDRESS(2,COLUMN())),OFFSET($BN$2,0,0,ROW()-1,60),ROW()-1,FALSE))</f>
        <v>11.56334485</v>
      </c>
      <c r="U17">
        <f ca="1">IF(AND(ISNUMBER($U$250),$B$183=1),$U$250,HLOOKUP(INDIRECT(ADDRESS(2,COLUMN())),OFFSET($BN$2,0,0,ROW()-1,60),ROW()-1,FALSE))</f>
        <v>10.70225329</v>
      </c>
      <c r="V17">
        <f ca="1">IF(AND(ISNUMBER($V$250),$B$183=1),$V$250,HLOOKUP(INDIRECT(ADDRESS(2,COLUMN())),OFFSET($BN$2,0,0,ROW()-1,60),ROW()-1,FALSE))</f>
        <v>12.22483463</v>
      </c>
      <c r="W17">
        <f ca="1">IF(AND(ISNUMBER($W$250),$B$183=1),$W$250,HLOOKUP(INDIRECT(ADDRESS(2,COLUMN())),OFFSET($BN$2,0,0,ROW()-1,60),ROW()-1,FALSE))</f>
        <v>7.1068024400000001</v>
      </c>
      <c r="X17">
        <f ca="1">IF(AND(ISNUMBER($X$250),$B$183=1),$X$250,HLOOKUP(INDIRECT(ADDRESS(2,COLUMN())),OFFSET($BN$2,0,0,ROW()-1,60),ROW()-1,FALSE))</f>
        <v>9.4937895900000004</v>
      </c>
      <c r="Y17">
        <f ca="1">IF(AND(ISNUMBER($Y$250),$B$183=1),$Y$250,HLOOKUP(INDIRECT(ADDRESS(2,COLUMN())),OFFSET($BN$2,0,0,ROW()-1,60),ROW()-1,FALSE))</f>
        <v>6.5733113669999996</v>
      </c>
      <c r="Z17">
        <f ca="1">IF(AND(ISNUMBER($Z$250),$B$183=1),$Z$250,HLOOKUP(INDIRECT(ADDRESS(2,COLUMN())),OFFSET($BN$2,0,0,ROW()-1,60),ROW()-1,FALSE))</f>
        <v>3.4737193309999999</v>
      </c>
      <c r="AA17">
        <f ca="1">IF(AND(ISNUMBER($AA$250),$B$183=1),$AA$250,HLOOKUP(INDIRECT(ADDRESS(2,COLUMN())),OFFSET($BN$2,0,0,ROW()-1,60),ROW()-1,FALSE))</f>
        <v>7.6454105569999999</v>
      </c>
      <c r="AB17">
        <f ca="1">IF(AND(ISNUMBER($AB$250),$B$183=1),$AB$250,HLOOKUP(INDIRECT(ADDRESS(2,COLUMN())),OFFSET($BN$2,0,0,ROW()-1,60),ROW()-1,FALSE))</f>
        <v>7.927266393</v>
      </c>
      <c r="AC17">
        <f ca="1">IF(AND(ISNUMBER($AC$250),$B$183=1),$AC$250,HLOOKUP(INDIRECT(ADDRESS(2,COLUMN())),OFFSET($BN$2,0,0,ROW()-1,60),ROW()-1,FALSE))</f>
        <v>8.4383743990000006</v>
      </c>
      <c r="AD17">
        <f ca="1">IF(AND(ISNUMBER($AD$250),$B$183=1),$AD$250,HLOOKUP(INDIRECT(ADDRESS(2,COLUMN())),OFFSET($BN$2,0,0,ROW()-1,60),ROW()-1,FALSE))</f>
        <v>6.1145603499999996</v>
      </c>
      <c r="AE17">
        <f ca="1">IF(AND(ISNUMBER($AE$250),$B$183=1),$AE$250,HLOOKUP(INDIRECT(ADDRESS(2,COLUMN())),OFFSET($BN$2,0,0,ROW()-1,60),ROW()-1,FALSE))</f>
        <v>9.7546873709999993</v>
      </c>
      <c r="AF17">
        <f ca="1">IF(AND(ISNUMBER($AF$250),$B$183=1),$AF$250,HLOOKUP(INDIRECT(ADDRESS(2,COLUMN())),OFFSET($BN$2,0,0,ROW()-1,60),ROW()-1,FALSE))</f>
        <v>10.229850860000001</v>
      </c>
      <c r="AG17">
        <f ca="1">IF(AND(ISNUMBER($AG$250),$B$183=1),$AG$250,HLOOKUP(INDIRECT(ADDRESS(2,COLUMN())),OFFSET($BN$2,0,0,ROW()-1,60),ROW()-1,FALSE))</f>
        <v>10.215110429999999</v>
      </c>
      <c r="AH17">
        <f ca="1">IF(AND(ISNUMBER($AH$250),$B$183=1),$AH$250,HLOOKUP(INDIRECT(ADDRESS(2,COLUMN())),OFFSET($BN$2,0,0,ROW()-1,60),ROW()-1,FALSE))</f>
        <v>12.038579390000001</v>
      </c>
      <c r="AI17">
        <f ca="1">IF(AND(ISNUMBER($AI$250),$B$183=1),$AI$250,HLOOKUP(INDIRECT(ADDRESS(2,COLUMN())),OFFSET($BN$2,0,0,ROW()-1,60),ROW()-1,FALSE))</f>
        <v>10.014456279999999</v>
      </c>
      <c r="AJ17">
        <f ca="1">IF(AND(ISNUMBER($AJ$250),$B$183=1),$AJ$250,HLOOKUP(INDIRECT(ADDRESS(2,COLUMN())),OFFSET($BN$2,0,0,ROW()-1,60),ROW()-1,FALSE))</f>
        <v>15.516056730000001</v>
      </c>
      <c r="AK17">
        <f ca="1">IF(AND(ISNUMBER($AK$250),$B$183=1),$AK$250,HLOOKUP(INDIRECT(ADDRESS(2,COLUMN())),OFFSET($BN$2,0,0,ROW()-1,60),ROW()-1,FALSE))</f>
        <v>21.818777369999999</v>
      </c>
      <c r="AL17">
        <f ca="1">IF(AND(ISNUMBER($AL$250),$B$183=1),$AL$250,HLOOKUP(INDIRECT(ADDRESS(2,COLUMN())),OFFSET($BN$2,0,0,ROW()-1,60),ROW()-1,FALSE))</f>
        <v>19.511655439999998</v>
      </c>
      <c r="AM17">
        <f ca="1">IF(AND(ISNUMBER($AM$250),$B$183=1),$AM$250,HLOOKUP(INDIRECT(ADDRESS(2,COLUMN())),OFFSET($BN$2,0,0,ROW()-1,60),ROW()-1,FALSE))</f>
        <v>28.61720996</v>
      </c>
      <c r="AN17">
        <f ca="1">IF(AND(ISNUMBER($AN$250),$B$183=1),$AN$250,HLOOKUP(INDIRECT(ADDRESS(2,COLUMN())),OFFSET($BN$2,0,0,ROW()-1,60),ROW()-1,FALSE))</f>
        <v>28.2717475</v>
      </c>
      <c r="AO17">
        <f ca="1">IF(AND(ISNUMBER($AO$250),$B$183=1),$AO$250,HLOOKUP(INDIRECT(ADDRESS(2,COLUMN())),OFFSET($BN$2,0,0,ROW()-1,60),ROW()-1,FALSE))</f>
        <v>28.12177222</v>
      </c>
      <c r="AP17">
        <f ca="1">IF(AND(ISNUMBER($AP$250),$B$183=1),$AP$250,HLOOKUP(INDIRECT(ADDRESS(2,COLUMN())),OFFSET($BN$2,0,0,ROW()-1,60),ROW()-1,FALSE))</f>
        <v>23.676570210000001</v>
      </c>
      <c r="AQ17">
        <f ca="1">IF(AND(ISNUMBER($AQ$250),$B$183=1),$AQ$250,HLOOKUP(INDIRECT(ADDRESS(2,COLUMN())),OFFSET($BN$2,0,0,ROW()-1,60),ROW()-1,FALSE))</f>
        <v>15.201365969999999</v>
      </c>
      <c r="AR17">
        <f ca="1">IF(AND(ISNUMBER($AR$250),$B$183=1),$AR$250,HLOOKUP(INDIRECT(ADDRESS(2,COLUMN())),OFFSET($BN$2,0,0,ROW()-1,60),ROW()-1,FALSE))</f>
        <v>16.363942430000002</v>
      </c>
      <c r="AS17">
        <f ca="1">IF(AND(ISNUMBER($AS$250),$B$183=1),$AS$250,HLOOKUP(INDIRECT(ADDRESS(2,COLUMN())),OFFSET($BN$2,0,0,ROW()-1,60),ROW()-1,FALSE))</f>
        <v>17.2815534</v>
      </c>
      <c r="AT17">
        <f ca="1">IF(AND(ISNUMBER($AT$250),$B$183=1),$AT$250,HLOOKUP(INDIRECT(ADDRESS(2,COLUMN())),OFFSET($BN$2,0,0,ROW()-1,60),ROW()-1,FALSE))</f>
        <v>13.910761150000001</v>
      </c>
      <c r="AU17">
        <f ca="1">IF(AND(ISNUMBER($AU$250),$B$183=1),$AU$250,HLOOKUP(INDIRECT(ADDRESS(2,COLUMN())),OFFSET($BN$2,0,0,ROW()-1,60),ROW()-1,FALSE))</f>
        <v>14.606741570000001</v>
      </c>
      <c r="AV17">
        <f ca="1">IF(AND(ISNUMBER($AV$250),$B$183=1),$AV$250,HLOOKUP(INDIRECT(ADDRESS(2,COLUMN())),OFFSET($BN$2,0,0,ROW()-1,60),ROW()-1,FALSE))</f>
        <v>16.27877106</v>
      </c>
      <c r="AW17">
        <f ca="1">IF(AND(ISNUMBER($AW$250),$B$183=1),$AW$250,HLOOKUP(INDIRECT(ADDRESS(2,COLUMN())),OFFSET($BN$2,0,0,ROW()-1,60),ROW()-1,FALSE))</f>
        <v>15.44463</v>
      </c>
      <c r="AX17">
        <f ca="1">IF(AND(ISNUMBER($AX$250),$B$183=1),$AX$250,HLOOKUP(INDIRECT(ADDRESS(2,COLUMN())),OFFSET($BN$2,0,0,ROW()-1,60),ROW()-1,FALSE))</f>
        <v>15.463605019999999</v>
      </c>
      <c r="AY17">
        <f ca="1">IF(AND(ISNUMBER($AY$250),$B$183=1),$AY$250,HLOOKUP(INDIRECT(ADDRESS(2,COLUMN())),OFFSET($BN$2,0,0,ROW()-1,60),ROW()-1,FALSE))</f>
        <v>9.6107604450000004</v>
      </c>
      <c r="AZ17">
        <f ca="1">IF(AND(ISNUMBER($AZ$250),$B$183=1),$AZ$250,HLOOKUP(INDIRECT(ADDRESS(2,COLUMN())),OFFSET($BN$2,0,0,ROW()-1,60),ROW()-1,FALSE))</f>
        <v>7.3445479120000003</v>
      </c>
      <c r="BA17">
        <f ca="1">IF(AND(ISNUMBER($BA$250),$B$183=1),$BA$250,HLOOKUP(INDIRECT(ADDRESS(2,COLUMN())),OFFSET($BN$2,0,0,ROW()-1,60),ROW()-1,FALSE))</f>
        <v>0.46582128699999997</v>
      </c>
      <c r="BB17">
        <f ca="1">IF(AND(ISNUMBER($BB$250),$B$183=1),$BB$250,HLOOKUP(INDIRECT(ADDRESS(2,COLUMN())),OFFSET($BN$2,0,0,ROW()-1,60),ROW()-1,FALSE))</f>
        <v>0</v>
      </c>
      <c r="BC17">
        <f ca="1">IF(AND(ISNUMBER($BC$250),$B$183=1),$BC$250,HLOOKUP(INDIRECT(ADDRESS(2,COLUMN())),OFFSET($BN$2,0,0,ROW()-1,60),ROW()-1,FALSE))</f>
        <v>0</v>
      </c>
      <c r="BD17">
        <f ca="1">IF(AND(ISNUMBER($BD$250),$B$183=1),$BD$250,HLOOKUP(INDIRECT(ADDRESS(2,COLUMN())),OFFSET($BN$2,0,0,ROW()-1,60),ROW()-1,FALSE))</f>
        <v>0</v>
      </c>
      <c r="BE17">
        <f ca="1">IF(AND(ISNUMBER($BE$250),$B$183=1),$BE$250,HLOOKUP(INDIRECT(ADDRESS(2,COLUMN())),OFFSET($BN$2,0,0,ROW()-1,60),ROW()-1,FALSE))</f>
        <v>0</v>
      </c>
      <c r="BF17">
        <f ca="1">IF(AND(ISNUMBER($BF$250),$B$183=1),$BF$250,HLOOKUP(INDIRECT(ADDRESS(2,COLUMN())),OFFSET($BN$2,0,0,ROW()-1,60),ROW()-1,FALSE))</f>
        <v>0</v>
      </c>
      <c r="BG17">
        <f ca="1">IF(AND(ISNUMBER($BG$250),$B$183=1),$BG$250,HLOOKUP(INDIRECT(ADDRESS(2,COLUMN())),OFFSET($BN$2,0,0,ROW()-1,60),ROW()-1,FALSE))</f>
        <v>0</v>
      </c>
      <c r="BH17">
        <f ca="1">IF(AND(ISNUMBER($BH$250),$B$183=1),$BH$250,HLOOKUP(INDIRECT(ADDRESS(2,COLUMN())),OFFSET($BN$2,0,0,ROW()-1,60),ROW()-1,FALSE))</f>
        <v>0</v>
      </c>
      <c r="BI17">
        <f ca="1">IF(AND(ISNUMBER($BI$250),$B$183=1),$BI$250,HLOOKUP(INDIRECT(ADDRESS(2,COLUMN())),OFFSET($BN$2,0,0,ROW()-1,60),ROW()-1,FALSE))</f>
        <v>0</v>
      </c>
      <c r="BJ17">
        <f ca="1">IF(AND(ISNUMBER($BJ$250),$B$183=1),$BJ$250,HLOOKUP(INDIRECT(ADDRESS(2,COLUMN())),OFFSET($BN$2,0,0,ROW()-1,60),ROW()-1,FALSE))</f>
        <v>0</v>
      </c>
      <c r="BK17">
        <f ca="1">IF(AND(ISNUMBER($BK$250),$B$183=1),$BK$250,HLOOKUP(INDIRECT(ADDRESS(2,COLUMN())),OFFSET($BN$2,0,0,ROW()-1,60),ROW()-1,FALSE))</f>
        <v>0</v>
      </c>
      <c r="BL17">
        <f ca="1">IF(AND(ISNUMBER($BL$250),$B$183=1),$BL$250,HLOOKUP(INDIRECT(ADDRESS(2,COLUMN())),OFFSET($BN$2,0,0,ROW()-1,60),ROW()-1,FALSE))</f>
        <v>0</v>
      </c>
      <c r="BM17">
        <f ca="1">IF(AND(ISNUMBER($BM$250),$B$183=1),$BM$250,HLOOKUP(INDIRECT(ADDRESS(2,COLUMN())),OFFSET($BN$2,0,0,ROW()-1,60),ROW()-1,FALSE))</f>
        <v>0</v>
      </c>
      <c r="BN17">
        <f>2.06956877</f>
        <v>2.0695687700000001</v>
      </c>
      <c r="BO17">
        <f>4.162695764</f>
        <v>4.1626957640000004</v>
      </c>
      <c r="BP17">
        <f>5.757437274</f>
        <v>5.7574372739999999</v>
      </c>
      <c r="BQ17">
        <f>8.01521509</f>
        <v>8.0152150899999999</v>
      </c>
      <c r="BR17">
        <f>5.248919073</f>
        <v>5.2489190729999997</v>
      </c>
      <c r="BS17">
        <f>4.50950048</f>
        <v>4.5095004799999998</v>
      </c>
      <c r="BT17">
        <f>7.197927777</f>
        <v>7.1979277770000003</v>
      </c>
      <c r="BU17">
        <f>6.313793426</f>
        <v>6.3137934260000002</v>
      </c>
      <c r="BV17">
        <f>3.973795859</f>
        <v>3.973795859</v>
      </c>
      <c r="BW17">
        <f>5.740927066</f>
        <v>5.7409270660000002</v>
      </c>
      <c r="BX17">
        <f>5.37471237</f>
        <v>5.3747123700000001</v>
      </c>
      <c r="BY17">
        <f>6.31504582</f>
        <v>6.3150458199999999</v>
      </c>
      <c r="BZ17">
        <f>11.21359064</f>
        <v>11.21359064</v>
      </c>
      <c r="CA17">
        <f>13.63690196</f>
        <v>13.636901959999999</v>
      </c>
      <c r="CB17">
        <f>11.56334485</f>
        <v>11.56334485</v>
      </c>
      <c r="CC17">
        <f>10.70225329</f>
        <v>10.70225329</v>
      </c>
      <c r="CD17">
        <f>12.22483463</f>
        <v>12.22483463</v>
      </c>
      <c r="CE17">
        <f>7.10680244</f>
        <v>7.1068024400000001</v>
      </c>
      <c r="CF17">
        <f>9.49378959</f>
        <v>9.4937895900000004</v>
      </c>
      <c r="CG17">
        <f>6.573311367</f>
        <v>6.5733113669999996</v>
      </c>
      <c r="CH17">
        <f>3.473719331</f>
        <v>3.4737193309999999</v>
      </c>
      <c r="CI17">
        <f>7.645410557</f>
        <v>7.6454105569999999</v>
      </c>
      <c r="CJ17">
        <f>7.927266393</f>
        <v>7.927266393</v>
      </c>
      <c r="CK17">
        <f>8.438374399</f>
        <v>8.4383743990000006</v>
      </c>
      <c r="CL17">
        <f>6.11456035</f>
        <v>6.1145603499999996</v>
      </c>
      <c r="CM17">
        <f>9.754687371</f>
        <v>9.7546873709999993</v>
      </c>
      <c r="CN17">
        <f>10.22985086</f>
        <v>10.229850860000001</v>
      </c>
      <c r="CO17">
        <f>10.21511043</f>
        <v>10.215110429999999</v>
      </c>
      <c r="CP17">
        <f>12.03857939</f>
        <v>12.038579390000001</v>
      </c>
      <c r="CQ17">
        <f>10.01445628</f>
        <v>10.014456279999999</v>
      </c>
      <c r="CR17">
        <f>15.51605673</f>
        <v>15.516056730000001</v>
      </c>
      <c r="CS17">
        <f>21.81877737</f>
        <v>21.818777369999999</v>
      </c>
      <c r="CT17">
        <f>19.51165544</f>
        <v>19.511655439999998</v>
      </c>
      <c r="CU17">
        <f>28.61720996</f>
        <v>28.61720996</v>
      </c>
      <c r="CV17">
        <f>28.2717475</f>
        <v>28.2717475</v>
      </c>
      <c r="CW17">
        <f>28.12177222</f>
        <v>28.12177222</v>
      </c>
      <c r="CX17">
        <f>23.67657021</f>
        <v>23.676570210000001</v>
      </c>
      <c r="CY17">
        <f>15.20136597</f>
        <v>15.201365969999999</v>
      </c>
      <c r="CZ17">
        <f>16.36394243</f>
        <v>16.363942430000002</v>
      </c>
      <c r="DA17">
        <f>17.2815534</f>
        <v>17.2815534</v>
      </c>
      <c r="DB17">
        <f>13.91076115</f>
        <v>13.910761150000001</v>
      </c>
      <c r="DC17">
        <f>14.60674157</f>
        <v>14.606741570000001</v>
      </c>
      <c r="DD17">
        <f>16.27877106</f>
        <v>16.27877106</v>
      </c>
      <c r="DE17">
        <f>15.44463</f>
        <v>15.44463</v>
      </c>
      <c r="DF17">
        <f>15.46360502</f>
        <v>15.463605019999999</v>
      </c>
      <c r="DG17">
        <f>9.610760445</f>
        <v>9.6107604450000004</v>
      </c>
      <c r="DH17">
        <f>7.344547912</f>
        <v>7.3445479120000003</v>
      </c>
      <c r="DI17">
        <f>0.465821287</f>
        <v>0.46582128699999997</v>
      </c>
      <c r="DJ17">
        <f>0</f>
        <v>0</v>
      </c>
      <c r="DK17">
        <f>0</f>
        <v>0</v>
      </c>
      <c r="DL17">
        <f>0</f>
        <v>0</v>
      </c>
      <c r="DM17">
        <f>0</f>
        <v>0</v>
      </c>
      <c r="DN17">
        <f>0</f>
        <v>0</v>
      </c>
      <c r="DO17">
        <f>0</f>
        <v>0</v>
      </c>
      <c r="DP17">
        <f>0</f>
        <v>0</v>
      </c>
      <c r="DQ17">
        <f>0</f>
        <v>0</v>
      </c>
      <c r="DR17">
        <f>0</f>
        <v>0</v>
      </c>
      <c r="DS17">
        <f>0</f>
        <v>0</v>
      </c>
      <c r="DT17">
        <f>0</f>
        <v>0</v>
      </c>
      <c r="DU17">
        <f>0</f>
        <v>0</v>
      </c>
    </row>
    <row r="18" spans="1:125">
      <c r="A18" t="str">
        <f>"总营运现金流-所有房地产投资信托"</f>
        <v>总营运现金流-所有房地产投资信托</v>
      </c>
      <c r="B18" t="str">
        <f>"RECFFOEQ Index"</f>
        <v>RECFFOEQ Index</v>
      </c>
      <c r="C18" t="str">
        <f t="shared" si="0"/>
        <v>PR005</v>
      </c>
      <c r="D18" t="str">
        <f t="shared" si="1"/>
        <v>PX_LAST</v>
      </c>
      <c r="E18" t="str">
        <f t="shared" si="2"/>
        <v>动态</v>
      </c>
      <c r="F18">
        <f ca="1">IF(AND(ISNUMBER($F$251),$B$183=1),$F$251,HLOOKUP(INDIRECT(ADDRESS(2,COLUMN())),OFFSET($BN$2,0,0,ROW()-1,60),ROW()-1,FALSE))</f>
        <v>15132.375760000001</v>
      </c>
      <c r="G18">
        <f ca="1">IF(AND(ISNUMBER($G$251),$B$183=1),$G$251,HLOOKUP(INDIRECT(ADDRESS(2,COLUMN())),OFFSET($BN$2,0,0,ROW()-1,60),ROW()-1,FALSE))</f>
        <v>14668.218999999999</v>
      </c>
      <c r="H18">
        <f ca="1">IF(AND(ISNUMBER($H$251),$B$183=1),$H$251,HLOOKUP(INDIRECT(ADDRESS(2,COLUMN())),OFFSET($BN$2,0,0,ROW()-1,60),ROW()-1,FALSE))</f>
        <v>15491.055</v>
      </c>
      <c r="I18">
        <f ca="1">IF(AND(ISNUMBER($I$251),$B$183=1),$I$251,HLOOKUP(INDIRECT(ADDRESS(2,COLUMN())),OFFSET($BN$2,0,0,ROW()-1,60),ROW()-1,FALSE))</f>
        <v>14433.258</v>
      </c>
      <c r="J18">
        <f ca="1">IF(AND(ISNUMBER($J$251),$B$183=1),$J$251,HLOOKUP(INDIRECT(ADDRESS(2,COLUMN())),OFFSET($BN$2,0,0,ROW()-1,60),ROW()-1,FALSE))</f>
        <v>14922.713</v>
      </c>
      <c r="K18">
        <f ca="1">IF(AND(ISNUMBER($K$251),$B$183=1),$K$251,HLOOKUP(INDIRECT(ADDRESS(2,COLUMN())),OFFSET($BN$2,0,0,ROW()-1,60),ROW()-1,FALSE))</f>
        <v>13728.071</v>
      </c>
      <c r="L18">
        <f ca="1">IF(AND(ISNUMBER($L$251),$B$183=1),$L$251,HLOOKUP(INDIRECT(ADDRESS(2,COLUMN())),OFFSET($BN$2,0,0,ROW()-1,60),ROW()-1,FALSE))</f>
        <v>14504.594999999999</v>
      </c>
      <c r="M18">
        <f ca="1">IF(AND(ISNUMBER($M$251),$B$183=1),$M$251,HLOOKUP(INDIRECT(ADDRESS(2,COLUMN())),OFFSET($BN$2,0,0,ROW()-1,60),ROW()-1,FALSE))</f>
        <v>13265.689</v>
      </c>
      <c r="N18">
        <f ca="1">IF(AND(ISNUMBER($N$251),$B$183=1),$N$251,HLOOKUP(INDIRECT(ADDRESS(2,COLUMN())),OFFSET($BN$2,0,0,ROW()-1,60),ROW()-1,FALSE))</f>
        <v>12223.442999999999</v>
      </c>
      <c r="O18">
        <f ca="1">IF(AND(ISNUMBER($O$251),$B$183=1),$O$251,HLOOKUP(INDIRECT(ADDRESS(2,COLUMN())),OFFSET($BN$2,0,0,ROW()-1,60),ROW()-1,FALSE))</f>
        <v>13336.981</v>
      </c>
      <c r="P18">
        <f ca="1">IF(AND(ISNUMBER($P$251),$B$183=1),$P$251,HLOOKUP(INDIRECT(ADDRESS(2,COLUMN())),OFFSET($BN$2,0,0,ROW()-1,60),ROW()-1,FALSE))</f>
        <v>13088.156999999999</v>
      </c>
      <c r="Q18">
        <f ca="1">IF(AND(ISNUMBER($Q$251),$B$183=1),$Q$251,HLOOKUP(INDIRECT(ADDRESS(2,COLUMN())),OFFSET($BN$2,0,0,ROW()-1,60),ROW()-1,FALSE))</f>
        <v>11254.749</v>
      </c>
      <c r="R18">
        <f ca="1">IF(AND(ISNUMBER($R$251),$B$183=1),$R$251,HLOOKUP(INDIRECT(ADDRESS(2,COLUMN())),OFFSET($BN$2,0,0,ROW()-1,60),ROW()-1,FALSE))</f>
        <v>11456.223</v>
      </c>
      <c r="S18">
        <f ca="1">IF(AND(ISNUMBER($S$251),$B$183=1),$S$251,HLOOKUP(INDIRECT(ADDRESS(2,COLUMN())),OFFSET($BN$2,0,0,ROW()-1,60),ROW()-1,FALSE))</f>
        <v>11308.843999999999</v>
      </c>
      <c r="T18">
        <f ca="1">IF(AND(ISNUMBER($T$251),$B$183=1),$T$251,HLOOKUP(INDIRECT(ADDRESS(2,COLUMN())),OFFSET($BN$2,0,0,ROW()-1,60),ROW()-1,FALSE))</f>
        <v>10606.130999999999</v>
      </c>
      <c r="U18">
        <f ca="1">IF(AND(ISNUMBER($U$251),$B$183=1),$U$251,HLOOKUP(INDIRECT(ADDRESS(2,COLUMN())),OFFSET($BN$2,0,0,ROW()-1,60),ROW()-1,FALSE))</f>
        <v>9999.4490000000005</v>
      </c>
      <c r="V18">
        <f ca="1">IF(AND(ISNUMBER($V$251),$B$183=1),$V$251,HLOOKUP(INDIRECT(ADDRESS(2,COLUMN())),OFFSET($BN$2,0,0,ROW()-1,60),ROW()-1,FALSE))</f>
        <v>9543.3449999999993</v>
      </c>
      <c r="W18">
        <f ca="1">IF(AND(ISNUMBER($W$251),$B$183=1),$W$251,HLOOKUP(INDIRECT(ADDRESS(2,COLUMN())),OFFSET($BN$2,0,0,ROW()-1,60),ROW()-1,FALSE))</f>
        <v>8853.69</v>
      </c>
      <c r="X18">
        <f ca="1">IF(AND(ISNUMBER($X$251),$B$183=1),$X$251,HLOOKUP(INDIRECT(ADDRESS(2,COLUMN())),OFFSET($BN$2,0,0,ROW()-1,60),ROW()-1,FALSE))</f>
        <v>8758.3160000000007</v>
      </c>
      <c r="Y18">
        <f ca="1">IF(AND(ISNUMBER($Y$251),$B$183=1),$Y$251,HLOOKUP(INDIRECT(ADDRESS(2,COLUMN())),OFFSET($BN$2,0,0,ROW()-1,60),ROW()-1,FALSE))</f>
        <v>7839.1390000000001</v>
      </c>
      <c r="Z18">
        <f ca="1">IF(AND(ISNUMBER($Z$251),$B$183=1),$Z$251,HLOOKUP(INDIRECT(ADDRESS(2,COLUMN())),OFFSET($BN$2,0,0,ROW()-1,60),ROW()-1,FALSE))</f>
        <v>7703.4390000000003</v>
      </c>
      <c r="AA18">
        <f ca="1">IF(AND(ISNUMBER($AA$251),$B$183=1),$AA$251,HLOOKUP(INDIRECT(ADDRESS(2,COLUMN())),OFFSET($BN$2,0,0,ROW()-1,60),ROW()-1,FALSE))</f>
        <v>7625.5429999999997</v>
      </c>
      <c r="AB18">
        <f ca="1">IF(AND(ISNUMBER($AB$251),$B$183=1),$AB$251,HLOOKUP(INDIRECT(ADDRESS(2,COLUMN())),OFFSET($BN$2,0,0,ROW()-1,60),ROW()-1,FALSE))</f>
        <v>7382.4709999999995</v>
      </c>
      <c r="AC18">
        <f ca="1">IF(AND(ISNUMBER($AC$251),$B$183=1),$AC$251,HLOOKUP(INDIRECT(ADDRESS(2,COLUMN())),OFFSET($BN$2,0,0,ROW()-1,60),ROW()-1,FALSE))</f>
        <v>6804.1139999999996</v>
      </c>
      <c r="AD18">
        <f ca="1">IF(AND(ISNUMBER($AD$251),$B$183=1),$AD$251,HLOOKUP(INDIRECT(ADDRESS(2,COLUMN())),OFFSET($BN$2,0,0,ROW()-1,60),ROW()-1,FALSE))</f>
        <v>6294.8180000000002</v>
      </c>
      <c r="AE18">
        <f ca="1">IF(AND(ISNUMBER($AE$251),$B$183=1),$AE$251,HLOOKUP(INDIRECT(ADDRESS(2,COLUMN())),OFFSET($BN$2,0,0,ROW()-1,60),ROW()-1,FALSE))</f>
        <v>6674.94</v>
      </c>
      <c r="AF18">
        <f ca="1">IF(AND(ISNUMBER($AF$251),$B$183=1),$AF$251,HLOOKUP(INDIRECT(ADDRESS(2,COLUMN())),OFFSET($BN$2,0,0,ROW()-1,60),ROW()-1,FALSE))</f>
        <v>5823.6490000000003</v>
      </c>
      <c r="AG18">
        <f ca="1">IF(AND(ISNUMBER($AG$251),$B$183=1),$AG$251,HLOOKUP(INDIRECT(ADDRESS(2,COLUMN())),OFFSET($BN$2,0,0,ROW()-1,60),ROW()-1,FALSE))</f>
        <v>6010.7860000000001</v>
      </c>
      <c r="AH18">
        <f ca="1">IF(AND(ISNUMBER($AH$251),$B$183=1),$AH$251,HLOOKUP(INDIRECT(ADDRESS(2,COLUMN())),OFFSET($BN$2,0,0,ROW()-1,60),ROW()-1,FALSE))</f>
        <v>4261.7759999999998</v>
      </c>
      <c r="AI18">
        <f ca="1">IF(AND(ISNUMBER($AI$251),$B$183=1),$AI$251,HLOOKUP(INDIRECT(ADDRESS(2,COLUMN())),OFFSET($BN$2,0,0,ROW()-1,60),ROW()-1,FALSE))</f>
        <v>4687.4454999999998</v>
      </c>
      <c r="AJ18">
        <f ca="1">IF(AND(ISNUMBER($AJ$251),$B$183=1),$AJ$251,HLOOKUP(INDIRECT(ADDRESS(2,COLUMN())),OFFSET($BN$2,0,0,ROW()-1,60),ROW()-1,FALSE))</f>
        <v>4574.0029999999997</v>
      </c>
      <c r="AK18">
        <f ca="1">IF(AND(ISNUMBER($AK$251),$B$183=1),$AK$251,HLOOKUP(INDIRECT(ADDRESS(2,COLUMN())),OFFSET($BN$2,0,0,ROW()-1,60),ROW()-1,FALSE))</f>
        <v>4482.9399999999996</v>
      </c>
      <c r="AL18">
        <f ca="1">IF(AND(ISNUMBER($AL$251),$B$183=1),$AL$251,HLOOKUP(INDIRECT(ADDRESS(2,COLUMN())),OFFSET($BN$2,0,0,ROW()-1,60),ROW()-1,FALSE))</f>
        <v>3259.4989999999998</v>
      </c>
      <c r="AM18">
        <f ca="1">IF(AND(ISNUMBER($AM$251),$B$183=1),$AM$251,HLOOKUP(INDIRECT(ADDRESS(2,COLUMN())),OFFSET($BN$2,0,0,ROW()-1,60),ROW()-1,FALSE))</f>
        <v>3875.6990000000001</v>
      </c>
      <c r="AN18">
        <f ca="1">IF(AND(ISNUMBER($AN$251),$B$183=1),$AN$251,HLOOKUP(INDIRECT(ADDRESS(2,COLUMN())),OFFSET($BN$2,0,0,ROW()-1,60),ROW()-1,FALSE))</f>
        <v>3250.65</v>
      </c>
      <c r="AO18">
        <f ca="1">IF(AND(ISNUMBER($AO$251),$B$183=1),$AO$251,HLOOKUP(INDIRECT(ADDRESS(2,COLUMN())),OFFSET($BN$2,0,0,ROW()-1,60),ROW()-1,FALSE))</f>
        <v>5005.7160000000003</v>
      </c>
      <c r="AP18">
        <f ca="1">IF(AND(ISNUMBER($AP$251),$B$183=1),$AP$251,HLOOKUP(INDIRECT(ADDRESS(2,COLUMN())),OFFSET($BN$2,0,0,ROW()-1,60),ROW()-1,FALSE))</f>
        <v>2327.6260000000002</v>
      </c>
      <c r="AQ18">
        <f ca="1">IF(AND(ISNUMBER($AQ$251),$B$183=1),$AQ$251,HLOOKUP(INDIRECT(ADDRESS(2,COLUMN())),OFFSET($BN$2,0,0,ROW()-1,60),ROW()-1,FALSE))</f>
        <v>5263.1139999999996</v>
      </c>
      <c r="AR18">
        <f ca="1">IF(AND(ISNUMBER($AR$251),$B$183=1),$AR$251,HLOOKUP(INDIRECT(ADDRESS(2,COLUMN())),OFFSET($BN$2,0,0,ROW()-1,60),ROW()-1,FALSE))</f>
        <v>5667.7929999999997</v>
      </c>
      <c r="AS18">
        <f ca="1">IF(AND(ISNUMBER($AS$251),$B$183=1),$AS$251,HLOOKUP(INDIRECT(ADDRESS(2,COLUMN())),OFFSET($BN$2,0,0,ROW()-1,60),ROW()-1,FALSE))</f>
        <v>5777.2719999999999</v>
      </c>
      <c r="AT18">
        <f ca="1">IF(AND(ISNUMBER($AT$251),$B$183=1),$AT$251,HLOOKUP(INDIRECT(ADDRESS(2,COLUMN())),OFFSET($BN$2,0,0,ROW()-1,60),ROW()-1,FALSE))</f>
        <v>5605.1334999999999</v>
      </c>
      <c r="AU18">
        <f ca="1">IF(AND(ISNUMBER($AU$251),$B$183=1),$AU$251,HLOOKUP(INDIRECT(ADDRESS(2,COLUMN())),OFFSET($BN$2,0,0,ROW()-1,60),ROW()-1,FALSE))</f>
        <v>5742.125</v>
      </c>
      <c r="AV18">
        <f ca="1">IF(AND(ISNUMBER($AV$251),$B$183=1),$AV$251,HLOOKUP(INDIRECT(ADDRESS(2,COLUMN())),OFFSET($BN$2,0,0,ROW()-1,60),ROW()-1,FALSE))</f>
        <v>5987.27</v>
      </c>
      <c r="AW18">
        <f ca="1">IF(AND(ISNUMBER($AW$251),$B$183=1),$AW$251,HLOOKUP(INDIRECT(ADDRESS(2,COLUMN())),OFFSET($BN$2,0,0,ROW()-1,60),ROW()-1,FALSE))</f>
        <v>6008.0630000000001</v>
      </c>
      <c r="AX18">
        <f ca="1">IF(AND(ISNUMBER($AX$251),$B$183=1),$AX$251,HLOOKUP(INDIRECT(ADDRESS(2,COLUMN())),OFFSET($BN$2,0,0,ROW()-1,60),ROW()-1,FALSE))</f>
        <v>5791.7354999999998</v>
      </c>
      <c r="AY18">
        <f ca="1">IF(AND(ISNUMBER($AY$251),$B$183=1),$AY$251,HLOOKUP(INDIRECT(ADDRESS(2,COLUMN())),OFFSET($BN$2,0,0,ROW()-1,60),ROW()-1,FALSE))</f>
        <v>5168.7470000000003</v>
      </c>
      <c r="AZ18">
        <f ca="1">IF(AND(ISNUMBER($AZ$251),$B$183=1),$AZ$251,HLOOKUP(INDIRECT(ADDRESS(2,COLUMN())),OFFSET($BN$2,0,0,ROW()-1,60),ROW()-1,FALSE))</f>
        <v>5706.6549999999997</v>
      </c>
      <c r="BA18">
        <f ca="1">IF(AND(ISNUMBER($BA$251),$B$183=1),$BA$251,HLOOKUP(INDIRECT(ADDRESS(2,COLUMN())),OFFSET($BN$2,0,0,ROW()-1,60),ROW()-1,FALSE))</f>
        <v>5432.39</v>
      </c>
      <c r="BB18">
        <f ca="1">IF(AND(ISNUMBER($BB$251),$B$183=1),$BB$251,HLOOKUP(INDIRECT(ADDRESS(2,COLUMN())),OFFSET($BN$2,0,0,ROW()-1,60),ROW()-1,FALSE))</f>
        <v>4978.652</v>
      </c>
      <c r="BC18">
        <f ca="1">IF(AND(ISNUMBER($BC$251),$B$183=1),$BC$251,HLOOKUP(INDIRECT(ADDRESS(2,COLUMN())),OFFSET($BN$2,0,0,ROW()-1,60),ROW()-1,FALSE))</f>
        <v>4931.9260000000004</v>
      </c>
      <c r="BD18">
        <f ca="1">IF(AND(ISNUMBER($BD$251),$B$183=1),$BD$251,HLOOKUP(INDIRECT(ADDRESS(2,COLUMN())),OFFSET($BN$2,0,0,ROW()-1,60),ROW()-1,FALSE))</f>
        <v>5075.1369999999997</v>
      </c>
      <c r="BE18">
        <f ca="1">IF(AND(ISNUMBER($BE$251),$B$183=1),$BE$251,HLOOKUP(INDIRECT(ADDRESS(2,COLUMN())),OFFSET($BN$2,0,0,ROW()-1,60),ROW()-1,FALSE))</f>
        <v>5208.5820000000003</v>
      </c>
      <c r="BF18">
        <f ca="1">IF(AND(ISNUMBER($BF$251),$B$183=1),$BF$251,HLOOKUP(INDIRECT(ADDRESS(2,COLUMN())),OFFSET($BN$2,0,0,ROW()-1,60),ROW()-1,FALSE))</f>
        <v>5124.8360000000002</v>
      </c>
      <c r="BG18">
        <f ca="1">IF(AND(ISNUMBER($BG$251),$B$183=1),$BG$251,HLOOKUP(INDIRECT(ADDRESS(2,COLUMN())),OFFSET($BN$2,0,0,ROW()-1,60),ROW()-1,FALSE))</f>
        <v>4585.4854999999998</v>
      </c>
      <c r="BH18">
        <f ca="1">IF(AND(ISNUMBER($BH$251),$B$183=1),$BH$251,HLOOKUP(INDIRECT(ADDRESS(2,COLUMN())),OFFSET($BN$2,0,0,ROW()-1,60),ROW()-1,FALSE))</f>
        <v>4641.0309999999999</v>
      </c>
      <c r="BI18">
        <f ca="1">IF(AND(ISNUMBER($BI$251),$B$183=1),$BI$251,HLOOKUP(INDIRECT(ADDRESS(2,COLUMN())),OFFSET($BN$2,0,0,ROW()-1,60),ROW()-1,FALSE))</f>
        <v>4447.7349999999997</v>
      </c>
      <c r="BJ18">
        <f ca="1">IF(AND(ISNUMBER($BJ$251),$B$183=1),$BJ$251,HLOOKUP(INDIRECT(ADDRESS(2,COLUMN())),OFFSET($BN$2,0,0,ROW()-1,60),ROW()-1,FALSE))</f>
        <v>4542.9880000000003</v>
      </c>
      <c r="BK18">
        <f ca="1">IF(AND(ISNUMBER($BK$251),$B$183=1),$BK$251,HLOOKUP(INDIRECT(ADDRESS(2,COLUMN())),OFFSET($BN$2,0,0,ROW()-1,60),ROW()-1,FALSE))</f>
        <v>4295.4809999999998</v>
      </c>
      <c r="BL18">
        <f ca="1">IF(AND(ISNUMBER($BL$251),$B$183=1),$BL$251,HLOOKUP(INDIRECT(ADDRESS(2,COLUMN())),OFFSET($BN$2,0,0,ROW()-1,60),ROW()-1,FALSE))</f>
        <v>4093.163</v>
      </c>
      <c r="BM18">
        <f ca="1">IF(AND(ISNUMBER($BM$251),$B$183=1),$BM$251,HLOOKUP(INDIRECT(ADDRESS(2,COLUMN())),OFFSET($BN$2,0,0,ROW()-1,60),ROW()-1,FALSE))</f>
        <v>4306.4139999999998</v>
      </c>
      <c r="BN18">
        <f>15132.37576</f>
        <v>15132.375760000001</v>
      </c>
      <c r="BO18">
        <f>14668.219</f>
        <v>14668.218999999999</v>
      </c>
      <c r="BP18">
        <f>15491.055</f>
        <v>15491.055</v>
      </c>
      <c r="BQ18">
        <f>14433.258</f>
        <v>14433.258</v>
      </c>
      <c r="BR18">
        <f>14922.713</f>
        <v>14922.713</v>
      </c>
      <c r="BS18">
        <f>13728.071</f>
        <v>13728.071</v>
      </c>
      <c r="BT18">
        <f>14504.595</f>
        <v>14504.594999999999</v>
      </c>
      <c r="BU18">
        <f>13265.689</f>
        <v>13265.689</v>
      </c>
      <c r="BV18">
        <f>12223.443</f>
        <v>12223.442999999999</v>
      </c>
      <c r="BW18">
        <f>13336.981</f>
        <v>13336.981</v>
      </c>
      <c r="BX18">
        <f>13088.157</f>
        <v>13088.156999999999</v>
      </c>
      <c r="BY18">
        <f>11254.749</f>
        <v>11254.749</v>
      </c>
      <c r="BZ18">
        <f>11456.223</f>
        <v>11456.223</v>
      </c>
      <c r="CA18">
        <f>11308.844</f>
        <v>11308.843999999999</v>
      </c>
      <c r="CB18">
        <f>10606.131</f>
        <v>10606.130999999999</v>
      </c>
      <c r="CC18">
        <f>9999.449</f>
        <v>9999.4490000000005</v>
      </c>
      <c r="CD18">
        <f>9543.345</f>
        <v>9543.3449999999993</v>
      </c>
      <c r="CE18">
        <f>8853.69</f>
        <v>8853.69</v>
      </c>
      <c r="CF18">
        <f>8758.316</f>
        <v>8758.3160000000007</v>
      </c>
      <c r="CG18">
        <f>7839.139</f>
        <v>7839.1390000000001</v>
      </c>
      <c r="CH18">
        <f>7703.439</f>
        <v>7703.4390000000003</v>
      </c>
      <c r="CI18">
        <f>7625.543</f>
        <v>7625.5429999999997</v>
      </c>
      <c r="CJ18">
        <f>7382.471</f>
        <v>7382.4709999999995</v>
      </c>
      <c r="CK18">
        <f>6804.114</f>
        <v>6804.1139999999996</v>
      </c>
      <c r="CL18">
        <f>6294.818</f>
        <v>6294.8180000000002</v>
      </c>
      <c r="CM18">
        <f>6674.94</f>
        <v>6674.94</v>
      </c>
      <c r="CN18">
        <f>5823.649</f>
        <v>5823.6490000000003</v>
      </c>
      <c r="CO18">
        <f>6010.786</f>
        <v>6010.7860000000001</v>
      </c>
      <c r="CP18">
        <f>4261.776</f>
        <v>4261.7759999999998</v>
      </c>
      <c r="CQ18">
        <f>4687.4455</f>
        <v>4687.4454999999998</v>
      </c>
      <c r="CR18">
        <f>4574.003</f>
        <v>4574.0029999999997</v>
      </c>
      <c r="CS18">
        <f>4482.94</f>
        <v>4482.9399999999996</v>
      </c>
      <c r="CT18">
        <f>3259.499</f>
        <v>3259.4989999999998</v>
      </c>
      <c r="CU18">
        <f>3875.699</f>
        <v>3875.6990000000001</v>
      </c>
      <c r="CV18">
        <f>3250.65</f>
        <v>3250.65</v>
      </c>
      <c r="CW18">
        <f>5005.716</f>
        <v>5005.7160000000003</v>
      </c>
      <c r="CX18">
        <f>2327.626</f>
        <v>2327.6260000000002</v>
      </c>
      <c r="CY18">
        <f>5263.114</f>
        <v>5263.1139999999996</v>
      </c>
      <c r="CZ18">
        <f>5667.793</f>
        <v>5667.7929999999997</v>
      </c>
      <c r="DA18">
        <f>5777.272</f>
        <v>5777.2719999999999</v>
      </c>
      <c r="DB18">
        <f>5605.1335</f>
        <v>5605.1334999999999</v>
      </c>
      <c r="DC18">
        <f>5742.125</f>
        <v>5742.125</v>
      </c>
      <c r="DD18">
        <f>5987.27</f>
        <v>5987.27</v>
      </c>
      <c r="DE18">
        <f>6008.063</f>
        <v>6008.0630000000001</v>
      </c>
      <c r="DF18">
        <f>5791.7355</f>
        <v>5791.7354999999998</v>
      </c>
      <c r="DG18">
        <f>5168.747</f>
        <v>5168.7470000000003</v>
      </c>
      <c r="DH18">
        <f>5706.655</f>
        <v>5706.6549999999997</v>
      </c>
      <c r="DI18">
        <f>5432.39</f>
        <v>5432.39</v>
      </c>
      <c r="DJ18">
        <f>4978.652</f>
        <v>4978.652</v>
      </c>
      <c r="DK18">
        <f>4931.926</f>
        <v>4931.9260000000004</v>
      </c>
      <c r="DL18">
        <f>5075.137</f>
        <v>5075.1369999999997</v>
      </c>
      <c r="DM18">
        <f>5208.582</f>
        <v>5208.5820000000003</v>
      </c>
      <c r="DN18">
        <f>5124.836</f>
        <v>5124.8360000000002</v>
      </c>
      <c r="DO18">
        <f>4585.4855</f>
        <v>4585.4854999999998</v>
      </c>
      <c r="DP18">
        <f>4641.031</f>
        <v>4641.0309999999999</v>
      </c>
      <c r="DQ18">
        <f>4447.735</f>
        <v>4447.7349999999997</v>
      </c>
      <c r="DR18">
        <f>4542.988</f>
        <v>4542.9880000000003</v>
      </c>
      <c r="DS18">
        <f>4295.481</f>
        <v>4295.4809999999998</v>
      </c>
      <c r="DT18">
        <f>4093.163</f>
        <v>4093.163</v>
      </c>
      <c r="DU18">
        <f>4306.414</f>
        <v>4306.4139999999998</v>
      </c>
    </row>
    <row r="19" spans="1:125">
      <c r="A19" t="str">
        <f>"    Office REITs"</f>
        <v xml:space="preserve">    Office REITs</v>
      </c>
      <c r="B19" t="str">
        <f>"RECFFOOF Index"</f>
        <v>RECFFOOF Index</v>
      </c>
      <c r="C19" t="str">
        <f t="shared" si="0"/>
        <v>PR005</v>
      </c>
      <c r="D19" t="str">
        <f t="shared" si="1"/>
        <v>PX_LAST</v>
      </c>
      <c r="E19" t="str">
        <f t="shared" si="2"/>
        <v>动态</v>
      </c>
      <c r="F19">
        <f ca="1">IF(AND(ISNUMBER($F$252),$B$183=1),$F$252,HLOOKUP(INDIRECT(ADDRESS(2,COLUMN())),OFFSET($BN$2,0,0,ROW()-1,60),ROW()-1,FALSE))</f>
        <v>1541.311095</v>
      </c>
      <c r="G19">
        <f ca="1">IF(AND(ISNUMBER($G$252),$B$183=1),$G$252,HLOOKUP(INDIRECT(ADDRESS(2,COLUMN())),OFFSET($BN$2,0,0,ROW()-1,60),ROW()-1,FALSE))</f>
        <v>1573.8009999999999</v>
      </c>
      <c r="H19">
        <f ca="1">IF(AND(ISNUMBER($H$252),$B$183=1),$H$252,HLOOKUP(INDIRECT(ADDRESS(2,COLUMN())),OFFSET($BN$2,0,0,ROW()-1,60),ROW()-1,FALSE))</f>
        <v>1686.088</v>
      </c>
      <c r="I19">
        <f ca="1">IF(AND(ISNUMBER($I$252),$B$183=1),$I$252,HLOOKUP(INDIRECT(ADDRESS(2,COLUMN())),OFFSET($BN$2,0,0,ROW()-1,60),ROW()-1,FALSE))</f>
        <v>1568.1559999999999</v>
      </c>
      <c r="J19">
        <f ca="1">IF(AND(ISNUMBER($J$252),$B$183=1),$J$252,HLOOKUP(INDIRECT(ADDRESS(2,COLUMN())),OFFSET($BN$2,0,0,ROW()-1,60),ROW()-1,FALSE))</f>
        <v>1461.4069999999999</v>
      </c>
      <c r="K19">
        <f ca="1">IF(AND(ISNUMBER($K$252),$B$183=1),$K$252,HLOOKUP(INDIRECT(ADDRESS(2,COLUMN())),OFFSET($BN$2,0,0,ROW()-1,60),ROW()-1,FALSE))</f>
        <v>1495.355</v>
      </c>
      <c r="L19">
        <f ca="1">IF(AND(ISNUMBER($L$252),$B$183=1),$L$252,HLOOKUP(INDIRECT(ADDRESS(2,COLUMN())),OFFSET($BN$2,0,0,ROW()-1,60),ROW()-1,FALSE))</f>
        <v>1777.163</v>
      </c>
      <c r="M19">
        <f ca="1">IF(AND(ISNUMBER($M$252),$B$183=1),$M$252,HLOOKUP(INDIRECT(ADDRESS(2,COLUMN())),OFFSET($BN$2,0,0,ROW()-1,60),ROW()-1,FALSE))</f>
        <v>1547.393</v>
      </c>
      <c r="N19">
        <f ca="1">IF(AND(ISNUMBER($N$252),$B$183=1),$N$252,HLOOKUP(INDIRECT(ADDRESS(2,COLUMN())),OFFSET($BN$2,0,0,ROW()-1,60),ROW()-1,FALSE))</f>
        <v>1453.9179999999999</v>
      </c>
      <c r="O19">
        <f ca="1">IF(AND(ISNUMBER($O$252),$B$183=1),$O$252,HLOOKUP(INDIRECT(ADDRESS(2,COLUMN())),OFFSET($BN$2,0,0,ROW()-1,60),ROW()-1,FALSE))</f>
        <v>1784.2529999999999</v>
      </c>
      <c r="P19">
        <f ca="1">IF(AND(ISNUMBER($P$252),$B$183=1),$P$252,HLOOKUP(INDIRECT(ADDRESS(2,COLUMN())),OFFSET($BN$2,0,0,ROW()-1,60),ROW()-1,FALSE))</f>
        <v>1485.117</v>
      </c>
      <c r="Q19">
        <f ca="1">IF(AND(ISNUMBER($Q$252),$B$183=1),$Q$252,HLOOKUP(INDIRECT(ADDRESS(2,COLUMN())),OFFSET($BN$2,0,0,ROW()-1,60),ROW()-1,FALSE))</f>
        <v>1431.0630000000001</v>
      </c>
      <c r="R19">
        <f ca="1">IF(AND(ISNUMBER($R$252),$B$183=1),$R$252,HLOOKUP(INDIRECT(ADDRESS(2,COLUMN())),OFFSET($BN$2,0,0,ROW()-1,60),ROW()-1,FALSE))</f>
        <v>1392.463</v>
      </c>
      <c r="S19">
        <f ca="1">IF(AND(ISNUMBER($S$252),$B$183=1),$S$252,HLOOKUP(INDIRECT(ADDRESS(2,COLUMN())),OFFSET($BN$2,0,0,ROW()-1,60),ROW()-1,FALSE))</f>
        <v>1529.3630000000001</v>
      </c>
      <c r="T19">
        <f ca="1">IF(AND(ISNUMBER($T$252),$B$183=1),$T$252,HLOOKUP(INDIRECT(ADDRESS(2,COLUMN())),OFFSET($BN$2,0,0,ROW()-1,60),ROW()-1,FALSE))</f>
        <v>1332.5519999999999</v>
      </c>
      <c r="U19">
        <f ca="1">IF(AND(ISNUMBER($U$252),$B$183=1),$U$252,HLOOKUP(INDIRECT(ADDRESS(2,COLUMN())),OFFSET($BN$2,0,0,ROW()-1,60),ROW()-1,FALSE))</f>
        <v>1261.1969999999999</v>
      </c>
      <c r="V19">
        <f ca="1">IF(AND(ISNUMBER($V$252),$B$183=1),$V$252,HLOOKUP(INDIRECT(ADDRESS(2,COLUMN())),OFFSET($BN$2,0,0,ROW()-1,60),ROW()-1,FALSE))</f>
        <v>1453.8</v>
      </c>
      <c r="W19">
        <f ca="1">IF(AND(ISNUMBER($W$252),$B$183=1),$W$252,HLOOKUP(INDIRECT(ADDRESS(2,COLUMN())),OFFSET($BN$2,0,0,ROW()-1,60),ROW()-1,FALSE))</f>
        <v>1127.4069999999999</v>
      </c>
      <c r="X19">
        <f ca="1">IF(AND(ISNUMBER($X$252),$B$183=1),$X$252,HLOOKUP(INDIRECT(ADDRESS(2,COLUMN())),OFFSET($BN$2,0,0,ROW()-1,60),ROW()-1,FALSE))</f>
        <v>1110.8879999999999</v>
      </c>
      <c r="Y19">
        <f ca="1">IF(AND(ISNUMBER($Y$252),$B$183=1),$Y$252,HLOOKUP(INDIRECT(ADDRESS(2,COLUMN())),OFFSET($BN$2,0,0,ROW()-1,60),ROW()-1,FALSE))</f>
        <v>1024.7380000000001</v>
      </c>
      <c r="Z19">
        <f ca="1">IF(AND(ISNUMBER($Z$252),$B$183=1),$Z$252,HLOOKUP(INDIRECT(ADDRESS(2,COLUMN())),OFFSET($BN$2,0,0,ROW()-1,60),ROW()-1,FALSE))</f>
        <v>1077.865</v>
      </c>
      <c r="AA19">
        <f ca="1">IF(AND(ISNUMBER($AA$252),$B$183=1),$AA$252,HLOOKUP(INDIRECT(ADDRESS(2,COLUMN())),OFFSET($BN$2,0,0,ROW()-1,60),ROW()-1,FALSE))</f>
        <v>1059.337</v>
      </c>
      <c r="AB19">
        <f ca="1">IF(AND(ISNUMBER($AB$252),$B$183=1),$AB$252,HLOOKUP(INDIRECT(ADDRESS(2,COLUMN())),OFFSET($BN$2,0,0,ROW()-1,60),ROW()-1,FALSE))</f>
        <v>1131.4949999999999</v>
      </c>
      <c r="AC19">
        <f ca="1">IF(AND(ISNUMBER($AC$252),$B$183=1),$AC$252,HLOOKUP(INDIRECT(ADDRESS(2,COLUMN())),OFFSET($BN$2,0,0,ROW()-1,60),ROW()-1,FALSE))</f>
        <v>948.399</v>
      </c>
      <c r="AD19">
        <f ca="1">IF(AND(ISNUMBER($AD$252),$B$183=1),$AD$252,HLOOKUP(INDIRECT(ADDRESS(2,COLUMN())),OFFSET($BN$2,0,0,ROW()-1,60),ROW()-1,FALSE))</f>
        <v>865.76</v>
      </c>
      <c r="AE19">
        <f ca="1">IF(AND(ISNUMBER($AE$252),$B$183=1),$AE$252,HLOOKUP(INDIRECT(ADDRESS(2,COLUMN())),OFFSET($BN$2,0,0,ROW()-1,60),ROW()-1,FALSE))</f>
        <v>1007.294</v>
      </c>
      <c r="AF19">
        <f ca="1">IF(AND(ISNUMBER($AF$252),$B$183=1),$AF$252,HLOOKUP(INDIRECT(ADDRESS(2,COLUMN())),OFFSET($BN$2,0,0,ROW()-1,60),ROW()-1,FALSE))</f>
        <v>1003.9</v>
      </c>
      <c r="AG19">
        <f ca="1">IF(AND(ISNUMBER($AG$252),$B$183=1),$AG$252,HLOOKUP(INDIRECT(ADDRESS(2,COLUMN())),OFFSET($BN$2,0,0,ROW()-1,60),ROW()-1,FALSE))</f>
        <v>892.14599999999996</v>
      </c>
      <c r="AH19">
        <f ca="1">IF(AND(ISNUMBER($AH$252),$B$183=1),$AH$252,HLOOKUP(INDIRECT(ADDRESS(2,COLUMN())),OFFSET($BN$2,0,0,ROW()-1,60),ROW()-1,FALSE))</f>
        <v>803.524</v>
      </c>
      <c r="AI19">
        <f ca="1">IF(AND(ISNUMBER($AI$252),$B$183=1),$AI$252,HLOOKUP(INDIRECT(ADDRESS(2,COLUMN())),OFFSET($BN$2,0,0,ROW()-1,60),ROW()-1,FALSE))</f>
        <v>906.11300000000006</v>
      </c>
      <c r="AJ19">
        <f ca="1">IF(AND(ISNUMBER($AJ$252),$B$183=1),$AJ$252,HLOOKUP(INDIRECT(ADDRESS(2,COLUMN())),OFFSET($BN$2,0,0,ROW()-1,60),ROW()-1,FALSE))</f>
        <v>713.49599999999998</v>
      </c>
      <c r="AK19">
        <f ca="1">IF(AND(ISNUMBER($AK$252),$B$183=1),$AK$252,HLOOKUP(INDIRECT(ADDRESS(2,COLUMN())),OFFSET($BN$2,0,0,ROW()-1,60),ROW()-1,FALSE))</f>
        <v>865.596</v>
      </c>
      <c r="AL19">
        <f ca="1">IF(AND(ISNUMBER($AL$252),$B$183=1),$AL$252,HLOOKUP(INDIRECT(ADDRESS(2,COLUMN())),OFFSET($BN$2,0,0,ROW()-1,60),ROW()-1,FALSE))</f>
        <v>322.61500000000001</v>
      </c>
      <c r="AM19">
        <f ca="1">IF(AND(ISNUMBER($AM$252),$B$183=1),$AM$252,HLOOKUP(INDIRECT(ADDRESS(2,COLUMN())),OFFSET($BN$2,0,0,ROW()-1,60),ROW()-1,FALSE))</f>
        <v>769.83500000000004</v>
      </c>
      <c r="AN19">
        <f ca="1">IF(AND(ISNUMBER($AN$252),$B$183=1),$AN$252,HLOOKUP(INDIRECT(ADDRESS(2,COLUMN())),OFFSET($BN$2,0,0,ROW()-1,60),ROW()-1,FALSE))</f>
        <v>451.85500000000002</v>
      </c>
      <c r="AO19">
        <f ca="1">IF(AND(ISNUMBER($AO$252),$B$183=1),$AO$252,HLOOKUP(INDIRECT(ADDRESS(2,COLUMN())),OFFSET($BN$2,0,0,ROW()-1,60),ROW()-1,FALSE))</f>
        <v>736.95100000000002</v>
      </c>
      <c r="AP19">
        <f ca="1">IF(AND(ISNUMBER($AP$252),$B$183=1),$AP$252,HLOOKUP(INDIRECT(ADDRESS(2,COLUMN())),OFFSET($BN$2,0,0,ROW()-1,60),ROW()-1,FALSE))</f>
        <v>458.34199999999998</v>
      </c>
      <c r="AQ19">
        <f ca="1">IF(AND(ISNUMBER($AQ$252),$B$183=1),$AQ$252,HLOOKUP(INDIRECT(ADDRESS(2,COLUMN())),OFFSET($BN$2,0,0,ROW()-1,60),ROW()-1,FALSE))</f>
        <v>721.50099999999998</v>
      </c>
      <c r="AR19">
        <f ca="1">IF(AND(ISNUMBER($AR$252),$B$183=1),$AR$252,HLOOKUP(INDIRECT(ADDRESS(2,COLUMN())),OFFSET($BN$2,0,0,ROW()-1,60),ROW()-1,FALSE))</f>
        <v>707.32399999999996</v>
      </c>
      <c r="AS19">
        <f ca="1">IF(AND(ISNUMBER($AS$252),$B$183=1),$AS$252,HLOOKUP(INDIRECT(ADDRESS(2,COLUMN())),OFFSET($BN$2,0,0,ROW()-1,60),ROW()-1,FALSE))</f>
        <v>720.09500000000003</v>
      </c>
      <c r="AT19">
        <f ca="1">IF(AND(ISNUMBER($AT$252),$B$183=1),$AT$252,HLOOKUP(INDIRECT(ADDRESS(2,COLUMN())),OFFSET($BN$2,0,0,ROW()-1,60),ROW()-1,FALSE))</f>
        <v>736.63049999999998</v>
      </c>
      <c r="AU19">
        <f ca="1">IF(AND(ISNUMBER($AU$252),$B$183=1),$AU$252,HLOOKUP(INDIRECT(ADDRESS(2,COLUMN())),OFFSET($BN$2,0,0,ROW()-1,60),ROW()-1,FALSE))</f>
        <v>769.25800000000004</v>
      </c>
      <c r="AV19">
        <f ca="1">IF(AND(ISNUMBER($AV$252),$B$183=1),$AV$252,HLOOKUP(INDIRECT(ADDRESS(2,COLUMN())),OFFSET($BN$2,0,0,ROW()-1,60),ROW()-1,FALSE))</f>
        <v>731.25800000000004</v>
      </c>
      <c r="AW19">
        <f ca="1">IF(AND(ISNUMBER($AW$252),$B$183=1),$AW$252,HLOOKUP(INDIRECT(ADDRESS(2,COLUMN())),OFFSET($BN$2,0,0,ROW()-1,60),ROW()-1,FALSE))</f>
        <v>823.322</v>
      </c>
      <c r="AX19">
        <f ca="1">IF(AND(ISNUMBER($AX$252),$B$183=1),$AX$252,HLOOKUP(INDIRECT(ADDRESS(2,COLUMN())),OFFSET($BN$2,0,0,ROW()-1,60),ROW()-1,FALSE))</f>
        <v>847.678</v>
      </c>
      <c r="AY19">
        <f ca="1">IF(AND(ISNUMBER($AY$252),$B$183=1),$AY$252,HLOOKUP(INDIRECT(ADDRESS(2,COLUMN())),OFFSET($BN$2,0,0,ROW()-1,60),ROW()-1,FALSE))</f>
        <v>665.48500000000001</v>
      </c>
      <c r="AZ19">
        <f ca="1">IF(AND(ISNUMBER($AZ$252),$B$183=1),$AZ$252,HLOOKUP(INDIRECT(ADDRESS(2,COLUMN())),OFFSET($BN$2,0,0,ROW()-1,60),ROW()-1,FALSE))</f>
        <v>970.92700000000002</v>
      </c>
      <c r="BA19">
        <f ca="1">IF(AND(ISNUMBER($BA$252),$B$183=1),$BA$252,HLOOKUP(INDIRECT(ADDRESS(2,COLUMN())),OFFSET($BN$2,0,0,ROW()-1,60),ROW()-1,FALSE))</f>
        <v>1020.359</v>
      </c>
      <c r="BB19">
        <f ca="1">IF(AND(ISNUMBER($BB$252),$B$183=1),$BB$252,HLOOKUP(INDIRECT(ADDRESS(2,COLUMN())),OFFSET($BN$2,0,0,ROW()-1,60),ROW()-1,FALSE))</f>
        <v>877.21</v>
      </c>
      <c r="BC19">
        <f ca="1">IF(AND(ISNUMBER($BC$252),$B$183=1),$BC$252,HLOOKUP(INDIRECT(ADDRESS(2,COLUMN())),OFFSET($BN$2,0,0,ROW()-1,60),ROW()-1,FALSE))</f>
        <v>1034.904</v>
      </c>
      <c r="BD19">
        <f ca="1">IF(AND(ISNUMBER($BD$252),$B$183=1),$BD$252,HLOOKUP(INDIRECT(ADDRESS(2,COLUMN())),OFFSET($BN$2,0,0,ROW()-1,60),ROW()-1,FALSE))</f>
        <v>762.88699999999994</v>
      </c>
      <c r="BE19">
        <f ca="1">IF(AND(ISNUMBER($BE$252),$B$183=1),$BE$252,HLOOKUP(INDIRECT(ADDRESS(2,COLUMN())),OFFSET($BN$2,0,0,ROW()-1,60),ROW()-1,FALSE))</f>
        <v>1043.0889999999999</v>
      </c>
      <c r="BF19">
        <f ca="1">IF(AND(ISNUMBER($BF$252),$B$183=1),$BF$252,HLOOKUP(INDIRECT(ADDRESS(2,COLUMN())),OFFSET($BN$2,0,0,ROW()-1,60),ROW()-1,FALSE))</f>
        <v>1048.6415</v>
      </c>
      <c r="BG19">
        <f ca="1">IF(AND(ISNUMBER($BG$252),$B$183=1),$BG$252,HLOOKUP(INDIRECT(ADDRESS(2,COLUMN())),OFFSET($BN$2,0,0,ROW()-1,60),ROW()-1,FALSE))</f>
        <v>881.43399999999997</v>
      </c>
      <c r="BH19">
        <f ca="1">IF(AND(ISNUMBER($BH$252),$B$183=1),$BH$252,HLOOKUP(INDIRECT(ADDRESS(2,COLUMN())),OFFSET($BN$2,0,0,ROW()-1,60),ROW()-1,FALSE))</f>
        <v>897.46199999999999</v>
      </c>
      <c r="BI19">
        <f ca="1">IF(AND(ISNUMBER($BI$252),$B$183=1),$BI$252,HLOOKUP(INDIRECT(ADDRESS(2,COLUMN())),OFFSET($BN$2,0,0,ROW()-1,60),ROW()-1,FALSE))</f>
        <v>1040.8430000000001</v>
      </c>
      <c r="BJ19">
        <f ca="1">IF(AND(ISNUMBER($BJ$252),$B$183=1),$BJ$252,HLOOKUP(INDIRECT(ADDRESS(2,COLUMN())),OFFSET($BN$2,0,0,ROW()-1,60),ROW()-1,FALSE))</f>
        <v>1011.684</v>
      </c>
      <c r="BK19">
        <f ca="1">IF(AND(ISNUMBER($BK$252),$B$183=1),$BK$252,HLOOKUP(INDIRECT(ADDRESS(2,COLUMN())),OFFSET($BN$2,0,0,ROW()-1,60),ROW()-1,FALSE))</f>
        <v>1093.9780000000001</v>
      </c>
      <c r="BL19">
        <f ca="1">IF(AND(ISNUMBER($BL$252),$B$183=1),$BL$252,HLOOKUP(INDIRECT(ADDRESS(2,COLUMN())),OFFSET($BN$2,0,0,ROW()-1,60),ROW()-1,FALSE))</f>
        <v>1004.643</v>
      </c>
      <c r="BM19">
        <f ca="1">IF(AND(ISNUMBER($BM$252),$B$183=1),$BM$252,HLOOKUP(INDIRECT(ADDRESS(2,COLUMN())),OFFSET($BN$2,0,0,ROW()-1,60),ROW()-1,FALSE))</f>
        <v>1089.614</v>
      </c>
      <c r="BN19">
        <f>1541.311095</f>
        <v>1541.311095</v>
      </c>
      <c r="BO19">
        <f>1573.801</f>
        <v>1573.8009999999999</v>
      </c>
      <c r="BP19">
        <f>1686.088</f>
        <v>1686.088</v>
      </c>
      <c r="BQ19">
        <f>1568.156</f>
        <v>1568.1559999999999</v>
      </c>
      <c r="BR19">
        <f>1461.407</f>
        <v>1461.4069999999999</v>
      </c>
      <c r="BS19">
        <f>1495.355</f>
        <v>1495.355</v>
      </c>
      <c r="BT19">
        <f>1777.163</f>
        <v>1777.163</v>
      </c>
      <c r="BU19">
        <f>1547.393</f>
        <v>1547.393</v>
      </c>
      <c r="BV19">
        <f>1453.918</f>
        <v>1453.9179999999999</v>
      </c>
      <c r="BW19">
        <f>1784.253</f>
        <v>1784.2529999999999</v>
      </c>
      <c r="BX19">
        <f>1485.117</f>
        <v>1485.117</v>
      </c>
      <c r="BY19">
        <f>1431.063</f>
        <v>1431.0630000000001</v>
      </c>
      <c r="BZ19">
        <f>1392.463</f>
        <v>1392.463</v>
      </c>
      <c r="CA19">
        <f>1529.363</f>
        <v>1529.3630000000001</v>
      </c>
      <c r="CB19">
        <f>1332.552</f>
        <v>1332.5519999999999</v>
      </c>
      <c r="CC19">
        <f>1261.197</f>
        <v>1261.1969999999999</v>
      </c>
      <c r="CD19">
        <f>1453.8</f>
        <v>1453.8</v>
      </c>
      <c r="CE19">
        <f>1127.407</f>
        <v>1127.4069999999999</v>
      </c>
      <c r="CF19">
        <f>1110.888</f>
        <v>1110.8879999999999</v>
      </c>
      <c r="CG19">
        <f>1024.738</f>
        <v>1024.7380000000001</v>
      </c>
      <c r="CH19">
        <f>1077.865</f>
        <v>1077.865</v>
      </c>
      <c r="CI19">
        <f>1059.337</f>
        <v>1059.337</v>
      </c>
      <c r="CJ19">
        <f>1131.495</f>
        <v>1131.4949999999999</v>
      </c>
      <c r="CK19">
        <f>948.399</f>
        <v>948.399</v>
      </c>
      <c r="CL19">
        <f>865.76</f>
        <v>865.76</v>
      </c>
      <c r="CM19">
        <f>1007.294</f>
        <v>1007.294</v>
      </c>
      <c r="CN19">
        <f>1003.9</f>
        <v>1003.9</v>
      </c>
      <c r="CO19">
        <f>892.146</f>
        <v>892.14599999999996</v>
      </c>
      <c r="CP19">
        <f>803.524</f>
        <v>803.524</v>
      </c>
      <c r="CQ19">
        <f>906.113</f>
        <v>906.11300000000006</v>
      </c>
      <c r="CR19">
        <f>713.496</f>
        <v>713.49599999999998</v>
      </c>
      <c r="CS19">
        <f>865.596</f>
        <v>865.596</v>
      </c>
      <c r="CT19">
        <f>322.615</f>
        <v>322.61500000000001</v>
      </c>
      <c r="CU19">
        <f>769.835</f>
        <v>769.83500000000004</v>
      </c>
      <c r="CV19">
        <f>451.855</f>
        <v>451.85500000000002</v>
      </c>
      <c r="CW19">
        <f>736.951</f>
        <v>736.95100000000002</v>
      </c>
      <c r="CX19">
        <f>458.342</f>
        <v>458.34199999999998</v>
      </c>
      <c r="CY19">
        <f>721.501</f>
        <v>721.50099999999998</v>
      </c>
      <c r="CZ19">
        <f>707.324</f>
        <v>707.32399999999996</v>
      </c>
      <c r="DA19">
        <f>720.095</f>
        <v>720.09500000000003</v>
      </c>
      <c r="DB19">
        <f>736.6305</f>
        <v>736.63049999999998</v>
      </c>
      <c r="DC19">
        <f>769.258</f>
        <v>769.25800000000004</v>
      </c>
      <c r="DD19">
        <f>731.258</f>
        <v>731.25800000000004</v>
      </c>
      <c r="DE19">
        <f>823.322</f>
        <v>823.322</v>
      </c>
      <c r="DF19">
        <f>847.678</f>
        <v>847.678</v>
      </c>
      <c r="DG19">
        <f>665.485</f>
        <v>665.48500000000001</v>
      </c>
      <c r="DH19">
        <f>970.927</f>
        <v>970.92700000000002</v>
      </c>
      <c r="DI19">
        <f>1020.359</f>
        <v>1020.359</v>
      </c>
      <c r="DJ19">
        <f>877.21</f>
        <v>877.21</v>
      </c>
      <c r="DK19">
        <f>1034.904</f>
        <v>1034.904</v>
      </c>
      <c r="DL19">
        <f>762.887</f>
        <v>762.88699999999994</v>
      </c>
      <c r="DM19">
        <f>1043.089</f>
        <v>1043.0889999999999</v>
      </c>
      <c r="DN19">
        <f>1048.6415</f>
        <v>1048.6415</v>
      </c>
      <c r="DO19">
        <f>881.434</f>
        <v>881.43399999999997</v>
      </c>
      <c r="DP19">
        <f>897.462</f>
        <v>897.46199999999999</v>
      </c>
      <c r="DQ19">
        <f>1040.843</f>
        <v>1040.8430000000001</v>
      </c>
      <c r="DR19">
        <f>1011.684</f>
        <v>1011.684</v>
      </c>
      <c r="DS19">
        <f>1093.978</f>
        <v>1093.9780000000001</v>
      </c>
      <c r="DT19">
        <f>1004.643</f>
        <v>1004.643</v>
      </c>
      <c r="DU19">
        <f>1089.614</f>
        <v>1089.614</v>
      </c>
    </row>
    <row r="20" spans="1:125">
      <c r="A20" t="str">
        <f>"    Industrial REITs"</f>
        <v xml:space="preserve">    Industrial REITs</v>
      </c>
      <c r="B20" t="str">
        <f>"RECFFOIN Index"</f>
        <v>RECFFOIN Index</v>
      </c>
      <c r="C20" t="str">
        <f t="shared" si="0"/>
        <v>PR005</v>
      </c>
      <c r="D20" t="str">
        <f t="shared" si="1"/>
        <v>PX_LAST</v>
      </c>
      <c r="E20" t="str">
        <f t="shared" si="2"/>
        <v>动态</v>
      </c>
      <c r="F20">
        <f ca="1">IF(AND(ISNUMBER($F$253),$B$183=1),$F$253,HLOOKUP(INDIRECT(ADDRESS(2,COLUMN())),OFFSET($BN$2,0,0,ROW()-1,60),ROW()-1,FALSE))</f>
        <v>941.42862930000001</v>
      </c>
      <c r="G20">
        <f ca="1">IF(AND(ISNUMBER($G$253),$B$183=1),$G$253,HLOOKUP(INDIRECT(ADDRESS(2,COLUMN())),OFFSET($BN$2,0,0,ROW()-1,60),ROW()-1,FALSE))</f>
        <v>987.04499999999996</v>
      </c>
      <c r="H20">
        <f ca="1">IF(AND(ISNUMBER($H$253),$B$183=1),$H$253,HLOOKUP(INDIRECT(ADDRESS(2,COLUMN())),OFFSET($BN$2,0,0,ROW()-1,60),ROW()-1,FALSE))</f>
        <v>953.74599999999998</v>
      </c>
      <c r="I20">
        <f ca="1">IF(AND(ISNUMBER($I$253),$B$183=1),$I$253,HLOOKUP(INDIRECT(ADDRESS(2,COLUMN())),OFFSET($BN$2,0,0,ROW()-1,60),ROW()-1,FALSE))</f>
        <v>838.072</v>
      </c>
      <c r="J20">
        <f ca="1">IF(AND(ISNUMBER($J$253),$B$183=1),$J$253,HLOOKUP(INDIRECT(ADDRESS(2,COLUMN())),OFFSET($BN$2,0,0,ROW()-1,60),ROW()-1,FALSE))</f>
        <v>983.11699999999996</v>
      </c>
      <c r="K20">
        <f ca="1">IF(AND(ISNUMBER($K$253),$B$183=1),$K$253,HLOOKUP(INDIRECT(ADDRESS(2,COLUMN())),OFFSET($BN$2,0,0,ROW()-1,60),ROW()-1,FALSE))</f>
        <v>911.86699999999996</v>
      </c>
      <c r="L20">
        <f ca="1">IF(AND(ISNUMBER($L$253),$B$183=1),$L$253,HLOOKUP(INDIRECT(ADDRESS(2,COLUMN())),OFFSET($BN$2,0,0,ROW()-1,60),ROW()-1,FALSE))</f>
        <v>789.13499999999999</v>
      </c>
      <c r="M20">
        <f ca="1">IF(AND(ISNUMBER($M$253),$B$183=1),$M$253,HLOOKUP(INDIRECT(ADDRESS(2,COLUMN())),OFFSET($BN$2,0,0,ROW()-1,60),ROW()-1,FALSE))</f>
        <v>804.00400000000002</v>
      </c>
      <c r="N20">
        <f ca="1">IF(AND(ISNUMBER($N$253),$B$183=1),$N$253,HLOOKUP(INDIRECT(ADDRESS(2,COLUMN())),OFFSET($BN$2,0,0,ROW()-1,60),ROW()-1,FALSE))</f>
        <v>730.12900000000002</v>
      </c>
      <c r="O20">
        <f ca="1">IF(AND(ISNUMBER($O$253),$B$183=1),$O$253,HLOOKUP(INDIRECT(ADDRESS(2,COLUMN())),OFFSET($BN$2,0,0,ROW()-1,60),ROW()-1,FALSE))</f>
        <v>854.38400000000001</v>
      </c>
      <c r="P20">
        <f ca="1">IF(AND(ISNUMBER($P$253),$B$183=1),$P$253,HLOOKUP(INDIRECT(ADDRESS(2,COLUMN())),OFFSET($BN$2,0,0,ROW()-1,60),ROW()-1,FALSE))</f>
        <v>678.02800000000002</v>
      </c>
      <c r="Q20">
        <f ca="1">IF(AND(ISNUMBER($Q$253),$B$183=1),$Q$253,HLOOKUP(INDIRECT(ADDRESS(2,COLUMN())),OFFSET($BN$2,0,0,ROW()-1,60),ROW()-1,FALSE))</f>
        <v>699.601</v>
      </c>
      <c r="R20">
        <f ca="1">IF(AND(ISNUMBER($R$253),$B$183=1),$R$253,HLOOKUP(INDIRECT(ADDRESS(2,COLUMN())),OFFSET($BN$2,0,0,ROW()-1,60),ROW()-1,FALSE))</f>
        <v>664.72400000000005</v>
      </c>
      <c r="S20">
        <f ca="1">IF(AND(ISNUMBER($S$253),$B$183=1),$S$253,HLOOKUP(INDIRECT(ADDRESS(2,COLUMN())),OFFSET($BN$2,0,0,ROW()-1,60),ROW()-1,FALSE))</f>
        <v>683.58900000000006</v>
      </c>
      <c r="T20">
        <f ca="1">IF(AND(ISNUMBER($T$253),$B$183=1),$T$253,HLOOKUP(INDIRECT(ADDRESS(2,COLUMN())),OFFSET($BN$2,0,0,ROW()-1,60),ROW()-1,FALSE))</f>
        <v>592.63400000000001</v>
      </c>
      <c r="U20">
        <f ca="1">IF(AND(ISNUMBER($U$253),$B$183=1),$U$253,HLOOKUP(INDIRECT(ADDRESS(2,COLUMN())),OFFSET($BN$2,0,0,ROW()-1,60),ROW()-1,FALSE))</f>
        <v>559.09199999999998</v>
      </c>
      <c r="V20">
        <f ca="1">IF(AND(ISNUMBER($V$253),$B$183=1),$V$253,HLOOKUP(INDIRECT(ADDRESS(2,COLUMN())),OFFSET($BN$2,0,0,ROW()-1,60),ROW()-1,FALSE))</f>
        <v>575.00800000000004</v>
      </c>
      <c r="W20">
        <f ca="1">IF(AND(ISNUMBER($W$253),$B$183=1),$W$253,HLOOKUP(INDIRECT(ADDRESS(2,COLUMN())),OFFSET($BN$2,0,0,ROW()-1,60),ROW()-1,FALSE))</f>
        <v>456.00200000000001</v>
      </c>
      <c r="X20">
        <f ca="1">IF(AND(ISNUMBER($X$253),$B$183=1),$X$253,HLOOKUP(INDIRECT(ADDRESS(2,COLUMN())),OFFSET($BN$2,0,0,ROW()-1,60),ROW()-1,FALSE))</f>
        <v>506.23599999999999</v>
      </c>
      <c r="Y20">
        <f ca="1">IF(AND(ISNUMBER($Y$253),$B$183=1),$Y$253,HLOOKUP(INDIRECT(ADDRESS(2,COLUMN())),OFFSET($BN$2,0,0,ROW()-1,60),ROW()-1,FALSE))</f>
        <v>684.92</v>
      </c>
      <c r="Z20">
        <f ca="1">IF(AND(ISNUMBER($Z$253),$B$183=1),$Z$253,HLOOKUP(INDIRECT(ADDRESS(2,COLUMN())),OFFSET($BN$2,0,0,ROW()-1,60),ROW()-1,FALSE))</f>
        <v>226.102</v>
      </c>
      <c r="AA20">
        <f ca="1">IF(AND(ISNUMBER($AA$253),$B$183=1),$AA$253,HLOOKUP(INDIRECT(ADDRESS(2,COLUMN())),OFFSET($BN$2,0,0,ROW()-1,60),ROW()-1,FALSE))</f>
        <v>506.22399999999999</v>
      </c>
      <c r="AB20">
        <f ca="1">IF(AND(ISNUMBER($AB$253),$B$183=1),$AB$253,HLOOKUP(INDIRECT(ADDRESS(2,COLUMN())),OFFSET($BN$2,0,0,ROW()-1,60),ROW()-1,FALSE))</f>
        <v>454.44400000000002</v>
      </c>
      <c r="AC20">
        <f ca="1">IF(AND(ISNUMBER($AC$253),$B$183=1),$AC$253,HLOOKUP(INDIRECT(ADDRESS(2,COLUMN())),OFFSET($BN$2,0,0,ROW()-1,60),ROW()-1,FALSE))</f>
        <v>523.572</v>
      </c>
      <c r="AD20">
        <f ca="1">IF(AND(ISNUMBER($AD$253),$B$183=1),$AD$253,HLOOKUP(INDIRECT(ADDRESS(2,COLUMN())),OFFSET($BN$2,0,0,ROW()-1,60),ROW()-1,FALSE))</f>
        <v>427.488</v>
      </c>
      <c r="AE20">
        <f ca="1">IF(AND(ISNUMBER($AE$253),$B$183=1),$AE$253,HLOOKUP(INDIRECT(ADDRESS(2,COLUMN())),OFFSET($BN$2,0,0,ROW()-1,60),ROW()-1,FALSE))</f>
        <v>549.35299999999995</v>
      </c>
      <c r="AF20">
        <f ca="1">IF(AND(ISNUMBER($AF$253),$B$183=1),$AF$253,HLOOKUP(INDIRECT(ADDRESS(2,COLUMN())),OFFSET($BN$2,0,0,ROW()-1,60),ROW()-1,FALSE))</f>
        <v>281.76499999999999</v>
      </c>
      <c r="AG20">
        <f ca="1">IF(AND(ISNUMBER($AG$253),$B$183=1),$AG$253,HLOOKUP(INDIRECT(ADDRESS(2,COLUMN())),OFFSET($BN$2,0,0,ROW()-1,60),ROW()-1,FALSE))</f>
        <v>387.286</v>
      </c>
      <c r="AH20">
        <f ca="1">IF(AND(ISNUMBER($AH$253),$B$183=1),$AH$253,HLOOKUP(INDIRECT(ADDRESS(2,COLUMN())),OFFSET($BN$2,0,0,ROW()-1,60),ROW()-1,FALSE))</f>
        <v>-846.13900000000001</v>
      </c>
      <c r="AI20">
        <f ca="1">IF(AND(ISNUMBER($AI$253),$B$183=1),$AI$253,HLOOKUP(INDIRECT(ADDRESS(2,COLUMN())),OFFSET($BN$2,0,0,ROW()-1,60),ROW()-1,FALSE))</f>
        <v>326.12549999999999</v>
      </c>
      <c r="AJ20">
        <f ca="1">IF(AND(ISNUMBER($AJ$253),$B$183=1),$AJ$253,HLOOKUP(INDIRECT(ADDRESS(2,COLUMN())),OFFSET($BN$2,0,0,ROW()-1,60),ROW()-1,FALSE))</f>
        <v>362.79</v>
      </c>
      <c r="AK20">
        <f ca="1">IF(AND(ISNUMBER($AK$253),$B$183=1),$AK$253,HLOOKUP(INDIRECT(ADDRESS(2,COLUMN())),OFFSET($BN$2,0,0,ROW()-1,60),ROW()-1,FALSE))</f>
        <v>294.01400000000001</v>
      </c>
      <c r="AL20">
        <f ca="1">IF(AND(ISNUMBER($AL$253),$B$183=1),$AL$253,HLOOKUP(INDIRECT(ADDRESS(2,COLUMN())),OFFSET($BN$2,0,0,ROW()-1,60),ROW()-1,FALSE))</f>
        <v>6.8280000000000003</v>
      </c>
      <c r="AM20">
        <f ca="1">IF(AND(ISNUMBER($AM$253),$B$183=1),$AM$253,HLOOKUP(INDIRECT(ADDRESS(2,COLUMN())),OFFSET($BN$2,0,0,ROW()-1,60),ROW()-1,FALSE))</f>
        <v>159.416</v>
      </c>
      <c r="AN20">
        <f ca="1">IF(AND(ISNUMBER($AN$253),$B$183=1),$AN$253,HLOOKUP(INDIRECT(ADDRESS(2,COLUMN())),OFFSET($BN$2,0,0,ROW()-1,60),ROW()-1,FALSE))</f>
        <v>468.43700000000001</v>
      </c>
      <c r="AO20">
        <f ca="1">IF(AND(ISNUMBER($AO$253),$B$183=1),$AO$253,HLOOKUP(INDIRECT(ADDRESS(2,COLUMN())),OFFSET($BN$2,0,0,ROW()-1,60),ROW()-1,FALSE))</f>
        <v>534.30600000000004</v>
      </c>
      <c r="AP20">
        <f ca="1">IF(AND(ISNUMBER($AP$253),$B$183=1),$AP$253,HLOOKUP(INDIRECT(ADDRESS(2,COLUMN())),OFFSET($BN$2,0,0,ROW()-1,60),ROW()-1,FALSE))</f>
        <v>-688.18399999999997</v>
      </c>
      <c r="AQ20">
        <f ca="1">IF(AND(ISNUMBER($AQ$253),$B$183=1),$AQ$253,HLOOKUP(INDIRECT(ADDRESS(2,COLUMN())),OFFSET($BN$2,0,0,ROW()-1,60),ROW()-1,FALSE))</f>
        <v>510.108</v>
      </c>
      <c r="AR20">
        <f ca="1">IF(AND(ISNUMBER($AR$253),$B$183=1),$AR$253,HLOOKUP(INDIRECT(ADDRESS(2,COLUMN())),OFFSET($BN$2,0,0,ROW()-1,60),ROW()-1,FALSE))</f>
        <v>708.95600000000002</v>
      </c>
      <c r="AS20">
        <f ca="1">IF(AND(ISNUMBER($AS$253),$B$183=1),$AS$253,HLOOKUP(INDIRECT(ADDRESS(2,COLUMN())),OFFSET($BN$2,0,0,ROW()-1,60),ROW()-1,FALSE))</f>
        <v>634.42399999999998</v>
      </c>
      <c r="AT20">
        <f ca="1">IF(AND(ISNUMBER($AT$253),$B$183=1),$AT$253,HLOOKUP(INDIRECT(ADDRESS(2,COLUMN())),OFFSET($BN$2,0,0,ROW()-1,60),ROW()-1,FALSE))</f>
        <v>653.48450000000003</v>
      </c>
      <c r="AU20">
        <f ca="1">IF(AND(ISNUMBER($AU$253),$B$183=1),$AU$253,HLOOKUP(INDIRECT(ADDRESS(2,COLUMN())),OFFSET($BN$2,0,0,ROW()-1,60),ROW()-1,FALSE))</f>
        <v>727.87800000000004</v>
      </c>
      <c r="AV20">
        <f ca="1">IF(AND(ISNUMBER($AV$253),$B$183=1),$AV$253,HLOOKUP(INDIRECT(ADDRESS(2,COLUMN())),OFFSET($BN$2,0,0,ROW()-1,60),ROW()-1,FALSE))</f>
        <v>714.02099999999996</v>
      </c>
      <c r="AW20">
        <f ca="1">IF(AND(ISNUMBER($AW$253),$B$183=1),$AW$253,HLOOKUP(INDIRECT(ADDRESS(2,COLUMN())),OFFSET($BN$2,0,0,ROW()-1,60),ROW()-1,FALSE))</f>
        <v>668.79600000000005</v>
      </c>
      <c r="AX20">
        <f ca="1">IF(AND(ISNUMBER($AX$253),$B$183=1),$AX$253,HLOOKUP(INDIRECT(ADDRESS(2,COLUMN())),OFFSET($BN$2,0,0,ROW()-1,60),ROW()-1,FALSE))</f>
        <v>732.99099999999999</v>
      </c>
      <c r="AY20">
        <f ca="1">IF(AND(ISNUMBER($AY$253),$B$183=1),$AY$253,HLOOKUP(INDIRECT(ADDRESS(2,COLUMN())),OFFSET($BN$2,0,0,ROW()-1,60),ROW()-1,FALSE))</f>
        <v>565.20600000000002</v>
      </c>
      <c r="AZ20">
        <f ca="1">IF(AND(ISNUMBER($AZ$253),$B$183=1),$AZ$253,HLOOKUP(INDIRECT(ADDRESS(2,COLUMN())),OFFSET($BN$2,0,0,ROW()-1,60),ROW()-1,FALSE))</f>
        <v>573.476</v>
      </c>
      <c r="BA20">
        <f ca="1">IF(AND(ISNUMBER($BA$253),$B$183=1),$BA$253,HLOOKUP(INDIRECT(ADDRESS(2,COLUMN())),OFFSET($BN$2,0,0,ROW()-1,60),ROW()-1,FALSE))</f>
        <v>528.79499999999996</v>
      </c>
      <c r="BB20">
        <f ca="1">IF(AND(ISNUMBER($BB$253),$B$183=1),$BB$253,HLOOKUP(INDIRECT(ADDRESS(2,COLUMN())),OFFSET($BN$2,0,0,ROW()-1,60),ROW()-1,FALSE))</f>
        <v>517.46900000000005</v>
      </c>
      <c r="BC20">
        <f ca="1">IF(AND(ISNUMBER($BC$253),$B$183=1),$BC$253,HLOOKUP(INDIRECT(ADDRESS(2,COLUMN())),OFFSET($BN$2,0,0,ROW()-1,60),ROW()-1,FALSE))</f>
        <v>498.33300000000003</v>
      </c>
      <c r="BD20">
        <f ca="1">IF(AND(ISNUMBER($BD$253),$B$183=1),$BD$253,HLOOKUP(INDIRECT(ADDRESS(2,COLUMN())),OFFSET($BN$2,0,0,ROW()-1,60),ROW()-1,FALSE))</f>
        <v>523.06600000000003</v>
      </c>
      <c r="BE20">
        <f ca="1">IF(AND(ISNUMBER($BE$253),$B$183=1),$BE$253,HLOOKUP(INDIRECT(ADDRESS(2,COLUMN())),OFFSET($BN$2,0,0,ROW()-1,60),ROW()-1,FALSE))</f>
        <v>490.596</v>
      </c>
      <c r="BF20">
        <f ca="1">IF(AND(ISNUMBER($BF$253),$B$183=1),$BF$253,HLOOKUP(INDIRECT(ADDRESS(2,COLUMN())),OFFSET($BN$2,0,0,ROW()-1,60),ROW()-1,FALSE))</f>
        <v>489.25400000000002</v>
      </c>
      <c r="BG20">
        <f ca="1">IF(AND(ISNUMBER($BG$253),$B$183=1),$BG$253,HLOOKUP(INDIRECT(ADDRESS(2,COLUMN())),OFFSET($BN$2,0,0,ROW()-1,60),ROW()-1,FALSE))</f>
        <v>526.94500000000005</v>
      </c>
      <c r="BH20">
        <f ca="1">IF(AND(ISNUMBER($BH$253),$B$183=1),$BH$253,HLOOKUP(INDIRECT(ADDRESS(2,COLUMN())),OFFSET($BN$2,0,0,ROW()-1,60),ROW()-1,FALSE))</f>
        <v>495.08699999999999</v>
      </c>
      <c r="BI20">
        <f ca="1">IF(AND(ISNUMBER($BI$253),$B$183=1),$BI$253,HLOOKUP(INDIRECT(ADDRESS(2,COLUMN())),OFFSET($BN$2,0,0,ROW()-1,60),ROW()-1,FALSE))</f>
        <v>468.91399999999999</v>
      </c>
      <c r="BJ20">
        <f ca="1">IF(AND(ISNUMBER($BJ$253),$B$183=1),$BJ$253,HLOOKUP(INDIRECT(ADDRESS(2,COLUMN())),OFFSET($BN$2,0,0,ROW()-1,60),ROW()-1,FALSE))</f>
        <v>488.13900000000001</v>
      </c>
      <c r="BK20">
        <f ca="1">IF(AND(ISNUMBER($BK$253),$B$183=1),$BK$253,HLOOKUP(INDIRECT(ADDRESS(2,COLUMN())),OFFSET($BN$2,0,0,ROW()-1,60),ROW()-1,FALSE))</f>
        <v>373.62200000000001</v>
      </c>
      <c r="BL20">
        <f ca="1">IF(AND(ISNUMBER($BL$253),$B$183=1),$BL$253,HLOOKUP(INDIRECT(ADDRESS(2,COLUMN())),OFFSET($BN$2,0,0,ROW()-1,60),ROW()-1,FALSE))</f>
        <v>405.34300000000002</v>
      </c>
      <c r="BM20">
        <f ca="1">IF(AND(ISNUMBER($BM$253),$B$183=1),$BM$253,HLOOKUP(INDIRECT(ADDRESS(2,COLUMN())),OFFSET($BN$2,0,0,ROW()-1,60),ROW()-1,FALSE))</f>
        <v>413.11099999999999</v>
      </c>
      <c r="BN20">
        <f>941.4286293</f>
        <v>941.42862930000001</v>
      </c>
      <c r="BO20">
        <f>987.045</f>
        <v>987.04499999999996</v>
      </c>
      <c r="BP20">
        <f>953.746</f>
        <v>953.74599999999998</v>
      </c>
      <c r="BQ20">
        <f>838.072</f>
        <v>838.072</v>
      </c>
      <c r="BR20">
        <f>983.117</f>
        <v>983.11699999999996</v>
      </c>
      <c r="BS20">
        <f>911.867</f>
        <v>911.86699999999996</v>
      </c>
      <c r="BT20">
        <f>789.135</f>
        <v>789.13499999999999</v>
      </c>
      <c r="BU20">
        <f>804.004</f>
        <v>804.00400000000002</v>
      </c>
      <c r="BV20">
        <f>730.129</f>
        <v>730.12900000000002</v>
      </c>
      <c r="BW20">
        <f>854.384</f>
        <v>854.38400000000001</v>
      </c>
      <c r="BX20">
        <f>678.028</f>
        <v>678.02800000000002</v>
      </c>
      <c r="BY20">
        <f>699.601</f>
        <v>699.601</v>
      </c>
      <c r="BZ20">
        <f>664.724</f>
        <v>664.72400000000005</v>
      </c>
      <c r="CA20">
        <f>683.589</f>
        <v>683.58900000000006</v>
      </c>
      <c r="CB20">
        <f>592.634</f>
        <v>592.63400000000001</v>
      </c>
      <c r="CC20">
        <f>559.092</f>
        <v>559.09199999999998</v>
      </c>
      <c r="CD20">
        <f>575.008</f>
        <v>575.00800000000004</v>
      </c>
      <c r="CE20">
        <f>456.002</f>
        <v>456.00200000000001</v>
      </c>
      <c r="CF20">
        <f>506.236</f>
        <v>506.23599999999999</v>
      </c>
      <c r="CG20">
        <f>684.92</f>
        <v>684.92</v>
      </c>
      <c r="CH20">
        <f>226.102</f>
        <v>226.102</v>
      </c>
      <c r="CI20">
        <f>506.224</f>
        <v>506.22399999999999</v>
      </c>
      <c r="CJ20">
        <f>454.444</f>
        <v>454.44400000000002</v>
      </c>
      <c r="CK20">
        <f>523.572</f>
        <v>523.572</v>
      </c>
      <c r="CL20">
        <f>427.488</f>
        <v>427.488</v>
      </c>
      <c r="CM20">
        <f>549.353</f>
        <v>549.35299999999995</v>
      </c>
      <c r="CN20">
        <f>281.765</f>
        <v>281.76499999999999</v>
      </c>
      <c r="CO20">
        <f>387.286</f>
        <v>387.286</v>
      </c>
      <c r="CP20">
        <f>-846.139</f>
        <v>-846.13900000000001</v>
      </c>
      <c r="CQ20">
        <f>326.1255</f>
        <v>326.12549999999999</v>
      </c>
      <c r="CR20">
        <f>362.79</f>
        <v>362.79</v>
      </c>
      <c r="CS20">
        <f>294.014</f>
        <v>294.01400000000001</v>
      </c>
      <c r="CT20">
        <f>6.828</f>
        <v>6.8280000000000003</v>
      </c>
      <c r="CU20">
        <f>159.416</f>
        <v>159.416</v>
      </c>
      <c r="CV20">
        <f>468.437</f>
        <v>468.43700000000001</v>
      </c>
      <c r="CW20">
        <f>534.306</f>
        <v>534.30600000000004</v>
      </c>
      <c r="CX20">
        <f>-688.184</f>
        <v>-688.18399999999997</v>
      </c>
      <c r="CY20">
        <f>510.108</f>
        <v>510.108</v>
      </c>
      <c r="CZ20">
        <f>708.956</f>
        <v>708.95600000000002</v>
      </c>
      <c r="DA20">
        <f>634.424</f>
        <v>634.42399999999998</v>
      </c>
      <c r="DB20">
        <f>653.4845</f>
        <v>653.48450000000003</v>
      </c>
      <c r="DC20">
        <f>727.878</f>
        <v>727.87800000000004</v>
      </c>
      <c r="DD20">
        <f>714.021</f>
        <v>714.02099999999996</v>
      </c>
      <c r="DE20">
        <f>668.796</f>
        <v>668.79600000000005</v>
      </c>
      <c r="DF20">
        <f>732.991</f>
        <v>732.99099999999999</v>
      </c>
      <c r="DG20">
        <f>565.206</f>
        <v>565.20600000000002</v>
      </c>
      <c r="DH20">
        <f>573.476</f>
        <v>573.476</v>
      </c>
      <c r="DI20">
        <f>528.795</f>
        <v>528.79499999999996</v>
      </c>
      <c r="DJ20">
        <f>517.469</f>
        <v>517.46900000000005</v>
      </c>
      <c r="DK20">
        <f>498.333</f>
        <v>498.33300000000003</v>
      </c>
      <c r="DL20">
        <f>523.066</f>
        <v>523.06600000000003</v>
      </c>
      <c r="DM20">
        <f>490.596</f>
        <v>490.596</v>
      </c>
      <c r="DN20">
        <f>489.254</f>
        <v>489.25400000000002</v>
      </c>
      <c r="DO20">
        <f>526.945</f>
        <v>526.94500000000005</v>
      </c>
      <c r="DP20">
        <f>495.087</f>
        <v>495.08699999999999</v>
      </c>
      <c r="DQ20">
        <f>468.914</f>
        <v>468.91399999999999</v>
      </c>
      <c r="DR20">
        <f>488.139</f>
        <v>488.13900000000001</v>
      </c>
      <c r="DS20">
        <f>373.622</f>
        <v>373.62200000000001</v>
      </c>
      <c r="DT20">
        <f>405.343</f>
        <v>405.34300000000002</v>
      </c>
      <c r="DU20">
        <f>413.111</f>
        <v>413.11099999999999</v>
      </c>
    </row>
    <row r="21" spans="1:125">
      <c r="A21" t="str">
        <f>"    Retail REITs"</f>
        <v xml:space="preserve">    Retail REITs</v>
      </c>
      <c r="B21" t="str">
        <f>"RECFFORT Index"</f>
        <v>RECFFORT Index</v>
      </c>
      <c r="C21" t="str">
        <f t="shared" si="0"/>
        <v>PR005</v>
      </c>
      <c r="D21" t="str">
        <f t="shared" si="1"/>
        <v>PX_LAST</v>
      </c>
      <c r="E21" t="str">
        <f t="shared" si="2"/>
        <v>动态</v>
      </c>
      <c r="F21">
        <f ca="1">IF(AND(ISNUMBER($F$254),$B$183=1),$F$254,HLOOKUP(INDIRECT(ADDRESS(2,COLUMN())),OFFSET($BN$2,0,0,ROW()-1,60),ROW()-1,FALSE))</f>
        <v>3576.972487</v>
      </c>
      <c r="G21">
        <f ca="1">IF(AND(ISNUMBER($G$254),$B$183=1),$G$254,HLOOKUP(INDIRECT(ADDRESS(2,COLUMN())),OFFSET($BN$2,0,0,ROW()-1,60),ROW()-1,FALSE))</f>
        <v>3383.7130000000002</v>
      </c>
      <c r="H21">
        <f ca="1">IF(AND(ISNUMBER($H$254),$B$183=1),$H$254,HLOOKUP(INDIRECT(ADDRESS(2,COLUMN())),OFFSET($BN$2,0,0,ROW()-1,60),ROW()-1,FALSE))</f>
        <v>3374.9490000000001</v>
      </c>
      <c r="I21">
        <f ca="1">IF(AND(ISNUMBER($I$254),$B$183=1),$I$254,HLOOKUP(INDIRECT(ADDRESS(2,COLUMN())),OFFSET($BN$2,0,0,ROW()-1,60),ROW()-1,FALSE))</f>
        <v>3139.335</v>
      </c>
      <c r="J21">
        <f ca="1">IF(AND(ISNUMBER($J$254),$B$183=1),$J$254,HLOOKUP(INDIRECT(ADDRESS(2,COLUMN())),OFFSET($BN$2,0,0,ROW()-1,60),ROW()-1,FALSE))</f>
        <v>3542.9380000000001</v>
      </c>
      <c r="K21">
        <f ca="1">IF(AND(ISNUMBER($K$254),$B$183=1),$K$254,HLOOKUP(INDIRECT(ADDRESS(2,COLUMN())),OFFSET($BN$2,0,0,ROW()-1,60),ROW()-1,FALSE))</f>
        <v>3197.6930000000002</v>
      </c>
      <c r="L21">
        <f ca="1">IF(AND(ISNUMBER($L$254),$B$183=1),$L$254,HLOOKUP(INDIRECT(ADDRESS(2,COLUMN())),OFFSET($BN$2,0,0,ROW()-1,60),ROW()-1,FALSE))</f>
        <v>3368.18</v>
      </c>
      <c r="M21">
        <f ca="1">IF(AND(ISNUMBER($M$254),$B$183=1),$M$254,HLOOKUP(INDIRECT(ADDRESS(2,COLUMN())),OFFSET($BN$2,0,0,ROW()-1,60),ROW()-1,FALSE))</f>
        <v>3302.06</v>
      </c>
      <c r="N21">
        <f ca="1">IF(AND(ISNUMBER($N$254),$B$183=1),$N$254,HLOOKUP(INDIRECT(ADDRESS(2,COLUMN())),OFFSET($BN$2,0,0,ROW()-1,60),ROW()-1,FALSE))</f>
        <v>3317.5169999999998</v>
      </c>
      <c r="O21">
        <f ca="1">IF(AND(ISNUMBER($O$254),$B$183=1),$O$254,HLOOKUP(INDIRECT(ADDRESS(2,COLUMN())),OFFSET($BN$2,0,0,ROW()-1,60),ROW()-1,FALSE))</f>
        <v>3198.5050000000001</v>
      </c>
      <c r="P21">
        <f ca="1">IF(AND(ISNUMBER($P$254),$B$183=1),$P$254,HLOOKUP(INDIRECT(ADDRESS(2,COLUMN())),OFFSET($BN$2,0,0,ROW()-1,60),ROW()-1,FALSE))</f>
        <v>3150.7959999999998</v>
      </c>
      <c r="Q21">
        <f ca="1">IF(AND(ISNUMBER($Q$254),$B$183=1),$Q$254,HLOOKUP(INDIRECT(ADDRESS(2,COLUMN())),OFFSET($BN$2,0,0,ROW()-1,60),ROW()-1,FALSE))</f>
        <v>2955.1849999999999</v>
      </c>
      <c r="R21">
        <f ca="1">IF(AND(ISNUMBER($R$254),$B$183=1),$R$254,HLOOKUP(INDIRECT(ADDRESS(2,COLUMN())),OFFSET($BN$2,0,0,ROW()-1,60),ROW()-1,FALSE))</f>
        <v>2989.8829999999998</v>
      </c>
      <c r="S21">
        <f ca="1">IF(AND(ISNUMBER($S$254),$B$183=1),$S$254,HLOOKUP(INDIRECT(ADDRESS(2,COLUMN())),OFFSET($BN$2,0,0,ROW()-1,60),ROW()-1,FALSE))</f>
        <v>2941.0059999999999</v>
      </c>
      <c r="T21">
        <f ca="1">IF(AND(ISNUMBER($T$254),$B$183=1),$T$254,HLOOKUP(INDIRECT(ADDRESS(2,COLUMN())),OFFSET($BN$2,0,0,ROW()-1,60),ROW()-1,FALSE))</f>
        <v>2748.913</v>
      </c>
      <c r="U21">
        <f ca="1">IF(AND(ISNUMBER($U$254),$B$183=1),$U$254,HLOOKUP(INDIRECT(ADDRESS(2,COLUMN())),OFFSET($BN$2,0,0,ROW()-1,60),ROW()-1,FALSE))</f>
        <v>2636.0740000000001</v>
      </c>
      <c r="V21">
        <f ca="1">IF(AND(ISNUMBER($V$254),$B$183=1),$V$254,HLOOKUP(INDIRECT(ADDRESS(2,COLUMN())),OFFSET($BN$2,0,0,ROW()-1,60),ROW()-1,FALSE))</f>
        <v>2660.4670000000001</v>
      </c>
      <c r="W21">
        <f ca="1">IF(AND(ISNUMBER($W$254),$B$183=1),$W$254,HLOOKUP(INDIRECT(ADDRESS(2,COLUMN())),OFFSET($BN$2,0,0,ROW()-1,60),ROW()-1,FALSE))</f>
        <v>2496.8330000000001</v>
      </c>
      <c r="X21">
        <f ca="1">IF(AND(ISNUMBER($X$254),$B$183=1),$X$254,HLOOKUP(INDIRECT(ADDRESS(2,COLUMN())),OFFSET($BN$2,0,0,ROW()-1,60),ROW()-1,FALSE))</f>
        <v>2309.4059999999999</v>
      </c>
      <c r="Y21">
        <f ca="1">IF(AND(ISNUMBER($Y$254),$B$183=1),$Y$254,HLOOKUP(INDIRECT(ADDRESS(2,COLUMN())),OFFSET($BN$2,0,0,ROW()-1,60),ROW()-1,FALSE))</f>
        <v>2055.2260000000001</v>
      </c>
      <c r="Z21">
        <f ca="1">IF(AND(ISNUMBER($Z$254),$B$183=1),$Z$254,HLOOKUP(INDIRECT(ADDRESS(2,COLUMN())),OFFSET($BN$2,0,0,ROW()-1,60),ROW()-1,FALSE))</f>
        <v>2267.498</v>
      </c>
      <c r="AA21">
        <f ca="1">IF(AND(ISNUMBER($AA$254),$B$183=1),$AA$254,HLOOKUP(INDIRECT(ADDRESS(2,COLUMN())),OFFSET($BN$2,0,0,ROW()-1,60),ROW()-1,FALSE))</f>
        <v>1960.855</v>
      </c>
      <c r="AB21">
        <f ca="1">IF(AND(ISNUMBER($AB$254),$B$183=1),$AB$254,HLOOKUP(INDIRECT(ADDRESS(2,COLUMN())),OFFSET($BN$2,0,0,ROW()-1,60),ROW()-1,FALSE))</f>
        <v>2034.4549999999999</v>
      </c>
      <c r="AC21">
        <f ca="1">IF(AND(ISNUMBER($AC$254),$B$183=1),$AC$254,HLOOKUP(INDIRECT(ADDRESS(2,COLUMN())),OFFSET($BN$2,0,0,ROW()-1,60),ROW()-1,FALSE))</f>
        <v>1695.2180000000001</v>
      </c>
      <c r="AD21">
        <f ca="1">IF(AND(ISNUMBER($AD$254),$B$183=1),$AD$254,HLOOKUP(INDIRECT(ADDRESS(2,COLUMN())),OFFSET($BN$2,0,0,ROW()-1,60),ROW()-1,FALSE))</f>
        <v>1775.2719999999999</v>
      </c>
      <c r="AE21">
        <f ca="1">IF(AND(ISNUMBER($AE$254),$B$183=1),$AE$254,HLOOKUP(INDIRECT(ADDRESS(2,COLUMN())),OFFSET($BN$2,0,0,ROW()-1,60),ROW()-1,FALSE))</f>
        <v>2045.683</v>
      </c>
      <c r="AF21">
        <f ca="1">IF(AND(ISNUMBER($AF$254),$B$183=1),$AF$254,HLOOKUP(INDIRECT(ADDRESS(2,COLUMN())),OFFSET($BN$2,0,0,ROW()-1,60),ROW()-1,FALSE))</f>
        <v>1543.13</v>
      </c>
      <c r="AG21">
        <f ca="1">IF(AND(ISNUMBER($AG$254),$B$183=1),$AG$254,HLOOKUP(INDIRECT(ADDRESS(2,COLUMN())),OFFSET($BN$2,0,0,ROW()-1,60),ROW()-1,FALSE))</f>
        <v>1844.028</v>
      </c>
      <c r="AH21">
        <f ca="1">IF(AND(ISNUMBER($AH$254),$B$183=1),$AH$254,HLOOKUP(INDIRECT(ADDRESS(2,COLUMN())),OFFSET($BN$2,0,0,ROW()-1,60),ROW()-1,FALSE))</f>
        <v>1722.2070000000001</v>
      </c>
      <c r="AI21">
        <f ca="1">IF(AND(ISNUMBER($AI$254),$B$183=1),$AI$254,HLOOKUP(INDIRECT(ADDRESS(2,COLUMN())),OFFSET($BN$2,0,0,ROW()-1,60),ROW()-1,FALSE))</f>
        <v>1113.327</v>
      </c>
      <c r="AJ21">
        <f ca="1">IF(AND(ISNUMBER($AJ$254),$B$183=1),$AJ$254,HLOOKUP(INDIRECT(ADDRESS(2,COLUMN())),OFFSET($BN$2,0,0,ROW()-1,60),ROW()-1,FALSE))</f>
        <v>1174.8710000000001</v>
      </c>
      <c r="AK21">
        <f ca="1">IF(AND(ISNUMBER($AK$254),$B$183=1),$AK$254,HLOOKUP(INDIRECT(ADDRESS(2,COLUMN())),OFFSET($BN$2,0,0,ROW()-1,60),ROW()-1,FALSE))</f>
        <v>1122.105</v>
      </c>
      <c r="AL21">
        <f ca="1">IF(AND(ISNUMBER($AL$254),$B$183=1),$AL$254,HLOOKUP(INDIRECT(ADDRESS(2,COLUMN())),OFFSET($BN$2,0,0,ROW()-1,60),ROW()-1,FALSE))</f>
        <v>1275.0070000000001</v>
      </c>
      <c r="AM21">
        <f ca="1">IF(AND(ISNUMBER($AM$254),$B$183=1),$AM$254,HLOOKUP(INDIRECT(ADDRESS(2,COLUMN())),OFFSET($BN$2,0,0,ROW()-1,60),ROW()-1,FALSE))</f>
        <v>1006.479</v>
      </c>
      <c r="AN21">
        <f ca="1">IF(AND(ISNUMBER($AN$254),$B$183=1),$AN$254,HLOOKUP(INDIRECT(ADDRESS(2,COLUMN())),OFFSET($BN$2,0,0,ROW()-1,60),ROW()-1,FALSE))</f>
        <v>747.51199999999994</v>
      </c>
      <c r="AO21">
        <f ca="1">IF(AND(ISNUMBER($AO$254),$B$183=1),$AO$254,HLOOKUP(INDIRECT(ADDRESS(2,COLUMN())),OFFSET($BN$2,0,0,ROW()-1,60),ROW()-1,FALSE))</f>
        <v>1500.453</v>
      </c>
      <c r="AP21">
        <f ca="1">IF(AND(ISNUMBER($AP$254),$B$183=1),$AP$254,HLOOKUP(INDIRECT(ADDRESS(2,COLUMN())),OFFSET($BN$2,0,0,ROW()-1,60),ROW()-1,FALSE))</f>
        <v>1145.566</v>
      </c>
      <c r="AQ21">
        <f ca="1">IF(AND(ISNUMBER($AQ$254),$B$183=1),$AQ$254,HLOOKUP(INDIRECT(ADDRESS(2,COLUMN())),OFFSET($BN$2,0,0,ROW()-1,60),ROW()-1,FALSE))</f>
        <v>1591.287</v>
      </c>
      <c r="AR21">
        <f ca="1">IF(AND(ISNUMBER($AR$254),$B$183=1),$AR$254,HLOOKUP(INDIRECT(ADDRESS(2,COLUMN())),OFFSET($BN$2,0,0,ROW()-1,60),ROW()-1,FALSE))</f>
        <v>1597.3209999999999</v>
      </c>
      <c r="AS21">
        <f ca="1">IF(AND(ISNUMBER($AS$254),$B$183=1),$AS$254,HLOOKUP(INDIRECT(ADDRESS(2,COLUMN())),OFFSET($BN$2,0,0,ROW()-1,60),ROW()-1,FALSE))</f>
        <v>1641.296</v>
      </c>
      <c r="AT21">
        <f ca="1">IF(AND(ISNUMBER($AT$254),$B$183=1),$AT$254,HLOOKUP(INDIRECT(ADDRESS(2,COLUMN())),OFFSET($BN$2,0,0,ROW()-1,60),ROW()-1,FALSE))</f>
        <v>1691.5934999999999</v>
      </c>
      <c r="AU21">
        <f ca="1">IF(AND(ISNUMBER($AU$254),$B$183=1),$AU$254,HLOOKUP(INDIRECT(ADDRESS(2,COLUMN())),OFFSET($BN$2,0,0,ROW()-1,60),ROW()-1,FALSE))</f>
        <v>1651.42</v>
      </c>
      <c r="AV21">
        <f ca="1">IF(AND(ISNUMBER($AV$254),$B$183=1),$AV$254,HLOOKUP(INDIRECT(ADDRESS(2,COLUMN())),OFFSET($BN$2,0,0,ROW()-1,60),ROW()-1,FALSE))</f>
        <v>1667.1569999999999</v>
      </c>
      <c r="AW21">
        <f ca="1">IF(AND(ISNUMBER($AW$254),$B$183=1),$AW$254,HLOOKUP(INDIRECT(ADDRESS(2,COLUMN())),OFFSET($BN$2,0,0,ROW()-1,60),ROW()-1,FALSE))</f>
        <v>1950.114</v>
      </c>
      <c r="AX21">
        <f ca="1">IF(AND(ISNUMBER($AX$254),$B$183=1),$AX$254,HLOOKUP(INDIRECT(ADDRESS(2,COLUMN())),OFFSET($BN$2,0,0,ROW()-1,60),ROW()-1,FALSE))</f>
        <v>1657.3275000000001</v>
      </c>
      <c r="AY21">
        <f ca="1">IF(AND(ISNUMBER($AY$254),$B$183=1),$AY$254,HLOOKUP(INDIRECT(ADDRESS(2,COLUMN())),OFFSET($BN$2,0,0,ROW()-1,60),ROW()-1,FALSE))</f>
        <v>1524.385</v>
      </c>
      <c r="AZ21">
        <f ca="1">IF(AND(ISNUMBER($AZ$254),$B$183=1),$AZ$254,HLOOKUP(INDIRECT(ADDRESS(2,COLUMN())),OFFSET($BN$2,0,0,ROW()-1,60),ROW()-1,FALSE))</f>
        <v>1544.3720000000001</v>
      </c>
      <c r="BA21">
        <f ca="1">IF(AND(ISNUMBER($BA$254),$B$183=1),$BA$254,HLOOKUP(INDIRECT(ADDRESS(2,COLUMN())),OFFSET($BN$2,0,0,ROW()-1,60),ROW()-1,FALSE))</f>
        <v>1606.7139999999999</v>
      </c>
      <c r="BB21">
        <f ca="1">IF(AND(ISNUMBER($BB$254),$B$183=1),$BB$254,HLOOKUP(INDIRECT(ADDRESS(2,COLUMN())),OFFSET($BN$2,0,0,ROW()-1,60),ROW()-1,FALSE))</f>
        <v>1782.963</v>
      </c>
      <c r="BC21">
        <f ca="1">IF(AND(ISNUMBER($BC$254),$B$183=1),$BC$254,HLOOKUP(INDIRECT(ADDRESS(2,COLUMN())),OFFSET($BN$2,0,0,ROW()-1,60),ROW()-1,FALSE))</f>
        <v>1561.1420000000001</v>
      </c>
      <c r="BD21">
        <f ca="1">IF(AND(ISNUMBER($BD$254),$B$183=1),$BD$254,HLOOKUP(INDIRECT(ADDRESS(2,COLUMN())),OFFSET($BN$2,0,0,ROW()-1,60),ROW()-1,FALSE))</f>
        <v>1620.5360000000001</v>
      </c>
      <c r="BE21">
        <f ca="1">IF(AND(ISNUMBER($BE$254),$B$183=1),$BE$254,HLOOKUP(INDIRECT(ADDRESS(2,COLUMN())),OFFSET($BN$2,0,0,ROW()-1,60),ROW()-1,FALSE))</f>
        <v>1604.3679999999999</v>
      </c>
      <c r="BF21">
        <f ca="1">IF(AND(ISNUMBER($BF$254),$B$183=1),$BF$254,HLOOKUP(INDIRECT(ADDRESS(2,COLUMN())),OFFSET($BN$2,0,0,ROW()-1,60),ROW()-1,FALSE))</f>
        <v>1690.319</v>
      </c>
      <c r="BG21">
        <f ca="1">IF(AND(ISNUMBER($BG$254),$B$183=1),$BG$254,HLOOKUP(INDIRECT(ADDRESS(2,COLUMN())),OFFSET($BN$2,0,0,ROW()-1,60),ROW()-1,FALSE))</f>
        <v>1438.249</v>
      </c>
      <c r="BH21">
        <f ca="1">IF(AND(ISNUMBER($BH$254),$B$183=1),$BH$254,HLOOKUP(INDIRECT(ADDRESS(2,COLUMN())),OFFSET($BN$2,0,0,ROW()-1,60),ROW()-1,FALSE))</f>
        <v>1505.829</v>
      </c>
      <c r="BI21">
        <f ca="1">IF(AND(ISNUMBER($BI$254),$B$183=1),$BI$254,HLOOKUP(INDIRECT(ADDRESS(2,COLUMN())),OFFSET($BN$2,0,0,ROW()-1,60),ROW()-1,FALSE))</f>
        <v>1401.547</v>
      </c>
      <c r="BJ21">
        <f ca="1">IF(AND(ISNUMBER($BJ$254),$B$183=1),$BJ$254,HLOOKUP(INDIRECT(ADDRESS(2,COLUMN())),OFFSET($BN$2,0,0,ROW()-1,60),ROW()-1,FALSE))</f>
        <v>1436.8810000000001</v>
      </c>
      <c r="BK21">
        <f ca="1">IF(AND(ISNUMBER($BK$254),$B$183=1),$BK$254,HLOOKUP(INDIRECT(ADDRESS(2,COLUMN())),OFFSET($BN$2,0,0,ROW()-1,60),ROW()-1,FALSE))</f>
        <v>1316.193</v>
      </c>
      <c r="BL21">
        <f ca="1">IF(AND(ISNUMBER($BL$254),$B$183=1),$BL$254,HLOOKUP(INDIRECT(ADDRESS(2,COLUMN())),OFFSET($BN$2,0,0,ROW()-1,60),ROW()-1,FALSE))</f>
        <v>1257.52</v>
      </c>
      <c r="BM21">
        <f ca="1">IF(AND(ISNUMBER($BM$254),$B$183=1),$BM$254,HLOOKUP(INDIRECT(ADDRESS(2,COLUMN())),OFFSET($BN$2,0,0,ROW()-1,60),ROW()-1,FALSE))</f>
        <v>1231.162</v>
      </c>
      <c r="BN21">
        <f>3576.972487</f>
        <v>3576.972487</v>
      </c>
      <c r="BO21">
        <f>3383.713</f>
        <v>3383.7130000000002</v>
      </c>
      <c r="BP21">
        <f>3374.949</f>
        <v>3374.9490000000001</v>
      </c>
      <c r="BQ21">
        <f>3139.335</f>
        <v>3139.335</v>
      </c>
      <c r="BR21">
        <f>3542.938</f>
        <v>3542.9380000000001</v>
      </c>
      <c r="BS21">
        <f>3197.693</f>
        <v>3197.6930000000002</v>
      </c>
      <c r="BT21">
        <f>3368.18</f>
        <v>3368.18</v>
      </c>
      <c r="BU21">
        <f>3302.06</f>
        <v>3302.06</v>
      </c>
      <c r="BV21">
        <f>3317.517</f>
        <v>3317.5169999999998</v>
      </c>
      <c r="BW21">
        <f>3198.505</f>
        <v>3198.5050000000001</v>
      </c>
      <c r="BX21">
        <f>3150.796</f>
        <v>3150.7959999999998</v>
      </c>
      <c r="BY21">
        <f>2955.185</f>
        <v>2955.1849999999999</v>
      </c>
      <c r="BZ21">
        <f>2989.883</f>
        <v>2989.8829999999998</v>
      </c>
      <c r="CA21">
        <f>2941.006</f>
        <v>2941.0059999999999</v>
      </c>
      <c r="CB21">
        <f>2748.913</f>
        <v>2748.913</v>
      </c>
      <c r="CC21">
        <f>2636.074</f>
        <v>2636.0740000000001</v>
      </c>
      <c r="CD21">
        <f>2660.467</f>
        <v>2660.4670000000001</v>
      </c>
      <c r="CE21">
        <f>2496.833</f>
        <v>2496.8330000000001</v>
      </c>
      <c r="CF21">
        <f>2309.406</f>
        <v>2309.4059999999999</v>
      </c>
      <c r="CG21">
        <f>2055.226</f>
        <v>2055.2260000000001</v>
      </c>
      <c r="CH21">
        <f>2267.498</f>
        <v>2267.498</v>
      </c>
      <c r="CI21">
        <f>1960.855</f>
        <v>1960.855</v>
      </c>
      <c r="CJ21">
        <f>2034.455</f>
        <v>2034.4549999999999</v>
      </c>
      <c r="CK21">
        <f>1695.218</f>
        <v>1695.2180000000001</v>
      </c>
      <c r="CL21">
        <f>1775.272</f>
        <v>1775.2719999999999</v>
      </c>
      <c r="CM21">
        <f>2045.683</f>
        <v>2045.683</v>
      </c>
      <c r="CN21">
        <f>1543.13</f>
        <v>1543.13</v>
      </c>
      <c r="CO21">
        <f>1844.028</f>
        <v>1844.028</v>
      </c>
      <c r="CP21">
        <f>1722.207</f>
        <v>1722.2070000000001</v>
      </c>
      <c r="CQ21">
        <f>1113.327</f>
        <v>1113.327</v>
      </c>
      <c r="CR21">
        <f>1174.871</f>
        <v>1174.8710000000001</v>
      </c>
      <c r="CS21">
        <f>1122.105</f>
        <v>1122.105</v>
      </c>
      <c r="CT21">
        <f>1275.007</f>
        <v>1275.0070000000001</v>
      </c>
      <c r="CU21">
        <f>1006.479</f>
        <v>1006.479</v>
      </c>
      <c r="CV21">
        <f>747.512</f>
        <v>747.51199999999994</v>
      </c>
      <c r="CW21">
        <f>1500.453</f>
        <v>1500.453</v>
      </c>
      <c r="CX21">
        <f>1145.566</f>
        <v>1145.566</v>
      </c>
      <c r="CY21">
        <f>1591.287</f>
        <v>1591.287</v>
      </c>
      <c r="CZ21">
        <f>1597.321</f>
        <v>1597.3209999999999</v>
      </c>
      <c r="DA21">
        <f>1641.296</f>
        <v>1641.296</v>
      </c>
      <c r="DB21">
        <f>1691.5935</f>
        <v>1691.5934999999999</v>
      </c>
      <c r="DC21">
        <f>1651.42</f>
        <v>1651.42</v>
      </c>
      <c r="DD21">
        <f>1667.157</f>
        <v>1667.1569999999999</v>
      </c>
      <c r="DE21">
        <f>1950.114</f>
        <v>1950.114</v>
      </c>
      <c r="DF21">
        <f>1657.3275</f>
        <v>1657.3275000000001</v>
      </c>
      <c r="DG21">
        <f>1524.385</f>
        <v>1524.385</v>
      </c>
      <c r="DH21">
        <f>1544.372</f>
        <v>1544.3720000000001</v>
      </c>
      <c r="DI21">
        <f>1606.714</f>
        <v>1606.7139999999999</v>
      </c>
      <c r="DJ21">
        <f>1782.963</f>
        <v>1782.963</v>
      </c>
      <c r="DK21">
        <f>1561.142</f>
        <v>1561.1420000000001</v>
      </c>
      <c r="DL21">
        <f>1620.536</f>
        <v>1620.5360000000001</v>
      </c>
      <c r="DM21">
        <f>1604.368</f>
        <v>1604.3679999999999</v>
      </c>
      <c r="DN21">
        <f>1690.319</f>
        <v>1690.319</v>
      </c>
      <c r="DO21">
        <f>1438.249</f>
        <v>1438.249</v>
      </c>
      <c r="DP21">
        <f>1505.829</f>
        <v>1505.829</v>
      </c>
      <c r="DQ21">
        <f>1401.547</f>
        <v>1401.547</v>
      </c>
      <c r="DR21">
        <f>1436.881</f>
        <v>1436.8810000000001</v>
      </c>
      <c r="DS21">
        <f>1316.193</f>
        <v>1316.193</v>
      </c>
      <c r="DT21">
        <f>1257.52</f>
        <v>1257.52</v>
      </c>
      <c r="DU21">
        <f>1231.162</f>
        <v>1231.162</v>
      </c>
    </row>
    <row r="22" spans="1:125">
      <c r="A22" t="str">
        <f>"    Shopping Center REITs"</f>
        <v xml:space="preserve">    Shopping Center REITs</v>
      </c>
      <c r="B22" t="str">
        <f>"RECFFOSC Index"</f>
        <v>RECFFOSC Index</v>
      </c>
      <c r="C22" t="str">
        <f t="shared" si="0"/>
        <v>PR005</v>
      </c>
      <c r="D22" t="str">
        <f t="shared" si="1"/>
        <v>PX_LAST</v>
      </c>
      <c r="E22" t="str">
        <f t="shared" si="2"/>
        <v>动态</v>
      </c>
      <c r="F22">
        <f ca="1">IF(AND(ISNUMBER($F$255),$B$183=1),$F$255,HLOOKUP(INDIRECT(ADDRESS(2,COLUMN())),OFFSET($BN$2,0,0,ROW()-1,60),ROW()-1,FALSE))</f>
        <v>1062.672499</v>
      </c>
      <c r="G22">
        <f ca="1">IF(AND(ISNUMBER($G$255),$B$183=1),$G$255,HLOOKUP(INDIRECT(ADDRESS(2,COLUMN())),OFFSET($BN$2,0,0,ROW()-1,60),ROW()-1,FALSE))</f>
        <v>1026.912</v>
      </c>
      <c r="H22">
        <f ca="1">IF(AND(ISNUMBER($H$255),$B$183=1),$H$255,HLOOKUP(INDIRECT(ADDRESS(2,COLUMN())),OFFSET($BN$2,0,0,ROW()-1,60),ROW()-1,FALSE))</f>
        <v>1117.1179999999999</v>
      </c>
      <c r="I22">
        <f ca="1">IF(AND(ISNUMBER($I$255),$B$183=1),$I$255,HLOOKUP(INDIRECT(ADDRESS(2,COLUMN())),OFFSET($BN$2,0,0,ROW()-1,60),ROW()-1,FALSE))</f>
        <v>884.35699999999997</v>
      </c>
      <c r="J22">
        <f ca="1">IF(AND(ISNUMBER($J$255),$B$183=1),$J$255,HLOOKUP(INDIRECT(ADDRESS(2,COLUMN())),OFFSET($BN$2,0,0,ROW()-1,60),ROW()-1,FALSE))</f>
        <v>1082.1489999999999</v>
      </c>
      <c r="K22">
        <f ca="1">IF(AND(ISNUMBER($K$255),$B$183=1),$K$255,HLOOKUP(INDIRECT(ADDRESS(2,COLUMN())),OFFSET($BN$2,0,0,ROW()-1,60),ROW()-1,FALSE))</f>
        <v>934.73299999999995</v>
      </c>
      <c r="L22">
        <f ca="1">IF(AND(ISNUMBER($L$255),$B$183=1),$L$255,HLOOKUP(INDIRECT(ADDRESS(2,COLUMN())),OFFSET($BN$2,0,0,ROW()-1,60),ROW()-1,FALSE))</f>
        <v>1116.4159999999999</v>
      </c>
      <c r="M22">
        <f ca="1">IF(AND(ISNUMBER($M$255),$B$183=1),$M$255,HLOOKUP(INDIRECT(ADDRESS(2,COLUMN())),OFFSET($BN$2,0,0,ROW()-1,60),ROW()-1,FALSE))</f>
        <v>1071.7249999999999</v>
      </c>
      <c r="N22">
        <f ca="1">IF(AND(ISNUMBER($N$255),$B$183=1),$N$255,HLOOKUP(INDIRECT(ADDRESS(2,COLUMN())),OFFSET($BN$2,0,0,ROW()-1,60),ROW()-1,FALSE))</f>
        <v>1034.954</v>
      </c>
      <c r="O22">
        <f ca="1">IF(AND(ISNUMBER($O$255),$B$183=1),$O$255,HLOOKUP(INDIRECT(ADDRESS(2,COLUMN())),OFFSET($BN$2,0,0,ROW()-1,60),ROW()-1,FALSE))</f>
        <v>1059.2349999999999</v>
      </c>
      <c r="P22">
        <f ca="1">IF(AND(ISNUMBER($P$255),$B$183=1),$P$255,HLOOKUP(INDIRECT(ADDRESS(2,COLUMN())),OFFSET($BN$2,0,0,ROW()-1,60),ROW()-1,FALSE))</f>
        <v>1035.883</v>
      </c>
      <c r="Q22">
        <f ca="1">IF(AND(ISNUMBER($Q$255),$B$183=1),$Q$255,HLOOKUP(INDIRECT(ADDRESS(2,COLUMN())),OFFSET($BN$2,0,0,ROW()-1,60),ROW()-1,FALSE))</f>
        <v>878.553</v>
      </c>
      <c r="R22">
        <f ca="1">IF(AND(ISNUMBER($R$255),$B$183=1),$R$255,HLOOKUP(INDIRECT(ADDRESS(2,COLUMN())),OFFSET($BN$2,0,0,ROW()-1,60),ROW()-1,FALSE))</f>
        <v>876.88599999999997</v>
      </c>
      <c r="S22">
        <f ca="1">IF(AND(ISNUMBER($S$255),$B$183=1),$S$255,HLOOKUP(INDIRECT(ADDRESS(2,COLUMN())),OFFSET($BN$2,0,0,ROW()-1,60),ROW()-1,FALSE))</f>
        <v>975.83199999999999</v>
      </c>
      <c r="T22">
        <f ca="1">IF(AND(ISNUMBER($T$255),$B$183=1),$T$255,HLOOKUP(INDIRECT(ADDRESS(2,COLUMN())),OFFSET($BN$2,0,0,ROW()-1,60),ROW()-1,FALSE))</f>
        <v>913.35199999999998</v>
      </c>
      <c r="U22">
        <f ca="1">IF(AND(ISNUMBER($U$255),$B$183=1),$U$255,HLOOKUP(INDIRECT(ADDRESS(2,COLUMN())),OFFSET($BN$2,0,0,ROW()-1,60),ROW()-1,FALSE))</f>
        <v>898.83500000000004</v>
      </c>
      <c r="V22">
        <f ca="1">IF(AND(ISNUMBER($V$255),$B$183=1),$V$255,HLOOKUP(INDIRECT(ADDRESS(2,COLUMN())),OFFSET($BN$2,0,0,ROW()-1,60),ROW()-1,FALSE))</f>
        <v>871.54200000000003</v>
      </c>
      <c r="W22">
        <f ca="1">IF(AND(ISNUMBER($W$255),$B$183=1),$W$255,HLOOKUP(INDIRECT(ADDRESS(2,COLUMN())),OFFSET($BN$2,0,0,ROW()-1,60),ROW()-1,FALSE))</f>
        <v>779.899</v>
      </c>
      <c r="X22">
        <f ca="1">IF(AND(ISNUMBER($X$255),$B$183=1),$X$255,HLOOKUP(INDIRECT(ADDRESS(2,COLUMN())),OFFSET($BN$2,0,0,ROW()-1,60),ROW()-1,FALSE))</f>
        <v>729.04600000000005</v>
      </c>
      <c r="Y22">
        <f ca="1">IF(AND(ISNUMBER($Y$255),$B$183=1),$Y$255,HLOOKUP(INDIRECT(ADDRESS(2,COLUMN())),OFFSET($BN$2,0,0,ROW()-1,60),ROW()-1,FALSE))</f>
        <v>684.00199999999995</v>
      </c>
      <c r="Z22">
        <f ca="1">IF(AND(ISNUMBER($Z$255),$B$183=1),$Z$255,HLOOKUP(INDIRECT(ADDRESS(2,COLUMN())),OFFSET($BN$2,0,0,ROW()-1,60),ROW()-1,FALSE))</f>
        <v>617.50300000000004</v>
      </c>
      <c r="AA22">
        <f ca="1">IF(AND(ISNUMBER($AA$255),$B$183=1),$AA$255,HLOOKUP(INDIRECT(ADDRESS(2,COLUMN())),OFFSET($BN$2,0,0,ROW()-1,60),ROW()-1,FALSE))</f>
        <v>681.255</v>
      </c>
      <c r="AB22">
        <f ca="1">IF(AND(ISNUMBER($AB$255),$B$183=1),$AB$255,HLOOKUP(INDIRECT(ADDRESS(2,COLUMN())),OFFSET($BN$2,0,0,ROW()-1,60),ROW()-1,FALSE))</f>
        <v>681.89099999999996</v>
      </c>
      <c r="AC22">
        <f ca="1">IF(AND(ISNUMBER($AC$255),$B$183=1),$AC$255,HLOOKUP(INDIRECT(ADDRESS(2,COLUMN())),OFFSET($BN$2,0,0,ROW()-1,60),ROW()-1,FALSE))</f>
        <v>547.85199999999998</v>
      </c>
      <c r="AD22">
        <f ca="1">IF(AND(ISNUMBER($AD$255),$B$183=1),$AD$255,HLOOKUP(INDIRECT(ADDRESS(2,COLUMN())),OFFSET($BN$2,0,0,ROW()-1,60),ROW()-1,FALSE))</f>
        <v>546.03800000000001</v>
      </c>
      <c r="AE22">
        <f ca="1">IF(AND(ISNUMBER($AE$255),$B$183=1),$AE$255,HLOOKUP(INDIRECT(ADDRESS(2,COLUMN())),OFFSET($BN$2,0,0,ROW()-1,60),ROW()-1,FALSE))</f>
        <v>500.77699999999999</v>
      </c>
      <c r="AF22">
        <f ca="1">IF(AND(ISNUMBER($AF$255),$B$183=1),$AF$255,HLOOKUP(INDIRECT(ADDRESS(2,COLUMN())),OFFSET($BN$2,0,0,ROW()-1,60),ROW()-1,FALSE))</f>
        <v>492.96499999999997</v>
      </c>
      <c r="AG22">
        <f ca="1">IF(AND(ISNUMBER($AG$255),$B$183=1),$AG$255,HLOOKUP(INDIRECT(ADDRESS(2,COLUMN())),OFFSET($BN$2,0,0,ROW()-1,60),ROW()-1,FALSE))</f>
        <v>591.25400000000002</v>
      </c>
      <c r="AH22">
        <f ca="1">IF(AND(ISNUMBER($AH$255),$B$183=1),$AH$255,HLOOKUP(INDIRECT(ADDRESS(2,COLUMN())),OFFSET($BN$2,0,0,ROW()-1,60),ROW()-1,FALSE))</f>
        <v>417.97899999999998</v>
      </c>
      <c r="AI22">
        <f ca="1">IF(AND(ISNUMBER($AI$255),$B$183=1),$AI$255,HLOOKUP(INDIRECT(ADDRESS(2,COLUMN())),OFFSET($BN$2,0,0,ROW()-1,60),ROW()-1,FALSE))</f>
        <v>444.71499999999997</v>
      </c>
      <c r="AJ22">
        <f ca="1">IF(AND(ISNUMBER($AJ$255),$B$183=1),$AJ$255,HLOOKUP(INDIRECT(ADDRESS(2,COLUMN())),OFFSET($BN$2,0,0,ROW()-1,60),ROW()-1,FALSE))</f>
        <v>379.62900000000002</v>
      </c>
      <c r="AK22">
        <f ca="1">IF(AND(ISNUMBER($AK$255),$B$183=1),$AK$255,HLOOKUP(INDIRECT(ADDRESS(2,COLUMN())),OFFSET($BN$2,0,0,ROW()-1,60),ROW()-1,FALSE))</f>
        <v>464.02199999999999</v>
      </c>
      <c r="AL22">
        <f ca="1">IF(AND(ISNUMBER($AL$255),$B$183=1),$AL$255,HLOOKUP(INDIRECT(ADDRESS(2,COLUMN())),OFFSET($BN$2,0,0,ROW()-1,60),ROW()-1,FALSE))</f>
        <v>416.464</v>
      </c>
      <c r="AM22">
        <f ca="1">IF(AND(ISNUMBER($AM$255),$B$183=1),$AM$255,HLOOKUP(INDIRECT(ADDRESS(2,COLUMN())),OFFSET($BN$2,0,0,ROW()-1,60),ROW()-1,FALSE))</f>
        <v>271.37400000000002</v>
      </c>
      <c r="AN22">
        <f ca="1">IF(AND(ISNUMBER($AN$255),$B$183=1),$AN$255,HLOOKUP(INDIRECT(ADDRESS(2,COLUMN())),OFFSET($BN$2,0,0,ROW()-1,60),ROW()-1,FALSE))</f>
        <v>93.716999999999999</v>
      </c>
      <c r="AO22">
        <f ca="1">IF(AND(ISNUMBER($AO$255),$B$183=1),$AO$255,HLOOKUP(INDIRECT(ADDRESS(2,COLUMN())),OFFSET($BN$2,0,0,ROW()-1,60),ROW()-1,FALSE))</f>
        <v>647.35299999999995</v>
      </c>
      <c r="AP22">
        <f ca="1">IF(AND(ISNUMBER($AP$255),$B$183=1),$AP$255,HLOOKUP(INDIRECT(ADDRESS(2,COLUMN())),OFFSET($BN$2,0,0,ROW()-1,60),ROW()-1,FALSE))</f>
        <v>206.41399999999999</v>
      </c>
      <c r="AQ22">
        <f ca="1">IF(AND(ISNUMBER($AQ$255),$B$183=1),$AQ$255,HLOOKUP(INDIRECT(ADDRESS(2,COLUMN())),OFFSET($BN$2,0,0,ROW()-1,60),ROW()-1,FALSE))</f>
        <v>589.53099999999995</v>
      </c>
      <c r="AR22">
        <f ca="1">IF(AND(ISNUMBER($AR$255),$B$183=1),$AR$255,HLOOKUP(INDIRECT(ADDRESS(2,COLUMN())),OFFSET($BN$2,0,0,ROW()-1,60),ROW()-1,FALSE))</f>
        <v>602.98599999999999</v>
      </c>
      <c r="AS22">
        <f ca="1">IF(AND(ISNUMBER($AS$255),$B$183=1),$AS$255,HLOOKUP(INDIRECT(ADDRESS(2,COLUMN())),OFFSET($BN$2,0,0,ROW()-1,60),ROW()-1,FALSE))</f>
        <v>607.05600000000004</v>
      </c>
      <c r="AT22">
        <f ca="1">IF(AND(ISNUMBER($AT$255),$B$183=1),$AT$255,HLOOKUP(INDIRECT(ADDRESS(2,COLUMN())),OFFSET($BN$2,0,0,ROW()-1,60),ROW()-1,FALSE))</f>
        <v>585.64449999999999</v>
      </c>
      <c r="AU22">
        <f ca="1">IF(AND(ISNUMBER($AU$255),$B$183=1),$AU$255,HLOOKUP(INDIRECT(ADDRESS(2,COLUMN())),OFFSET($BN$2,0,0,ROW()-1,60),ROW()-1,FALSE))</f>
        <v>590.5</v>
      </c>
      <c r="AV22">
        <f ca="1">IF(AND(ISNUMBER($AV$255),$B$183=1),$AV$255,HLOOKUP(INDIRECT(ADDRESS(2,COLUMN())),OFFSET($BN$2,0,0,ROW()-1,60),ROW()-1,FALSE))</f>
        <v>688.27</v>
      </c>
      <c r="AW22">
        <f ca="1">IF(AND(ISNUMBER($AW$255),$B$183=1),$AW$255,HLOOKUP(INDIRECT(ADDRESS(2,COLUMN())),OFFSET($BN$2,0,0,ROW()-1,60),ROW()-1,FALSE))</f>
        <v>665.64499999999998</v>
      </c>
      <c r="AX22">
        <f ca="1">IF(AND(ISNUMBER($AX$255),$B$183=1),$AX$255,HLOOKUP(INDIRECT(ADDRESS(2,COLUMN())),OFFSET($BN$2,0,0,ROW()-1,60),ROW()-1,FALSE))</f>
        <v>628.13199999999995</v>
      </c>
      <c r="AY22">
        <f ca="1">IF(AND(ISNUMBER($AY$255),$B$183=1),$AY$255,HLOOKUP(INDIRECT(ADDRESS(2,COLUMN())),OFFSET($BN$2,0,0,ROW()-1,60),ROW()-1,FALSE))</f>
        <v>614.16899999999998</v>
      </c>
      <c r="AZ22">
        <f ca="1">IF(AND(ISNUMBER($AZ$255),$B$183=1),$AZ$255,HLOOKUP(INDIRECT(ADDRESS(2,COLUMN())),OFFSET($BN$2,0,0,ROW()-1,60),ROW()-1,FALSE))</f>
        <v>648.78899999999999</v>
      </c>
      <c r="BA22">
        <f ca="1">IF(AND(ISNUMBER($BA$255),$B$183=1),$BA$255,HLOOKUP(INDIRECT(ADDRESS(2,COLUMN())),OFFSET($BN$2,0,0,ROW()-1,60),ROW()-1,FALSE))</f>
        <v>663.03599999999994</v>
      </c>
      <c r="BB22">
        <f ca="1">IF(AND(ISNUMBER($BB$255),$B$183=1),$BB$255,HLOOKUP(INDIRECT(ADDRESS(2,COLUMN())),OFFSET($BN$2,0,0,ROW()-1,60),ROW()-1,FALSE))</f>
        <v>639.56100000000004</v>
      </c>
      <c r="BC22">
        <f ca="1">IF(AND(ISNUMBER($BC$255),$B$183=1),$BC$255,HLOOKUP(INDIRECT(ADDRESS(2,COLUMN())),OFFSET($BN$2,0,0,ROW()-1,60),ROW()-1,FALSE))</f>
        <v>609.19000000000005</v>
      </c>
      <c r="BD22">
        <f ca="1">IF(AND(ISNUMBER($BD$255),$B$183=1),$BD$255,HLOOKUP(INDIRECT(ADDRESS(2,COLUMN())),OFFSET($BN$2,0,0,ROW()-1,60),ROW()-1,FALSE))</f>
        <v>641.35799999999995</v>
      </c>
      <c r="BE22">
        <f ca="1">IF(AND(ISNUMBER($BE$255),$B$183=1),$BE$255,HLOOKUP(INDIRECT(ADDRESS(2,COLUMN())),OFFSET($BN$2,0,0,ROW()-1,60),ROW()-1,FALSE))</f>
        <v>636.79100000000005</v>
      </c>
      <c r="BF22">
        <f ca="1">IF(AND(ISNUMBER($BF$255),$B$183=1),$BF$255,HLOOKUP(INDIRECT(ADDRESS(2,COLUMN())),OFFSET($BN$2,0,0,ROW()-1,60),ROW()-1,FALSE))</f>
        <v>602.41300000000001</v>
      </c>
      <c r="BG22">
        <f ca="1">IF(AND(ISNUMBER($BG$255),$B$183=1),$BG$255,HLOOKUP(INDIRECT(ADDRESS(2,COLUMN())),OFFSET($BN$2,0,0,ROW()-1,60),ROW()-1,FALSE))</f>
        <v>580.24699999999996</v>
      </c>
      <c r="BH22">
        <f ca="1">IF(AND(ISNUMBER($BH$255),$B$183=1),$BH$255,HLOOKUP(INDIRECT(ADDRESS(2,COLUMN())),OFFSET($BN$2,0,0,ROW()-1,60),ROW()-1,FALSE))</f>
        <v>614.74300000000005</v>
      </c>
      <c r="BI22">
        <f ca="1">IF(AND(ISNUMBER($BI$255),$B$183=1),$BI$255,HLOOKUP(INDIRECT(ADDRESS(2,COLUMN())),OFFSET($BN$2,0,0,ROW()-1,60),ROW()-1,FALSE))</f>
        <v>559.971</v>
      </c>
      <c r="BJ22">
        <f ca="1">IF(AND(ISNUMBER($BJ$255),$B$183=1),$BJ$255,HLOOKUP(INDIRECT(ADDRESS(2,COLUMN())),OFFSET($BN$2,0,0,ROW()-1,60),ROW()-1,FALSE))</f>
        <v>460.4135</v>
      </c>
      <c r="BK22">
        <f ca="1">IF(AND(ISNUMBER($BK$255),$B$183=1),$BK$255,HLOOKUP(INDIRECT(ADDRESS(2,COLUMN())),OFFSET($BN$2,0,0,ROW()-1,60),ROW()-1,FALSE))</f>
        <v>534.37400000000002</v>
      </c>
      <c r="BL22">
        <f ca="1">IF(AND(ISNUMBER($BL$255),$B$183=1),$BL$255,HLOOKUP(INDIRECT(ADDRESS(2,COLUMN())),OFFSET($BN$2,0,0,ROW()-1,60),ROW()-1,FALSE))</f>
        <v>501.334</v>
      </c>
      <c r="BM22">
        <f ca="1">IF(AND(ISNUMBER($BM$255),$B$183=1),$BM$255,HLOOKUP(INDIRECT(ADDRESS(2,COLUMN())),OFFSET($BN$2,0,0,ROW()-1,60),ROW()-1,FALSE))</f>
        <v>503.27300000000002</v>
      </c>
      <c r="BN22">
        <f>1062.672499</f>
        <v>1062.672499</v>
      </c>
      <c r="BO22">
        <f>1026.912</f>
        <v>1026.912</v>
      </c>
      <c r="BP22">
        <f>1117.118</f>
        <v>1117.1179999999999</v>
      </c>
      <c r="BQ22">
        <f>884.357</f>
        <v>884.35699999999997</v>
      </c>
      <c r="BR22">
        <f>1082.149</f>
        <v>1082.1489999999999</v>
      </c>
      <c r="BS22">
        <f>934.733</f>
        <v>934.73299999999995</v>
      </c>
      <c r="BT22">
        <f>1116.416</f>
        <v>1116.4159999999999</v>
      </c>
      <c r="BU22">
        <f>1071.725</f>
        <v>1071.7249999999999</v>
      </c>
      <c r="BV22">
        <f>1034.954</f>
        <v>1034.954</v>
      </c>
      <c r="BW22">
        <f>1059.235</f>
        <v>1059.2349999999999</v>
      </c>
      <c r="BX22">
        <f>1035.883</f>
        <v>1035.883</v>
      </c>
      <c r="BY22">
        <f>878.553</f>
        <v>878.553</v>
      </c>
      <c r="BZ22">
        <f>876.886</f>
        <v>876.88599999999997</v>
      </c>
      <c r="CA22">
        <f>975.832</f>
        <v>975.83199999999999</v>
      </c>
      <c r="CB22">
        <f>913.352</f>
        <v>913.35199999999998</v>
      </c>
      <c r="CC22">
        <f>898.835</f>
        <v>898.83500000000004</v>
      </c>
      <c r="CD22">
        <f>871.542</f>
        <v>871.54200000000003</v>
      </c>
      <c r="CE22">
        <f>779.899</f>
        <v>779.899</v>
      </c>
      <c r="CF22">
        <f>729.046</f>
        <v>729.04600000000005</v>
      </c>
      <c r="CG22">
        <f>684.002</f>
        <v>684.00199999999995</v>
      </c>
      <c r="CH22">
        <f>617.503</f>
        <v>617.50300000000004</v>
      </c>
      <c r="CI22">
        <f>681.255</f>
        <v>681.255</v>
      </c>
      <c r="CJ22">
        <f>681.891</f>
        <v>681.89099999999996</v>
      </c>
      <c r="CK22">
        <f>547.852</f>
        <v>547.85199999999998</v>
      </c>
      <c r="CL22">
        <f>546.038</f>
        <v>546.03800000000001</v>
      </c>
      <c r="CM22">
        <f>500.777</f>
        <v>500.77699999999999</v>
      </c>
      <c r="CN22">
        <f>492.965</f>
        <v>492.96499999999997</v>
      </c>
      <c r="CO22">
        <f>591.254</f>
        <v>591.25400000000002</v>
      </c>
      <c r="CP22">
        <f>417.979</f>
        <v>417.97899999999998</v>
      </c>
      <c r="CQ22">
        <f>444.715</f>
        <v>444.71499999999997</v>
      </c>
      <c r="CR22">
        <f>379.629</f>
        <v>379.62900000000002</v>
      </c>
      <c r="CS22">
        <f>464.022</f>
        <v>464.02199999999999</v>
      </c>
      <c r="CT22">
        <f>416.464</f>
        <v>416.464</v>
      </c>
      <c r="CU22">
        <f>271.374</f>
        <v>271.37400000000002</v>
      </c>
      <c r="CV22">
        <f>93.717</f>
        <v>93.716999999999999</v>
      </c>
      <c r="CW22">
        <f>647.353</f>
        <v>647.35299999999995</v>
      </c>
      <c r="CX22">
        <f>206.414</f>
        <v>206.41399999999999</v>
      </c>
      <c r="CY22">
        <f>589.531</f>
        <v>589.53099999999995</v>
      </c>
      <c r="CZ22">
        <f>602.986</f>
        <v>602.98599999999999</v>
      </c>
      <c r="DA22">
        <f>607.056</f>
        <v>607.05600000000004</v>
      </c>
      <c r="DB22">
        <f>585.6445</f>
        <v>585.64449999999999</v>
      </c>
      <c r="DC22">
        <f>590.5</f>
        <v>590.5</v>
      </c>
      <c r="DD22">
        <f>688.27</f>
        <v>688.27</v>
      </c>
      <c r="DE22">
        <f>665.645</f>
        <v>665.64499999999998</v>
      </c>
      <c r="DF22">
        <f>628.132</f>
        <v>628.13199999999995</v>
      </c>
      <c r="DG22">
        <f>614.169</f>
        <v>614.16899999999998</v>
      </c>
      <c r="DH22">
        <f>648.789</f>
        <v>648.78899999999999</v>
      </c>
      <c r="DI22">
        <f>663.036</f>
        <v>663.03599999999994</v>
      </c>
      <c r="DJ22">
        <f>639.561</f>
        <v>639.56100000000004</v>
      </c>
      <c r="DK22">
        <f>609.19</f>
        <v>609.19000000000005</v>
      </c>
      <c r="DL22">
        <f>641.358</f>
        <v>641.35799999999995</v>
      </c>
      <c r="DM22">
        <f>636.791</f>
        <v>636.79100000000005</v>
      </c>
      <c r="DN22">
        <f>602.413</f>
        <v>602.41300000000001</v>
      </c>
      <c r="DO22">
        <f>580.247</f>
        <v>580.24699999999996</v>
      </c>
      <c r="DP22">
        <f>614.743</f>
        <v>614.74300000000005</v>
      </c>
      <c r="DQ22">
        <f>559.971</f>
        <v>559.971</v>
      </c>
      <c r="DR22">
        <f>460.4135</f>
        <v>460.4135</v>
      </c>
      <c r="DS22">
        <f>534.374</f>
        <v>534.37400000000002</v>
      </c>
      <c r="DT22">
        <f>501.334</f>
        <v>501.334</v>
      </c>
      <c r="DU22">
        <f>503.273</f>
        <v>503.27300000000002</v>
      </c>
    </row>
    <row r="23" spans="1:125">
      <c r="A23" t="str">
        <f>"    Regional Mall REITs"</f>
        <v xml:space="preserve">    Regional Mall REITs</v>
      </c>
      <c r="B23" t="str">
        <f>"RECFFORM Index"</f>
        <v>RECFFORM Index</v>
      </c>
      <c r="C23" t="str">
        <f t="shared" si="0"/>
        <v>PR005</v>
      </c>
      <c r="D23" t="str">
        <f t="shared" si="1"/>
        <v>PX_LAST</v>
      </c>
      <c r="E23" t="str">
        <f t="shared" si="2"/>
        <v>动态</v>
      </c>
      <c r="F23">
        <f ca="1">IF(AND(ISNUMBER($F$256),$B$183=1),$F$256,HLOOKUP(INDIRECT(ADDRESS(2,COLUMN())),OFFSET($BN$2,0,0,ROW()-1,60),ROW()-1,FALSE))</f>
        <v>2015.3764369999999</v>
      </c>
      <c r="G23">
        <f ca="1">IF(AND(ISNUMBER($G$256),$B$183=1),$G$256,HLOOKUP(INDIRECT(ADDRESS(2,COLUMN())),OFFSET($BN$2,0,0,ROW()-1,60),ROW()-1,FALSE))</f>
        <v>1799.7650000000001</v>
      </c>
      <c r="H23">
        <f ca="1">IF(AND(ISNUMBER($H$256),$B$183=1),$H$256,HLOOKUP(INDIRECT(ADDRESS(2,COLUMN())),OFFSET($BN$2,0,0,ROW()-1,60),ROW()-1,FALSE))</f>
        <v>1723.614</v>
      </c>
      <c r="I23">
        <f ca="1">IF(AND(ISNUMBER($I$256),$B$183=1),$I$256,HLOOKUP(INDIRECT(ADDRESS(2,COLUMN())),OFFSET($BN$2,0,0,ROW()-1,60),ROW()-1,FALSE))</f>
        <v>1739.2070000000001</v>
      </c>
      <c r="J23">
        <f ca="1">IF(AND(ISNUMBER($J$256),$B$183=1),$J$256,HLOOKUP(INDIRECT(ADDRESS(2,COLUMN())),OFFSET($BN$2,0,0,ROW()-1,60),ROW()-1,FALSE))</f>
        <v>1916.98</v>
      </c>
      <c r="K23">
        <f ca="1">IF(AND(ISNUMBER($K$256),$B$183=1),$K$256,HLOOKUP(INDIRECT(ADDRESS(2,COLUMN())),OFFSET($BN$2,0,0,ROW()-1,60),ROW()-1,FALSE))</f>
        <v>1777.952</v>
      </c>
      <c r="L23">
        <f ca="1">IF(AND(ISNUMBER($L$256),$B$183=1),$L$256,HLOOKUP(INDIRECT(ADDRESS(2,COLUMN())),OFFSET($BN$2,0,0,ROW()-1,60),ROW()-1,FALSE))</f>
        <v>1796.1</v>
      </c>
      <c r="M23">
        <f ca="1">IF(AND(ISNUMBER($M$256),$B$183=1),$M$256,HLOOKUP(INDIRECT(ADDRESS(2,COLUMN())),OFFSET($BN$2,0,0,ROW()-1,60),ROW()-1,FALSE))</f>
        <v>1781.6969999999999</v>
      </c>
      <c r="N23">
        <f ca="1">IF(AND(ISNUMBER($N$256),$B$183=1),$N$256,HLOOKUP(INDIRECT(ADDRESS(2,COLUMN())),OFFSET($BN$2,0,0,ROW()-1,60),ROW()-1,FALSE))</f>
        <v>1835.7539999999999</v>
      </c>
      <c r="O23">
        <f ca="1">IF(AND(ISNUMBER($O$256),$B$183=1),$O$256,HLOOKUP(INDIRECT(ADDRESS(2,COLUMN())),OFFSET($BN$2,0,0,ROW()-1,60),ROW()-1,FALSE))</f>
        <v>1729.2149999999999</v>
      </c>
      <c r="P23">
        <f ca="1">IF(AND(ISNUMBER($P$256),$B$183=1),$P$256,HLOOKUP(INDIRECT(ADDRESS(2,COLUMN())),OFFSET($BN$2,0,0,ROW()-1,60),ROW()-1,FALSE))</f>
        <v>1716.654</v>
      </c>
      <c r="Q23">
        <f ca="1">IF(AND(ISNUMBER($Q$256),$B$183=1),$Q$256,HLOOKUP(INDIRECT(ADDRESS(2,COLUMN())),OFFSET($BN$2,0,0,ROW()-1,60),ROW()-1,FALSE))</f>
        <v>1518.8</v>
      </c>
      <c r="R23">
        <f ca="1">IF(AND(ISNUMBER($R$256),$B$183=1),$R$256,HLOOKUP(INDIRECT(ADDRESS(2,COLUMN())),OFFSET($BN$2,0,0,ROW()-1,60),ROW()-1,FALSE))</f>
        <v>1823.0930000000001</v>
      </c>
      <c r="S23">
        <f ca="1">IF(AND(ISNUMBER($S$256),$B$183=1),$S$256,HLOOKUP(INDIRECT(ADDRESS(2,COLUMN())),OFFSET($BN$2,0,0,ROW()-1,60),ROW()-1,FALSE))</f>
        <v>1460.346</v>
      </c>
      <c r="T23">
        <f ca="1">IF(AND(ISNUMBER($T$256),$B$183=1),$T$256,HLOOKUP(INDIRECT(ADDRESS(2,COLUMN())),OFFSET($BN$2,0,0,ROW()-1,60),ROW()-1,FALSE))</f>
        <v>1455.752</v>
      </c>
      <c r="U23">
        <f ca="1">IF(AND(ISNUMBER($U$256),$B$183=1),$U$256,HLOOKUP(INDIRECT(ADDRESS(2,COLUMN())),OFFSET($BN$2,0,0,ROW()-1,60),ROW()-1,FALSE))</f>
        <v>1592.8389999999999</v>
      </c>
      <c r="V23">
        <f ca="1">IF(AND(ISNUMBER($V$256),$B$183=1),$V$256,HLOOKUP(INDIRECT(ADDRESS(2,COLUMN())),OFFSET($BN$2,0,0,ROW()-1,60),ROW()-1,FALSE))</f>
        <v>1636.769</v>
      </c>
      <c r="W23">
        <f ca="1">IF(AND(ISNUMBER($W$256),$B$183=1),$W$256,HLOOKUP(INDIRECT(ADDRESS(2,COLUMN())),OFFSET($BN$2,0,0,ROW()-1,60),ROW()-1,FALSE))</f>
        <v>1431.13</v>
      </c>
      <c r="X23">
        <f ca="1">IF(AND(ISNUMBER($X$256),$B$183=1),$X$256,HLOOKUP(INDIRECT(ADDRESS(2,COLUMN())),OFFSET($BN$2,0,0,ROW()-1,60),ROW()-1,FALSE))</f>
        <v>1331.1479999999999</v>
      </c>
      <c r="Y23">
        <f ca="1">IF(AND(ISNUMBER($Y$256),$B$183=1),$Y$256,HLOOKUP(INDIRECT(ADDRESS(2,COLUMN())),OFFSET($BN$2,0,0,ROW()-1,60),ROW()-1,FALSE))</f>
        <v>1295.2940000000001</v>
      </c>
      <c r="Z23">
        <f ca="1">IF(AND(ISNUMBER($Z$256),$B$183=1),$Z$256,HLOOKUP(INDIRECT(ADDRESS(2,COLUMN())),OFFSET($BN$2,0,0,ROW()-1,60),ROW()-1,FALSE))</f>
        <v>1481.19</v>
      </c>
      <c r="AA23">
        <f ca="1">IF(AND(ISNUMBER($AA$256),$B$183=1),$AA$256,HLOOKUP(INDIRECT(ADDRESS(2,COLUMN())),OFFSET($BN$2,0,0,ROW()-1,60),ROW()-1,FALSE))</f>
        <v>1138.5070000000001</v>
      </c>
      <c r="AB23">
        <f ca="1">IF(AND(ISNUMBER($AB$256),$B$183=1),$AB$256,HLOOKUP(INDIRECT(ADDRESS(2,COLUMN())),OFFSET($BN$2,0,0,ROW()-1,60),ROW()-1,FALSE))</f>
        <v>1200.019</v>
      </c>
      <c r="AC23">
        <f ca="1">IF(AND(ISNUMBER($AC$256),$B$183=1),$AC$256,HLOOKUP(INDIRECT(ADDRESS(2,COLUMN())),OFFSET($BN$2,0,0,ROW()-1,60),ROW()-1,FALSE))</f>
        <v>998.13699999999994</v>
      </c>
      <c r="AD23">
        <f ca="1">IF(AND(ISNUMBER($AD$256),$B$183=1),$AD$256,HLOOKUP(INDIRECT(ADDRESS(2,COLUMN())),OFFSET($BN$2,0,0,ROW()-1,60),ROW()-1,FALSE))</f>
        <v>1115.04</v>
      </c>
      <c r="AE23">
        <f ca="1">IF(AND(ISNUMBER($AE$256),$B$183=1),$AE$256,HLOOKUP(INDIRECT(ADDRESS(2,COLUMN())),OFFSET($BN$2,0,0,ROW()-1,60),ROW()-1,FALSE))</f>
        <v>1424.7170000000001</v>
      </c>
      <c r="AF23">
        <f ca="1">IF(AND(ISNUMBER($AF$256),$B$183=1),$AF$256,HLOOKUP(INDIRECT(ADDRESS(2,COLUMN())),OFFSET($BN$2,0,0,ROW()-1,60),ROW()-1,FALSE))</f>
        <v>932.94100000000003</v>
      </c>
      <c r="AG23">
        <f ca="1">IF(AND(ISNUMBER($AG$256),$B$183=1),$AG$256,HLOOKUP(INDIRECT(ADDRESS(2,COLUMN())),OFFSET($BN$2,0,0,ROW()-1,60),ROW()-1,FALSE))</f>
        <v>1143.6289999999999</v>
      </c>
      <c r="AH23">
        <f ca="1">IF(AND(ISNUMBER($AH$256),$B$183=1),$AH$256,HLOOKUP(INDIRECT(ADDRESS(2,COLUMN())),OFFSET($BN$2,0,0,ROW()-1,60),ROW()-1,FALSE))</f>
        <v>1205.81</v>
      </c>
      <c r="AI23">
        <f ca="1">IF(AND(ISNUMBER($AI$256),$B$183=1),$AI$256,HLOOKUP(INDIRECT(ADDRESS(2,COLUMN())),OFFSET($BN$2,0,0,ROW()-1,60),ROW()-1,FALSE))</f>
        <v>569.32799999999997</v>
      </c>
      <c r="AJ23">
        <f ca="1">IF(AND(ISNUMBER($AJ$256),$B$183=1),$AJ$256,HLOOKUP(INDIRECT(ADDRESS(2,COLUMN())),OFFSET($BN$2,0,0,ROW()-1,60),ROW()-1,FALSE))</f>
        <v>698.01499999999999</v>
      </c>
      <c r="AK23">
        <f ca="1">IF(AND(ISNUMBER($AK$256),$B$183=1),$AK$256,HLOOKUP(INDIRECT(ADDRESS(2,COLUMN())),OFFSET($BN$2,0,0,ROW()-1,60),ROW()-1,FALSE))</f>
        <v>566.09100000000001</v>
      </c>
      <c r="AL23">
        <f ca="1">IF(AND(ISNUMBER($AL$256),$B$183=1),$AL$256,HLOOKUP(INDIRECT(ADDRESS(2,COLUMN())),OFFSET($BN$2,0,0,ROW()-1,60),ROW()-1,FALSE))</f>
        <v>792.846</v>
      </c>
      <c r="AM23">
        <f ca="1">IF(AND(ISNUMBER($AM$256),$B$183=1),$AM$256,HLOOKUP(INDIRECT(ADDRESS(2,COLUMN())),OFFSET($BN$2,0,0,ROW()-1,60),ROW()-1,FALSE))</f>
        <v>636.16700000000003</v>
      </c>
      <c r="AN23">
        <f ca="1">IF(AND(ISNUMBER($AN$256),$B$183=1),$AN$256,HLOOKUP(INDIRECT(ADDRESS(2,COLUMN())),OFFSET($BN$2,0,0,ROW()-1,60),ROW()-1,FALSE))</f>
        <v>560.29300000000001</v>
      </c>
      <c r="AO23">
        <f ca="1">IF(AND(ISNUMBER($AO$256),$B$183=1),$AO$256,HLOOKUP(INDIRECT(ADDRESS(2,COLUMN())),OFFSET($BN$2,0,0,ROW()-1,60),ROW()-1,FALSE))</f>
        <v>753.91</v>
      </c>
      <c r="AP23">
        <f ca="1">IF(AND(ISNUMBER($AP$256),$B$183=1),$AP$256,HLOOKUP(INDIRECT(ADDRESS(2,COLUMN())),OFFSET($BN$2,0,0,ROW()-1,60),ROW()-1,FALSE))</f>
        <v>838.52099999999996</v>
      </c>
      <c r="AQ23">
        <f ca="1">IF(AND(ISNUMBER($AQ$256),$B$183=1),$AQ$256,HLOOKUP(INDIRECT(ADDRESS(2,COLUMN())),OFFSET($BN$2,0,0,ROW()-1,60),ROW()-1,FALSE))</f>
        <v>926.56399999999996</v>
      </c>
      <c r="AR23">
        <f ca="1">IF(AND(ISNUMBER($AR$256),$B$183=1),$AR$256,HLOOKUP(INDIRECT(ADDRESS(2,COLUMN())),OFFSET($BN$2,0,0,ROW()-1,60),ROW()-1,FALSE))</f>
        <v>848.88300000000004</v>
      </c>
      <c r="AS23">
        <f ca="1">IF(AND(ISNUMBER($AS$256),$B$183=1),$AS$256,HLOOKUP(INDIRECT(ADDRESS(2,COLUMN())),OFFSET($BN$2,0,0,ROW()-1,60),ROW()-1,FALSE))</f>
        <v>911.29100000000005</v>
      </c>
      <c r="AT23">
        <f ca="1">IF(AND(ISNUMBER($AT$256),$B$183=1),$AT$256,HLOOKUP(INDIRECT(ADDRESS(2,COLUMN())),OFFSET($BN$2,0,0,ROW()-1,60),ROW()-1,FALSE))</f>
        <v>975.90599999999995</v>
      </c>
      <c r="AU23">
        <f ca="1">IF(AND(ISNUMBER($AU$256),$B$183=1),$AU$256,HLOOKUP(INDIRECT(ADDRESS(2,COLUMN())),OFFSET($BN$2,0,0,ROW()-1,60),ROW()-1,FALSE))</f>
        <v>931.09799999999996</v>
      </c>
      <c r="AV23">
        <f ca="1">IF(AND(ISNUMBER($AV$256),$B$183=1),$AV$256,HLOOKUP(INDIRECT(ADDRESS(2,COLUMN())),OFFSET($BN$2,0,0,ROW()-1,60),ROW()-1,FALSE))</f>
        <v>855.18899999999996</v>
      </c>
      <c r="AW23">
        <f ca="1">IF(AND(ISNUMBER($AW$256),$B$183=1),$AW$256,HLOOKUP(INDIRECT(ADDRESS(2,COLUMN())),OFFSET($BN$2,0,0,ROW()-1,60),ROW()-1,FALSE))</f>
        <v>1151.5619999999999</v>
      </c>
      <c r="AX23">
        <f ca="1">IF(AND(ISNUMBER($AX$256),$B$183=1),$AX$256,HLOOKUP(INDIRECT(ADDRESS(2,COLUMN())),OFFSET($BN$2,0,0,ROW()-1,60),ROW()-1,FALSE))</f>
        <v>1007.1015</v>
      </c>
      <c r="AY23">
        <f ca="1">IF(AND(ISNUMBER($AY$256),$B$183=1),$AY$256,HLOOKUP(INDIRECT(ADDRESS(2,COLUMN())),OFFSET($BN$2,0,0,ROW()-1,60),ROW()-1,FALSE))</f>
        <v>826.63099999999997</v>
      </c>
      <c r="AZ23">
        <f ca="1">IF(AND(ISNUMBER($AZ$256),$B$183=1),$AZ$256,HLOOKUP(INDIRECT(ADDRESS(2,COLUMN())),OFFSET($BN$2,0,0,ROW()-1,60),ROW()-1,FALSE))</f>
        <v>752.88900000000001</v>
      </c>
      <c r="BA23">
        <f ca="1">IF(AND(ISNUMBER($BA$256),$B$183=1),$BA$256,HLOOKUP(INDIRECT(ADDRESS(2,COLUMN())),OFFSET($BN$2,0,0,ROW()-1,60),ROW()-1,FALSE))</f>
        <v>862.15700000000004</v>
      </c>
      <c r="BB23">
        <f ca="1">IF(AND(ISNUMBER($BB$256),$B$183=1),$BB$256,HLOOKUP(INDIRECT(ADDRESS(2,COLUMN())),OFFSET($BN$2,0,0,ROW()-1,60),ROW()-1,FALSE))</f>
        <v>1003.9640000000001</v>
      </c>
      <c r="BC23">
        <f ca="1">IF(AND(ISNUMBER($BC$256),$B$183=1),$BC$256,HLOOKUP(INDIRECT(ADDRESS(2,COLUMN())),OFFSET($BN$2,0,0,ROW()-1,60),ROW()-1,FALSE))</f>
        <v>862.68799999999999</v>
      </c>
      <c r="BD23">
        <f ca="1">IF(AND(ISNUMBER($BD$256),$B$183=1),$BD$256,HLOOKUP(INDIRECT(ADDRESS(2,COLUMN())),OFFSET($BN$2,0,0,ROW()-1,60),ROW()-1,FALSE))</f>
        <v>868.55799999999999</v>
      </c>
      <c r="BE23">
        <f ca="1">IF(AND(ISNUMBER($BE$256),$B$183=1),$BE$256,HLOOKUP(INDIRECT(ADDRESS(2,COLUMN())),OFFSET($BN$2,0,0,ROW()-1,60),ROW()-1,FALSE))</f>
        <v>856.28</v>
      </c>
      <c r="BF23">
        <f ca="1">IF(AND(ISNUMBER($BF$256),$B$183=1),$BF$256,HLOOKUP(INDIRECT(ADDRESS(2,COLUMN())),OFFSET($BN$2,0,0,ROW()-1,60),ROW()-1,FALSE))</f>
        <v>1017.893</v>
      </c>
      <c r="BG23">
        <f ca="1">IF(AND(ISNUMBER($BG$256),$B$183=1),$BG$256,HLOOKUP(INDIRECT(ADDRESS(2,COLUMN())),OFFSET($BN$2,0,0,ROW()-1,60),ROW()-1,FALSE))</f>
        <v>792.04499999999996</v>
      </c>
      <c r="BH23">
        <f ca="1">IF(AND(ISNUMBER($BH$256),$B$183=1),$BH$256,HLOOKUP(INDIRECT(ADDRESS(2,COLUMN())),OFFSET($BN$2,0,0,ROW()-1,60),ROW()-1,FALSE))</f>
        <v>817.52099999999996</v>
      </c>
      <c r="BI23">
        <f ca="1">IF(AND(ISNUMBER($BI$256),$B$183=1),$BI$256,HLOOKUP(INDIRECT(ADDRESS(2,COLUMN())),OFFSET($BN$2,0,0,ROW()-1,60),ROW()-1,FALSE))</f>
        <v>789.47900000000004</v>
      </c>
      <c r="BJ23">
        <f ca="1">IF(AND(ISNUMBER($BJ$256),$B$183=1),$BJ$256,HLOOKUP(INDIRECT(ADDRESS(2,COLUMN())),OFFSET($BN$2,0,0,ROW()-1,60),ROW()-1,FALSE))</f>
        <v>903.96849999999995</v>
      </c>
      <c r="BK23">
        <f ca="1">IF(AND(ISNUMBER($BK$256),$B$183=1),$BK$256,HLOOKUP(INDIRECT(ADDRESS(2,COLUMN())),OFFSET($BN$2,0,0,ROW()-1,60),ROW()-1,FALSE))</f>
        <v>730.39499999999998</v>
      </c>
      <c r="BL23">
        <f ca="1">IF(AND(ISNUMBER($BL$256),$B$183=1),$BL$256,HLOOKUP(INDIRECT(ADDRESS(2,COLUMN())),OFFSET($BN$2,0,0,ROW()-1,60),ROW()-1,FALSE))</f>
        <v>704.37300000000005</v>
      </c>
      <c r="BM23">
        <f ca="1">IF(AND(ISNUMBER($BM$256),$B$183=1),$BM$256,HLOOKUP(INDIRECT(ADDRESS(2,COLUMN())),OFFSET($BN$2,0,0,ROW()-1,60),ROW()-1,FALSE))</f>
        <v>667.85900000000004</v>
      </c>
      <c r="BN23">
        <f>2015.376437</f>
        <v>2015.3764369999999</v>
      </c>
      <c r="BO23">
        <f>1799.765</f>
        <v>1799.7650000000001</v>
      </c>
      <c r="BP23">
        <f>1723.614</f>
        <v>1723.614</v>
      </c>
      <c r="BQ23">
        <f>1739.207</f>
        <v>1739.2070000000001</v>
      </c>
      <c r="BR23">
        <f>1916.98</f>
        <v>1916.98</v>
      </c>
      <c r="BS23">
        <f>1777.952</f>
        <v>1777.952</v>
      </c>
      <c r="BT23">
        <f>1796.1</f>
        <v>1796.1</v>
      </c>
      <c r="BU23">
        <f>1781.697</f>
        <v>1781.6969999999999</v>
      </c>
      <c r="BV23">
        <f>1835.754</f>
        <v>1835.7539999999999</v>
      </c>
      <c r="BW23">
        <f>1729.215</f>
        <v>1729.2149999999999</v>
      </c>
      <c r="BX23">
        <f>1716.654</f>
        <v>1716.654</v>
      </c>
      <c r="BY23">
        <f>1518.8</f>
        <v>1518.8</v>
      </c>
      <c r="BZ23">
        <f>1823.093</f>
        <v>1823.0930000000001</v>
      </c>
      <c r="CA23">
        <f>1460.346</f>
        <v>1460.346</v>
      </c>
      <c r="CB23">
        <f>1455.752</f>
        <v>1455.752</v>
      </c>
      <c r="CC23">
        <f>1592.839</f>
        <v>1592.8389999999999</v>
      </c>
      <c r="CD23">
        <f>1636.769</f>
        <v>1636.769</v>
      </c>
      <c r="CE23">
        <f>1431.13</f>
        <v>1431.13</v>
      </c>
      <c r="CF23">
        <f>1331.148</f>
        <v>1331.1479999999999</v>
      </c>
      <c r="CG23">
        <f>1295.294</f>
        <v>1295.2940000000001</v>
      </c>
      <c r="CH23">
        <f>1481.19</f>
        <v>1481.19</v>
      </c>
      <c r="CI23">
        <f>1138.507</f>
        <v>1138.5070000000001</v>
      </c>
      <c r="CJ23">
        <f>1200.019</f>
        <v>1200.019</v>
      </c>
      <c r="CK23">
        <f>998.137</f>
        <v>998.13699999999994</v>
      </c>
      <c r="CL23">
        <f>1115.04</f>
        <v>1115.04</v>
      </c>
      <c r="CM23">
        <f>1424.717</f>
        <v>1424.7170000000001</v>
      </c>
      <c r="CN23">
        <f>932.941</f>
        <v>932.94100000000003</v>
      </c>
      <c r="CO23">
        <f>1143.629</f>
        <v>1143.6289999999999</v>
      </c>
      <c r="CP23">
        <f>1205.81</f>
        <v>1205.81</v>
      </c>
      <c r="CQ23">
        <f>569.328</f>
        <v>569.32799999999997</v>
      </c>
      <c r="CR23">
        <f>698.015</f>
        <v>698.01499999999999</v>
      </c>
      <c r="CS23">
        <f>566.091</f>
        <v>566.09100000000001</v>
      </c>
      <c r="CT23">
        <f>792.846</f>
        <v>792.846</v>
      </c>
      <c r="CU23">
        <f>636.167</f>
        <v>636.16700000000003</v>
      </c>
      <c r="CV23">
        <f>560.293</f>
        <v>560.29300000000001</v>
      </c>
      <c r="CW23">
        <f>753.91</f>
        <v>753.91</v>
      </c>
      <c r="CX23">
        <f>838.521</f>
        <v>838.52099999999996</v>
      </c>
      <c r="CY23">
        <f>926.564</f>
        <v>926.56399999999996</v>
      </c>
      <c r="CZ23">
        <f>848.883</f>
        <v>848.88300000000004</v>
      </c>
      <c r="DA23">
        <f>911.291</f>
        <v>911.29100000000005</v>
      </c>
      <c r="DB23">
        <f>975.906</f>
        <v>975.90599999999995</v>
      </c>
      <c r="DC23">
        <f>931.098</f>
        <v>931.09799999999996</v>
      </c>
      <c r="DD23">
        <f>855.189</f>
        <v>855.18899999999996</v>
      </c>
      <c r="DE23">
        <f>1151.562</f>
        <v>1151.5619999999999</v>
      </c>
      <c r="DF23">
        <f>1007.1015</f>
        <v>1007.1015</v>
      </c>
      <c r="DG23">
        <f>826.631</f>
        <v>826.63099999999997</v>
      </c>
      <c r="DH23">
        <f>752.889</f>
        <v>752.88900000000001</v>
      </c>
      <c r="DI23">
        <f>862.157</f>
        <v>862.15700000000004</v>
      </c>
      <c r="DJ23">
        <f>1003.964</f>
        <v>1003.9640000000001</v>
      </c>
      <c r="DK23">
        <f>862.688</f>
        <v>862.68799999999999</v>
      </c>
      <c r="DL23">
        <f>868.558</f>
        <v>868.55799999999999</v>
      </c>
      <c r="DM23">
        <f>856.28</f>
        <v>856.28</v>
      </c>
      <c r="DN23">
        <f>1017.893</f>
        <v>1017.893</v>
      </c>
      <c r="DO23">
        <f>792.045</f>
        <v>792.04499999999996</v>
      </c>
      <c r="DP23">
        <f>817.521</f>
        <v>817.52099999999996</v>
      </c>
      <c r="DQ23">
        <f>789.479</f>
        <v>789.47900000000004</v>
      </c>
      <c r="DR23">
        <f>903.9685</f>
        <v>903.96849999999995</v>
      </c>
      <c r="DS23">
        <f>730.395</f>
        <v>730.39499999999998</v>
      </c>
      <c r="DT23">
        <f>704.373</f>
        <v>704.37300000000005</v>
      </c>
      <c r="DU23">
        <f>667.859</f>
        <v>667.85900000000004</v>
      </c>
    </row>
    <row r="24" spans="1:125">
      <c r="A24" t="str">
        <f>"    Free Standing Retail REITs"</f>
        <v xml:space="preserve">    Free Standing Retail REITs</v>
      </c>
      <c r="B24" t="str">
        <f>"RECFFOFS Index"</f>
        <v>RECFFOFS Index</v>
      </c>
      <c r="C24" t="str">
        <f t="shared" si="0"/>
        <v>PR005</v>
      </c>
      <c r="D24" t="str">
        <f t="shared" si="1"/>
        <v>PX_LAST</v>
      </c>
      <c r="E24" t="str">
        <f t="shared" si="2"/>
        <v>动态</v>
      </c>
      <c r="F24">
        <f ca="1">IF(AND(ISNUMBER($F$257),$B$183=1),$F$257,HLOOKUP(INDIRECT(ADDRESS(2,COLUMN())),OFFSET($BN$2,0,0,ROW()-1,60),ROW()-1,FALSE))</f>
        <v>498.9235516</v>
      </c>
      <c r="G24">
        <f ca="1">IF(AND(ISNUMBER($G$257),$B$183=1),$G$257,HLOOKUP(INDIRECT(ADDRESS(2,COLUMN())),OFFSET($BN$2,0,0,ROW()-1,60),ROW()-1,FALSE))</f>
        <v>557.03599999999994</v>
      </c>
      <c r="H24">
        <f ca="1">IF(AND(ISNUMBER($H$257),$B$183=1),$H$257,HLOOKUP(INDIRECT(ADDRESS(2,COLUMN())),OFFSET($BN$2,0,0,ROW()-1,60),ROW()-1,FALSE))</f>
        <v>534.21699999999998</v>
      </c>
      <c r="I24">
        <f ca="1">IF(AND(ISNUMBER($I$257),$B$183=1),$I$257,HLOOKUP(INDIRECT(ADDRESS(2,COLUMN())),OFFSET($BN$2,0,0,ROW()-1,60),ROW()-1,FALSE))</f>
        <v>515.77099999999996</v>
      </c>
      <c r="J24">
        <f ca="1">IF(AND(ISNUMBER($J$257),$B$183=1),$J$257,HLOOKUP(INDIRECT(ADDRESS(2,COLUMN())),OFFSET($BN$2,0,0,ROW()-1,60),ROW()-1,FALSE))</f>
        <v>543.80899999999997</v>
      </c>
      <c r="K24">
        <f ca="1">IF(AND(ISNUMBER($K$257),$B$183=1),$K$257,HLOOKUP(INDIRECT(ADDRESS(2,COLUMN())),OFFSET($BN$2,0,0,ROW()-1,60),ROW()-1,FALSE))</f>
        <v>485.00799999999998</v>
      </c>
      <c r="L24">
        <f ca="1">IF(AND(ISNUMBER($L$257),$B$183=1),$L$257,HLOOKUP(INDIRECT(ADDRESS(2,COLUMN())),OFFSET($BN$2,0,0,ROW()-1,60),ROW()-1,FALSE))</f>
        <v>455.66399999999999</v>
      </c>
      <c r="M24">
        <f ca="1">IF(AND(ISNUMBER($M$257),$B$183=1),$M$257,HLOOKUP(INDIRECT(ADDRESS(2,COLUMN())),OFFSET($BN$2,0,0,ROW()-1,60),ROW()-1,FALSE))</f>
        <v>448.63799999999998</v>
      </c>
      <c r="N24">
        <f ca="1">IF(AND(ISNUMBER($N$257),$B$183=1),$N$257,HLOOKUP(INDIRECT(ADDRESS(2,COLUMN())),OFFSET($BN$2,0,0,ROW()-1,60),ROW()-1,FALSE))</f>
        <v>446.80900000000003</v>
      </c>
      <c r="O24">
        <f ca="1">IF(AND(ISNUMBER($O$257),$B$183=1),$O$257,HLOOKUP(INDIRECT(ADDRESS(2,COLUMN())),OFFSET($BN$2,0,0,ROW()-1,60),ROW()-1,FALSE))</f>
        <v>410.05500000000001</v>
      </c>
      <c r="P24">
        <f ca="1">IF(AND(ISNUMBER($P$257),$B$183=1),$P$257,HLOOKUP(INDIRECT(ADDRESS(2,COLUMN())),OFFSET($BN$2,0,0,ROW()-1,60),ROW()-1,FALSE))</f>
        <v>398.25900000000001</v>
      </c>
      <c r="Q24">
        <f ca="1">IF(AND(ISNUMBER($Q$257),$B$183=1),$Q$257,HLOOKUP(INDIRECT(ADDRESS(2,COLUMN())),OFFSET($BN$2,0,0,ROW()-1,60),ROW()-1,FALSE))</f>
        <v>557.83199999999999</v>
      </c>
      <c r="R24">
        <f ca="1">IF(AND(ISNUMBER($R$257),$B$183=1),$R$257,HLOOKUP(INDIRECT(ADDRESS(2,COLUMN())),OFFSET($BN$2,0,0,ROW()-1,60),ROW()-1,FALSE))</f>
        <v>289.904</v>
      </c>
      <c r="S24">
        <f ca="1">IF(AND(ISNUMBER($S$257),$B$183=1),$S$257,HLOOKUP(INDIRECT(ADDRESS(2,COLUMN())),OFFSET($BN$2,0,0,ROW()-1,60),ROW()-1,FALSE))</f>
        <v>504.82799999999997</v>
      </c>
      <c r="T24">
        <f ca="1">IF(AND(ISNUMBER($T$257),$B$183=1),$T$257,HLOOKUP(INDIRECT(ADDRESS(2,COLUMN())),OFFSET($BN$2,0,0,ROW()-1,60),ROW()-1,FALSE))</f>
        <v>379.80900000000003</v>
      </c>
      <c r="U24">
        <f ca="1">IF(AND(ISNUMBER($U$257),$B$183=1),$U$257,HLOOKUP(INDIRECT(ADDRESS(2,COLUMN())),OFFSET($BN$2,0,0,ROW()-1,60),ROW()-1,FALSE))</f>
        <v>144.4</v>
      </c>
      <c r="V24">
        <f ca="1">IF(AND(ISNUMBER($V$257),$B$183=1),$V$257,HLOOKUP(INDIRECT(ADDRESS(2,COLUMN())),OFFSET($BN$2,0,0,ROW()-1,60),ROW()-1,FALSE))</f>
        <v>152.15600000000001</v>
      </c>
      <c r="W24">
        <f ca="1">IF(AND(ISNUMBER($W$257),$B$183=1),$W$257,HLOOKUP(INDIRECT(ADDRESS(2,COLUMN())),OFFSET($BN$2,0,0,ROW()-1,60),ROW()-1,FALSE))</f>
        <v>285.80399999999997</v>
      </c>
      <c r="X24">
        <f ca="1">IF(AND(ISNUMBER($X$257),$B$183=1),$X$257,HLOOKUP(INDIRECT(ADDRESS(2,COLUMN())),OFFSET($BN$2,0,0,ROW()-1,60),ROW()-1,FALSE))</f>
        <v>249.21199999999999</v>
      </c>
      <c r="Y24">
        <f ca="1">IF(AND(ISNUMBER($Y$257),$B$183=1),$Y$257,HLOOKUP(INDIRECT(ADDRESS(2,COLUMN())),OFFSET($BN$2,0,0,ROW()-1,60),ROW()-1,FALSE))</f>
        <v>75.930000000000007</v>
      </c>
      <c r="Z24">
        <f ca="1">IF(AND(ISNUMBER($Z$257),$B$183=1),$Z$257,HLOOKUP(INDIRECT(ADDRESS(2,COLUMN())),OFFSET($BN$2,0,0,ROW()-1,60),ROW()-1,FALSE))</f>
        <v>168.80500000000001</v>
      </c>
      <c r="AA24">
        <f ca="1">IF(AND(ISNUMBER($AA$257),$B$183=1),$AA$257,HLOOKUP(INDIRECT(ADDRESS(2,COLUMN())),OFFSET($BN$2,0,0,ROW()-1,60),ROW()-1,FALSE))</f>
        <v>141.09299999999999</v>
      </c>
      <c r="AB24">
        <f ca="1">IF(AND(ISNUMBER($AB$257),$B$183=1),$AB$257,HLOOKUP(INDIRECT(ADDRESS(2,COLUMN())),OFFSET($BN$2,0,0,ROW()-1,60),ROW()-1,FALSE))</f>
        <v>152.54499999999999</v>
      </c>
      <c r="AC24">
        <f ca="1">IF(AND(ISNUMBER($AC$257),$B$183=1),$AC$257,HLOOKUP(INDIRECT(ADDRESS(2,COLUMN())),OFFSET($BN$2,0,0,ROW()-1,60),ROW()-1,FALSE))</f>
        <v>149.22900000000001</v>
      </c>
      <c r="AD24">
        <f ca="1">IF(AND(ISNUMBER($AD$257),$B$183=1),$AD$257,HLOOKUP(INDIRECT(ADDRESS(2,COLUMN())),OFFSET($BN$2,0,0,ROW()-1,60),ROW()-1,FALSE))</f>
        <v>114.194</v>
      </c>
      <c r="AE24">
        <f ca="1">IF(AND(ISNUMBER($AE$257),$B$183=1),$AE$257,HLOOKUP(INDIRECT(ADDRESS(2,COLUMN())),OFFSET($BN$2,0,0,ROW()-1,60),ROW()-1,FALSE))</f>
        <v>120.18899999999999</v>
      </c>
      <c r="AF24">
        <f ca="1">IF(AND(ISNUMBER($AF$257),$B$183=1),$AF$257,HLOOKUP(INDIRECT(ADDRESS(2,COLUMN())),OFFSET($BN$2,0,0,ROW()-1,60),ROW()-1,FALSE))</f>
        <v>117.224</v>
      </c>
      <c r="AG24">
        <f ca="1">IF(AND(ISNUMBER($AG$257),$B$183=1),$AG$257,HLOOKUP(INDIRECT(ADDRESS(2,COLUMN())),OFFSET($BN$2,0,0,ROW()-1,60),ROW()-1,FALSE))</f>
        <v>109.145</v>
      </c>
      <c r="AH24">
        <f ca="1">IF(AND(ISNUMBER($AH$257),$B$183=1),$AH$257,HLOOKUP(INDIRECT(ADDRESS(2,COLUMN())),OFFSET($BN$2,0,0,ROW()-1,60),ROW()-1,FALSE))</f>
        <v>98.418000000000006</v>
      </c>
      <c r="AI24">
        <f ca="1">IF(AND(ISNUMBER($AI$257),$B$183=1),$AI$257,HLOOKUP(INDIRECT(ADDRESS(2,COLUMN())),OFFSET($BN$2,0,0,ROW()-1,60),ROW()-1,FALSE))</f>
        <v>99.284000000000006</v>
      </c>
      <c r="AJ24">
        <f ca="1">IF(AND(ISNUMBER($AJ$257),$B$183=1),$AJ$257,HLOOKUP(INDIRECT(ADDRESS(2,COLUMN())),OFFSET($BN$2,0,0,ROW()-1,60),ROW()-1,FALSE))</f>
        <v>97.227000000000004</v>
      </c>
      <c r="AK24">
        <f ca="1">IF(AND(ISNUMBER($AK$257),$B$183=1),$AK$257,HLOOKUP(INDIRECT(ADDRESS(2,COLUMN())),OFFSET($BN$2,0,0,ROW()-1,60),ROW()-1,FALSE))</f>
        <v>91.992000000000004</v>
      </c>
      <c r="AL24">
        <f ca="1">IF(AND(ISNUMBER($AL$257),$B$183=1),$AL$257,HLOOKUP(INDIRECT(ADDRESS(2,COLUMN())),OFFSET($BN$2,0,0,ROW()-1,60),ROW()-1,FALSE))</f>
        <v>65.697000000000003</v>
      </c>
      <c r="AM24">
        <f ca="1">IF(AND(ISNUMBER($AM$257),$B$183=1),$AM$257,HLOOKUP(INDIRECT(ADDRESS(2,COLUMN())),OFFSET($BN$2,0,0,ROW()-1,60),ROW()-1,FALSE))</f>
        <v>98.938000000000002</v>
      </c>
      <c r="AN24">
        <f ca="1">IF(AND(ISNUMBER($AN$257),$B$183=1),$AN$257,HLOOKUP(INDIRECT(ADDRESS(2,COLUMN())),OFFSET($BN$2,0,0,ROW()-1,60),ROW()-1,FALSE))</f>
        <v>93.501999999999995</v>
      </c>
      <c r="AO24">
        <f ca="1">IF(AND(ISNUMBER($AO$257),$B$183=1),$AO$257,HLOOKUP(INDIRECT(ADDRESS(2,COLUMN())),OFFSET($BN$2,0,0,ROW()-1,60),ROW()-1,FALSE))</f>
        <v>99.19</v>
      </c>
      <c r="AP24">
        <f ca="1">IF(AND(ISNUMBER($AP$257),$B$183=1),$AP$257,HLOOKUP(INDIRECT(ADDRESS(2,COLUMN())),OFFSET($BN$2,0,0,ROW()-1,60),ROW()-1,FALSE))</f>
        <v>100.631</v>
      </c>
      <c r="AQ24">
        <f ca="1">IF(AND(ISNUMBER($AQ$257),$B$183=1),$AQ$257,HLOOKUP(INDIRECT(ADDRESS(2,COLUMN())),OFFSET($BN$2,0,0,ROW()-1,60),ROW()-1,FALSE))</f>
        <v>75.191999999999993</v>
      </c>
      <c r="AR24">
        <f ca="1">IF(AND(ISNUMBER($AR$257),$B$183=1),$AR$257,HLOOKUP(INDIRECT(ADDRESS(2,COLUMN())),OFFSET($BN$2,0,0,ROW()-1,60),ROW()-1,FALSE))</f>
        <v>145.452</v>
      </c>
      <c r="AS24">
        <f ca="1">IF(AND(ISNUMBER($AS$257),$B$183=1),$AS$257,HLOOKUP(INDIRECT(ADDRESS(2,COLUMN())),OFFSET($BN$2,0,0,ROW()-1,60),ROW()-1,FALSE))</f>
        <v>122.949</v>
      </c>
      <c r="AT24">
        <f ca="1">IF(AND(ISNUMBER($AT$257),$B$183=1),$AT$257,HLOOKUP(INDIRECT(ADDRESS(2,COLUMN())),OFFSET($BN$2,0,0,ROW()-1,60),ROW()-1,FALSE))</f>
        <v>130.04300000000001</v>
      </c>
      <c r="AU24">
        <f ca="1">IF(AND(ISNUMBER($AU$257),$B$183=1),$AU$257,HLOOKUP(INDIRECT(ADDRESS(2,COLUMN())),OFFSET($BN$2,0,0,ROW()-1,60),ROW()-1,FALSE))</f>
        <v>129.822</v>
      </c>
      <c r="AV24">
        <f ca="1">IF(AND(ISNUMBER($AV$257),$B$183=1),$AV$257,HLOOKUP(INDIRECT(ADDRESS(2,COLUMN())),OFFSET($BN$2,0,0,ROW()-1,60),ROW()-1,FALSE))</f>
        <v>123.69799999999999</v>
      </c>
      <c r="AW24">
        <f ca="1">IF(AND(ISNUMBER($AW$257),$B$183=1),$AW$257,HLOOKUP(INDIRECT(ADDRESS(2,COLUMN())),OFFSET($BN$2,0,0,ROW()-1,60),ROW()-1,FALSE))</f>
        <v>132.90700000000001</v>
      </c>
      <c r="AX24">
        <f ca="1">IF(AND(ISNUMBER($AX$257),$B$183=1),$AX$257,HLOOKUP(INDIRECT(ADDRESS(2,COLUMN())),OFFSET($BN$2,0,0,ROW()-1,60),ROW()-1,FALSE))</f>
        <v>22.094000000000001</v>
      </c>
      <c r="AY24">
        <f ca="1">IF(AND(ISNUMBER($AY$257),$B$183=1),$AY$257,HLOOKUP(INDIRECT(ADDRESS(2,COLUMN())),OFFSET($BN$2,0,0,ROW()-1,60),ROW()-1,FALSE))</f>
        <v>83.584999999999994</v>
      </c>
      <c r="AZ24">
        <f ca="1">IF(AND(ISNUMBER($AZ$257),$B$183=1),$AZ$257,HLOOKUP(INDIRECT(ADDRESS(2,COLUMN())),OFFSET($BN$2,0,0,ROW()-1,60),ROW()-1,FALSE))</f>
        <v>142.69399999999999</v>
      </c>
      <c r="BA24">
        <f ca="1">IF(AND(ISNUMBER($BA$257),$B$183=1),$BA$257,HLOOKUP(INDIRECT(ADDRESS(2,COLUMN())),OFFSET($BN$2,0,0,ROW()-1,60),ROW()-1,FALSE))</f>
        <v>81.521000000000001</v>
      </c>
      <c r="BB24">
        <f ca="1">IF(AND(ISNUMBER($BB$257),$B$183=1),$BB$257,HLOOKUP(INDIRECT(ADDRESS(2,COLUMN())),OFFSET($BN$2,0,0,ROW()-1,60),ROW()-1,FALSE))</f>
        <v>139.43799999999999</v>
      </c>
      <c r="BC24">
        <f ca="1">IF(AND(ISNUMBER($BC$257),$B$183=1),$BC$257,HLOOKUP(INDIRECT(ADDRESS(2,COLUMN())),OFFSET($BN$2,0,0,ROW()-1,60),ROW()-1,FALSE))</f>
        <v>89.263999999999996</v>
      </c>
      <c r="BD24">
        <f ca="1">IF(AND(ISNUMBER($BD$257),$B$183=1),$BD$257,HLOOKUP(INDIRECT(ADDRESS(2,COLUMN())),OFFSET($BN$2,0,0,ROW()-1,60),ROW()-1,FALSE))</f>
        <v>110.62</v>
      </c>
      <c r="BE24">
        <f ca="1">IF(AND(ISNUMBER($BE$257),$B$183=1),$BE$257,HLOOKUP(INDIRECT(ADDRESS(2,COLUMN())),OFFSET($BN$2,0,0,ROW()-1,60),ROW()-1,FALSE))</f>
        <v>111.297</v>
      </c>
      <c r="BF24">
        <f ca="1">IF(AND(ISNUMBER($BF$257),$B$183=1),$BF$257,HLOOKUP(INDIRECT(ADDRESS(2,COLUMN())),OFFSET($BN$2,0,0,ROW()-1,60),ROW()-1,FALSE))</f>
        <v>70.013000000000005</v>
      </c>
      <c r="BG24">
        <f ca="1">IF(AND(ISNUMBER($BG$257),$B$183=1),$BG$257,HLOOKUP(INDIRECT(ADDRESS(2,COLUMN())),OFFSET($BN$2,0,0,ROW()-1,60),ROW()-1,FALSE))</f>
        <v>65.956999999999994</v>
      </c>
      <c r="BH24">
        <f ca="1">IF(AND(ISNUMBER($BH$257),$B$183=1),$BH$257,HLOOKUP(INDIRECT(ADDRESS(2,COLUMN())),OFFSET($BN$2,0,0,ROW()-1,60),ROW()-1,FALSE))</f>
        <v>73.564999999999998</v>
      </c>
      <c r="BI24">
        <f ca="1">IF(AND(ISNUMBER($BI$257),$B$183=1),$BI$257,HLOOKUP(INDIRECT(ADDRESS(2,COLUMN())),OFFSET($BN$2,0,0,ROW()-1,60),ROW()-1,FALSE))</f>
        <v>52.097000000000001</v>
      </c>
      <c r="BJ24">
        <f ca="1">IF(AND(ISNUMBER($BJ$257),$B$183=1),$BJ$257,HLOOKUP(INDIRECT(ADDRESS(2,COLUMN())),OFFSET($BN$2,0,0,ROW()-1,60),ROW()-1,FALSE))</f>
        <v>72.498999999999995</v>
      </c>
      <c r="BK24">
        <f ca="1">IF(AND(ISNUMBER($BK$257),$B$183=1),$BK$257,HLOOKUP(INDIRECT(ADDRESS(2,COLUMN())),OFFSET($BN$2,0,0,ROW()-1,60),ROW()-1,FALSE))</f>
        <v>51.423999999999999</v>
      </c>
      <c r="BL24">
        <f ca="1">IF(AND(ISNUMBER($BL$257),$B$183=1),$BL$257,HLOOKUP(INDIRECT(ADDRESS(2,COLUMN())),OFFSET($BN$2,0,0,ROW()-1,60),ROW()-1,FALSE))</f>
        <v>51.813000000000002</v>
      </c>
      <c r="BM24">
        <f ca="1">IF(AND(ISNUMBER($BM$257),$B$183=1),$BM$257,HLOOKUP(INDIRECT(ADDRESS(2,COLUMN())),OFFSET($BN$2,0,0,ROW()-1,60),ROW()-1,FALSE))</f>
        <v>60.03</v>
      </c>
      <c r="BN24">
        <f>498.9235516</f>
        <v>498.9235516</v>
      </c>
      <c r="BO24">
        <f>557.036</f>
        <v>557.03599999999994</v>
      </c>
      <c r="BP24">
        <f>534.217</f>
        <v>534.21699999999998</v>
      </c>
      <c r="BQ24">
        <f>515.771</f>
        <v>515.77099999999996</v>
      </c>
      <c r="BR24">
        <f>543.809</f>
        <v>543.80899999999997</v>
      </c>
      <c r="BS24">
        <f>485.008</f>
        <v>485.00799999999998</v>
      </c>
      <c r="BT24">
        <f>455.664</f>
        <v>455.66399999999999</v>
      </c>
      <c r="BU24">
        <f>448.638</f>
        <v>448.63799999999998</v>
      </c>
      <c r="BV24">
        <f>446.809</f>
        <v>446.80900000000003</v>
      </c>
      <c r="BW24">
        <f>410.055</f>
        <v>410.05500000000001</v>
      </c>
      <c r="BX24">
        <f>398.259</f>
        <v>398.25900000000001</v>
      </c>
      <c r="BY24">
        <f>557.832</f>
        <v>557.83199999999999</v>
      </c>
      <c r="BZ24">
        <f>289.904</f>
        <v>289.904</v>
      </c>
      <c r="CA24">
        <f>504.828</f>
        <v>504.82799999999997</v>
      </c>
      <c r="CB24">
        <f>379.809</f>
        <v>379.80900000000003</v>
      </c>
      <c r="CC24">
        <f>144.4</f>
        <v>144.4</v>
      </c>
      <c r="CD24">
        <f>152.156</f>
        <v>152.15600000000001</v>
      </c>
      <c r="CE24">
        <f>285.804</f>
        <v>285.80399999999997</v>
      </c>
      <c r="CF24">
        <f>249.212</f>
        <v>249.21199999999999</v>
      </c>
      <c r="CG24">
        <f>75.93</f>
        <v>75.930000000000007</v>
      </c>
      <c r="CH24">
        <f>168.805</f>
        <v>168.80500000000001</v>
      </c>
      <c r="CI24">
        <f>141.093</f>
        <v>141.09299999999999</v>
      </c>
      <c r="CJ24">
        <f>152.545</f>
        <v>152.54499999999999</v>
      </c>
      <c r="CK24">
        <f>149.229</f>
        <v>149.22900000000001</v>
      </c>
      <c r="CL24">
        <f>114.194</f>
        <v>114.194</v>
      </c>
      <c r="CM24">
        <f>120.189</f>
        <v>120.18899999999999</v>
      </c>
      <c r="CN24">
        <f>117.224</f>
        <v>117.224</v>
      </c>
      <c r="CO24">
        <f>109.145</f>
        <v>109.145</v>
      </c>
      <c r="CP24">
        <f>98.418</f>
        <v>98.418000000000006</v>
      </c>
      <c r="CQ24">
        <f>99.284</f>
        <v>99.284000000000006</v>
      </c>
      <c r="CR24">
        <f>97.227</f>
        <v>97.227000000000004</v>
      </c>
      <c r="CS24">
        <f>91.992</f>
        <v>91.992000000000004</v>
      </c>
      <c r="CT24">
        <f>65.697</f>
        <v>65.697000000000003</v>
      </c>
      <c r="CU24">
        <f>98.938</f>
        <v>98.938000000000002</v>
      </c>
      <c r="CV24">
        <f>93.502</f>
        <v>93.501999999999995</v>
      </c>
      <c r="CW24">
        <f>99.19</f>
        <v>99.19</v>
      </c>
      <c r="CX24">
        <f>100.631</f>
        <v>100.631</v>
      </c>
      <c r="CY24">
        <f>75.192</f>
        <v>75.191999999999993</v>
      </c>
      <c r="CZ24">
        <f>145.452</f>
        <v>145.452</v>
      </c>
      <c r="DA24">
        <f>122.949</f>
        <v>122.949</v>
      </c>
      <c r="DB24">
        <f>130.043</f>
        <v>130.04300000000001</v>
      </c>
      <c r="DC24">
        <f>129.822</f>
        <v>129.822</v>
      </c>
      <c r="DD24">
        <f>123.698</f>
        <v>123.69799999999999</v>
      </c>
      <c r="DE24">
        <f>132.907</f>
        <v>132.90700000000001</v>
      </c>
      <c r="DF24">
        <f>22.094</f>
        <v>22.094000000000001</v>
      </c>
      <c r="DG24">
        <f>83.585</f>
        <v>83.584999999999994</v>
      </c>
      <c r="DH24">
        <f>142.694</f>
        <v>142.69399999999999</v>
      </c>
      <c r="DI24">
        <f>81.521</f>
        <v>81.521000000000001</v>
      </c>
      <c r="DJ24">
        <f>139.438</f>
        <v>139.43799999999999</v>
      </c>
      <c r="DK24">
        <f>89.264</f>
        <v>89.263999999999996</v>
      </c>
      <c r="DL24">
        <f>110.62</f>
        <v>110.62</v>
      </c>
      <c r="DM24">
        <f>111.297</f>
        <v>111.297</v>
      </c>
      <c r="DN24">
        <f>70.013</f>
        <v>70.013000000000005</v>
      </c>
      <c r="DO24">
        <f>65.957</f>
        <v>65.956999999999994</v>
      </c>
      <c r="DP24">
        <f>73.565</f>
        <v>73.564999999999998</v>
      </c>
      <c r="DQ24">
        <f>52.097</f>
        <v>52.097000000000001</v>
      </c>
      <c r="DR24">
        <f>72.499</f>
        <v>72.498999999999995</v>
      </c>
      <c r="DS24">
        <f>51.424</f>
        <v>51.423999999999999</v>
      </c>
      <c r="DT24">
        <f>51.813</f>
        <v>51.813000000000002</v>
      </c>
      <c r="DU24">
        <f>60.03</f>
        <v>60.03</v>
      </c>
    </row>
    <row r="25" spans="1:125">
      <c r="A25" t="str">
        <f>"    Residential REITs"</f>
        <v xml:space="preserve">    Residential REITs</v>
      </c>
      <c r="B25" t="str">
        <f>"RECFFORS Index"</f>
        <v>RECFFORS Index</v>
      </c>
      <c r="C25" t="str">
        <f t="shared" si="0"/>
        <v>PR005</v>
      </c>
      <c r="D25" t="str">
        <f t="shared" si="1"/>
        <v>PX_LAST</v>
      </c>
      <c r="E25" t="str">
        <f t="shared" si="2"/>
        <v>动态</v>
      </c>
      <c r="F25">
        <f ca="1">IF(AND(ISNUMBER($F$258),$B$183=1),$F$258,HLOOKUP(INDIRECT(ADDRESS(2,COLUMN())),OFFSET($BN$2,0,0,ROW()-1,60),ROW()-1,FALSE))</f>
        <v>1812.395066</v>
      </c>
      <c r="G25">
        <f ca="1">IF(AND(ISNUMBER($G$258),$B$183=1),$G$258,HLOOKUP(INDIRECT(ADDRESS(2,COLUMN())),OFFSET($BN$2,0,0,ROW()-1,60),ROW()-1,FALSE))</f>
        <v>1784.193</v>
      </c>
      <c r="H25">
        <f ca="1">IF(AND(ISNUMBER($H$258),$B$183=1),$H$258,HLOOKUP(INDIRECT(ADDRESS(2,COLUMN())),OFFSET($BN$2,0,0,ROW()-1,60),ROW()-1,FALSE))</f>
        <v>1727.5</v>
      </c>
      <c r="I25">
        <f ca="1">IF(AND(ISNUMBER($I$258),$B$183=1),$I$258,HLOOKUP(INDIRECT(ADDRESS(2,COLUMN())),OFFSET($BN$2,0,0,ROW()-1,60),ROW()-1,FALSE))</f>
        <v>1734.752</v>
      </c>
      <c r="J25">
        <f ca="1">IF(AND(ISNUMBER($J$258),$B$183=1),$J$258,HLOOKUP(INDIRECT(ADDRESS(2,COLUMN())),OFFSET($BN$2,0,0,ROW()-1,60),ROW()-1,FALSE))</f>
        <v>1596.9760000000001</v>
      </c>
      <c r="K25">
        <f ca="1">IF(AND(ISNUMBER($K$258),$B$183=1),$K$258,HLOOKUP(INDIRECT(ADDRESS(2,COLUMN())),OFFSET($BN$2,0,0,ROW()-1,60),ROW()-1,FALSE))</f>
        <v>1626.8789999999999</v>
      </c>
      <c r="L25">
        <f ca="1">IF(AND(ISNUMBER($L$258),$B$183=1),$L$258,HLOOKUP(INDIRECT(ADDRESS(2,COLUMN())),OFFSET($BN$2,0,0,ROW()-1,60),ROW()-1,FALSE))</f>
        <v>1646.4829999999999</v>
      </c>
      <c r="M25">
        <f ca="1">IF(AND(ISNUMBER($M$258),$B$183=1),$M$258,HLOOKUP(INDIRECT(ADDRESS(2,COLUMN())),OFFSET($BN$2,0,0,ROW()-1,60),ROW()-1,FALSE))</f>
        <v>1489.5329999999999</v>
      </c>
      <c r="N25">
        <f ca="1">IF(AND(ISNUMBER($N$258),$B$183=1),$N$258,HLOOKUP(INDIRECT(ADDRESS(2,COLUMN())),OFFSET($BN$2,0,0,ROW()-1,60),ROW()-1,FALSE))</f>
        <v>1579.8610000000001</v>
      </c>
      <c r="O25">
        <f ca="1">IF(AND(ISNUMBER($O$258),$B$183=1),$O$258,HLOOKUP(INDIRECT(ADDRESS(2,COLUMN())),OFFSET($BN$2,0,0,ROW()-1,60),ROW()-1,FALSE))</f>
        <v>1541.452</v>
      </c>
      <c r="P25">
        <f ca="1">IF(AND(ISNUMBER($P$258),$B$183=1),$P$258,HLOOKUP(INDIRECT(ADDRESS(2,COLUMN())),OFFSET($BN$2,0,0,ROW()-1,60),ROW()-1,FALSE))</f>
        <v>1661.556</v>
      </c>
      <c r="Q25">
        <f ca="1">IF(AND(ISNUMBER($Q$258),$B$183=1),$Q$258,HLOOKUP(INDIRECT(ADDRESS(2,COLUMN())),OFFSET($BN$2,0,0,ROW()-1,60),ROW()-1,FALSE))</f>
        <v>1519.3430000000001</v>
      </c>
      <c r="R25">
        <f ca="1">IF(AND(ISNUMBER($R$258),$B$183=1),$R$258,HLOOKUP(INDIRECT(ADDRESS(2,COLUMN())),OFFSET($BN$2,0,0,ROW()-1,60),ROW()-1,FALSE))</f>
        <v>1467.2929999999999</v>
      </c>
      <c r="S25">
        <f ca="1">IF(AND(ISNUMBER($S$258),$B$183=1),$S$258,HLOOKUP(INDIRECT(ADDRESS(2,COLUMN())),OFFSET($BN$2,0,0,ROW()-1,60),ROW()-1,FALSE))</f>
        <v>1278.0619999999999</v>
      </c>
      <c r="T25">
        <f ca="1">IF(AND(ISNUMBER($T$258),$B$183=1),$T$258,HLOOKUP(INDIRECT(ADDRESS(2,COLUMN())),OFFSET($BN$2,0,0,ROW()-1,60),ROW()-1,FALSE))</f>
        <v>1330.136</v>
      </c>
      <c r="U25">
        <f ca="1">IF(AND(ISNUMBER($U$258),$B$183=1),$U$258,HLOOKUP(INDIRECT(ADDRESS(2,COLUMN())),OFFSET($BN$2,0,0,ROW()-1,60),ROW()-1,FALSE))</f>
        <v>1255.4870000000001</v>
      </c>
      <c r="V25">
        <f ca="1">IF(AND(ISNUMBER($V$258),$B$183=1),$V$258,HLOOKUP(INDIRECT(ADDRESS(2,COLUMN())),OFFSET($BN$2,0,0,ROW()-1,60),ROW()-1,FALSE))</f>
        <v>1279.462</v>
      </c>
      <c r="W25">
        <f ca="1">IF(AND(ISNUMBER($W$258),$B$183=1),$W$258,HLOOKUP(INDIRECT(ADDRESS(2,COLUMN())),OFFSET($BN$2,0,0,ROW()-1,60),ROW()-1,FALSE))</f>
        <v>1128.721</v>
      </c>
      <c r="X25">
        <f ca="1">IF(AND(ISNUMBER($X$258),$B$183=1),$X$258,HLOOKUP(INDIRECT(ADDRESS(2,COLUMN())),OFFSET($BN$2,0,0,ROW()-1,60),ROW()-1,FALSE))</f>
        <v>1221.1400000000001</v>
      </c>
      <c r="Y25">
        <f ca="1">IF(AND(ISNUMBER($Y$258),$B$183=1),$Y$258,HLOOKUP(INDIRECT(ADDRESS(2,COLUMN())),OFFSET($BN$2,0,0,ROW()-1,60),ROW()-1,FALSE))</f>
        <v>941.94500000000005</v>
      </c>
      <c r="Z25">
        <f ca="1">IF(AND(ISNUMBER($Z$258),$B$183=1),$Z$258,HLOOKUP(INDIRECT(ADDRESS(2,COLUMN())),OFFSET($BN$2,0,0,ROW()-1,60),ROW()-1,FALSE))</f>
        <v>1132.576</v>
      </c>
      <c r="AA25">
        <f ca="1">IF(AND(ISNUMBER($AA$258),$B$183=1),$AA$258,HLOOKUP(INDIRECT(ADDRESS(2,COLUMN())),OFFSET($BN$2,0,0,ROW()-1,60),ROW()-1,FALSE))</f>
        <v>1078.7159999999999</v>
      </c>
      <c r="AB25">
        <f ca="1">IF(AND(ISNUMBER($AB$258),$B$183=1),$AB$258,HLOOKUP(INDIRECT(ADDRESS(2,COLUMN())),OFFSET($BN$2,0,0,ROW()-1,60),ROW()-1,FALSE))</f>
        <v>966.16700000000003</v>
      </c>
      <c r="AC25">
        <f ca="1">IF(AND(ISNUMBER($AC$258),$B$183=1),$AC$258,HLOOKUP(INDIRECT(ADDRESS(2,COLUMN())),OFFSET($BN$2,0,0,ROW()-1,60),ROW()-1,FALSE))</f>
        <v>965.71799999999996</v>
      </c>
      <c r="AD25">
        <f ca="1">IF(AND(ISNUMBER($AD$258),$B$183=1),$AD$258,HLOOKUP(INDIRECT(ADDRESS(2,COLUMN())),OFFSET($BN$2,0,0,ROW()-1,60),ROW()-1,FALSE))</f>
        <v>894.17700000000002</v>
      </c>
      <c r="AE25">
        <f ca="1">IF(AND(ISNUMBER($AE$258),$B$183=1),$AE$258,HLOOKUP(INDIRECT(ADDRESS(2,COLUMN())),OFFSET($BN$2,0,0,ROW()-1,60),ROW()-1,FALSE))</f>
        <v>814.43</v>
      </c>
      <c r="AF25">
        <f ca="1">IF(AND(ISNUMBER($AF$258),$B$183=1),$AF$258,HLOOKUP(INDIRECT(ADDRESS(2,COLUMN())),OFFSET($BN$2,0,0,ROW()-1,60),ROW()-1,FALSE))</f>
        <v>727.10799999999995</v>
      </c>
      <c r="AG25">
        <f ca="1">IF(AND(ISNUMBER($AG$258),$B$183=1),$AG$258,HLOOKUP(INDIRECT(ADDRESS(2,COLUMN())),OFFSET($BN$2,0,0,ROW()-1,60),ROW()-1,FALSE))</f>
        <v>757.96799999999996</v>
      </c>
      <c r="AH25">
        <f ca="1">IF(AND(ISNUMBER($AH$258),$B$183=1),$AH$258,HLOOKUP(INDIRECT(ADDRESS(2,COLUMN())),OFFSET($BN$2,0,0,ROW()-1,60),ROW()-1,FALSE))</f>
        <v>649.76099999999997</v>
      </c>
      <c r="AI25">
        <f ca="1">IF(AND(ISNUMBER($AI$258),$B$183=1),$AI$258,HLOOKUP(INDIRECT(ADDRESS(2,COLUMN())),OFFSET($BN$2,0,0,ROW()-1,60),ROW()-1,FALSE))</f>
        <v>655.80600000000004</v>
      </c>
      <c r="AJ25">
        <f ca="1">IF(AND(ISNUMBER($AJ$258),$B$183=1),$AJ$258,HLOOKUP(INDIRECT(ADDRESS(2,COLUMN())),OFFSET($BN$2,0,0,ROW()-1,60),ROW()-1,FALSE))</f>
        <v>627.59299999999996</v>
      </c>
      <c r="AK25">
        <f ca="1">IF(AND(ISNUMBER($AK$258),$B$183=1),$AK$258,HLOOKUP(INDIRECT(ADDRESS(2,COLUMN())),OFFSET($BN$2,0,0,ROW()-1,60),ROW()-1,FALSE))</f>
        <v>630.09199999999998</v>
      </c>
      <c r="AL25">
        <f ca="1">IF(AND(ISNUMBER($AL$258),$B$183=1),$AL$258,HLOOKUP(INDIRECT(ADDRESS(2,COLUMN())),OFFSET($BN$2,0,0,ROW()-1,60),ROW()-1,FALSE))</f>
        <v>451.95</v>
      </c>
      <c r="AM25">
        <f ca="1">IF(AND(ISNUMBER($AM$258),$B$183=1),$AM$258,HLOOKUP(INDIRECT(ADDRESS(2,COLUMN())),OFFSET($BN$2,0,0,ROW()-1,60),ROW()-1,FALSE))</f>
        <v>608.85599999999999</v>
      </c>
      <c r="AN25">
        <f ca="1">IF(AND(ISNUMBER($AN$258),$B$183=1),$AN$258,HLOOKUP(INDIRECT(ADDRESS(2,COLUMN())),OFFSET($BN$2,0,0,ROW()-1,60),ROW()-1,FALSE))</f>
        <v>581.01</v>
      </c>
      <c r="AO25">
        <f ca="1">IF(AND(ISNUMBER($AO$258),$B$183=1),$AO$258,HLOOKUP(INDIRECT(ADDRESS(2,COLUMN())),OFFSET($BN$2,0,0,ROW()-1,60),ROW()-1,FALSE))</f>
        <v>766.03300000000002</v>
      </c>
      <c r="AP25">
        <f ca="1">IF(AND(ISNUMBER($AP$258),$B$183=1),$AP$258,HLOOKUP(INDIRECT(ADDRESS(2,COLUMN())),OFFSET($BN$2,0,0,ROW()-1,60),ROW()-1,FALSE))</f>
        <v>202.31899999999999</v>
      </c>
      <c r="AQ25">
        <f ca="1">IF(AND(ISNUMBER($AQ$258),$B$183=1),$AQ$258,HLOOKUP(INDIRECT(ADDRESS(2,COLUMN())),OFFSET($BN$2,0,0,ROW()-1,60),ROW()-1,FALSE))</f>
        <v>707.30799999999999</v>
      </c>
      <c r="AR25">
        <f ca="1">IF(AND(ISNUMBER($AR$258),$B$183=1),$AR$258,HLOOKUP(INDIRECT(ADDRESS(2,COLUMN())),OFFSET($BN$2,0,0,ROW()-1,60),ROW()-1,FALSE))</f>
        <v>695.93</v>
      </c>
      <c r="AS25">
        <f ca="1">IF(AND(ISNUMBER($AS$258),$B$183=1),$AS$258,HLOOKUP(INDIRECT(ADDRESS(2,COLUMN())),OFFSET($BN$2,0,0,ROW()-1,60),ROW()-1,FALSE))</f>
        <v>725.15899999999999</v>
      </c>
      <c r="AT25">
        <f ca="1">IF(AND(ISNUMBER($AT$258),$B$183=1),$AT$258,HLOOKUP(INDIRECT(ADDRESS(2,COLUMN())),OFFSET($BN$2,0,0,ROW()-1,60),ROW()-1,FALSE))</f>
        <v>747.6345</v>
      </c>
      <c r="AU25">
        <f ca="1">IF(AND(ISNUMBER($AU$258),$B$183=1),$AU$258,HLOOKUP(INDIRECT(ADDRESS(2,COLUMN())),OFFSET($BN$2,0,0,ROW()-1,60),ROW()-1,FALSE))</f>
        <v>715.05600000000004</v>
      </c>
      <c r="AV25">
        <f ca="1">IF(AND(ISNUMBER($AV$258),$B$183=1),$AV$258,HLOOKUP(INDIRECT(ADDRESS(2,COLUMN())),OFFSET($BN$2,0,0,ROW()-1,60),ROW()-1,FALSE))</f>
        <v>855.08699999999999</v>
      </c>
      <c r="AW25">
        <f ca="1">IF(AND(ISNUMBER($AW$258),$B$183=1),$AW$258,HLOOKUP(INDIRECT(ADDRESS(2,COLUMN())),OFFSET($BN$2,0,0,ROW()-1,60),ROW()-1,FALSE))</f>
        <v>840.92600000000004</v>
      </c>
      <c r="AX25">
        <f ca="1">IF(AND(ISNUMBER($AX$258),$B$183=1),$AX$258,HLOOKUP(INDIRECT(ADDRESS(2,COLUMN())),OFFSET($BN$2,0,0,ROW()-1,60),ROW()-1,FALSE))</f>
        <v>781.09799999999996</v>
      </c>
      <c r="AY25">
        <f ca="1">IF(AND(ISNUMBER($AY$258),$B$183=1),$AY$258,HLOOKUP(INDIRECT(ADDRESS(2,COLUMN())),OFFSET($BN$2,0,0,ROW()-1,60),ROW()-1,FALSE))</f>
        <v>839.27599999999995</v>
      </c>
      <c r="AZ25">
        <f ca="1">IF(AND(ISNUMBER($AZ$258),$B$183=1),$AZ$258,HLOOKUP(INDIRECT(ADDRESS(2,COLUMN())),OFFSET($BN$2,0,0,ROW()-1,60),ROW()-1,FALSE))</f>
        <v>869.423</v>
      </c>
      <c r="BA25">
        <f ca="1">IF(AND(ISNUMBER($BA$258),$B$183=1),$BA$258,HLOOKUP(INDIRECT(ADDRESS(2,COLUMN())),OFFSET($BN$2,0,0,ROW()-1,60),ROW()-1,FALSE))</f>
        <v>833.00800000000004</v>
      </c>
      <c r="BB25">
        <f ca="1">IF(AND(ISNUMBER($BB$258),$B$183=1),$BB$258,HLOOKUP(INDIRECT(ADDRESS(2,COLUMN())),OFFSET($BN$2,0,0,ROW()-1,60),ROW()-1,FALSE))</f>
        <v>778.27700000000004</v>
      </c>
      <c r="BC25">
        <f ca="1">IF(AND(ISNUMBER($BC$258),$B$183=1),$BC$258,HLOOKUP(INDIRECT(ADDRESS(2,COLUMN())),OFFSET($BN$2,0,0,ROW()-1,60),ROW()-1,FALSE))</f>
        <v>686.80200000000002</v>
      </c>
      <c r="BD25">
        <f ca="1">IF(AND(ISNUMBER($BD$258),$B$183=1),$BD$258,HLOOKUP(INDIRECT(ADDRESS(2,COLUMN())),OFFSET($BN$2,0,0,ROW()-1,60),ROW()-1,FALSE))</f>
        <v>779.58500000000004</v>
      </c>
      <c r="BE25">
        <f ca="1">IF(AND(ISNUMBER($BE$258),$B$183=1),$BE$258,HLOOKUP(INDIRECT(ADDRESS(2,COLUMN())),OFFSET($BN$2,0,0,ROW()-1,60),ROW()-1,FALSE))</f>
        <v>829.71799999999996</v>
      </c>
      <c r="BF25">
        <f ca="1">IF(AND(ISNUMBER($BF$258),$B$183=1),$BF$258,HLOOKUP(INDIRECT(ADDRESS(2,COLUMN())),OFFSET($BN$2,0,0,ROW()-1,60),ROW()-1,FALSE))</f>
        <v>698.87350000000004</v>
      </c>
      <c r="BG25">
        <f ca="1">IF(AND(ISNUMBER($BG$258),$B$183=1),$BG$258,HLOOKUP(INDIRECT(ADDRESS(2,COLUMN())),OFFSET($BN$2,0,0,ROW()-1,60),ROW()-1,FALSE))</f>
        <v>754.8365</v>
      </c>
      <c r="BH25">
        <f ca="1">IF(AND(ISNUMBER($BH$258),$B$183=1),$BH$258,HLOOKUP(INDIRECT(ADDRESS(2,COLUMN())),OFFSET($BN$2,0,0,ROW()-1,60),ROW()-1,FALSE))</f>
        <v>705.67</v>
      </c>
      <c r="BI25">
        <f ca="1">IF(AND(ISNUMBER($BI$258),$B$183=1),$BI$258,HLOOKUP(INDIRECT(ADDRESS(2,COLUMN())),OFFSET($BN$2,0,0,ROW()-1,60),ROW()-1,FALSE))</f>
        <v>714.14</v>
      </c>
      <c r="BJ25">
        <f ca="1">IF(AND(ISNUMBER($BJ$258),$B$183=1),$BJ$258,HLOOKUP(INDIRECT(ADDRESS(2,COLUMN())),OFFSET($BN$2,0,0,ROW()-1,60),ROW()-1,FALSE))</f>
        <v>715.80550000000005</v>
      </c>
      <c r="BK25">
        <f ca="1">IF(AND(ISNUMBER($BK$258),$B$183=1),$BK$258,HLOOKUP(INDIRECT(ADDRESS(2,COLUMN())),OFFSET($BN$2,0,0,ROW()-1,60),ROW()-1,FALSE))</f>
        <v>740.86699999999996</v>
      </c>
      <c r="BL25">
        <f ca="1">IF(AND(ISNUMBER($BL$258),$B$183=1),$BL$258,HLOOKUP(INDIRECT(ADDRESS(2,COLUMN())),OFFSET($BN$2,0,0,ROW()-1,60),ROW()-1,FALSE))</f>
        <v>743.71500000000003</v>
      </c>
      <c r="BM25">
        <f ca="1">IF(AND(ISNUMBER($BM$258),$B$183=1),$BM$258,HLOOKUP(INDIRECT(ADDRESS(2,COLUMN())),OFFSET($BN$2,0,0,ROW()-1,60),ROW()-1,FALSE))</f>
        <v>748.56100000000004</v>
      </c>
      <c r="BN25">
        <f>1812.395066</f>
        <v>1812.395066</v>
      </c>
      <c r="BO25">
        <f>1784.193</f>
        <v>1784.193</v>
      </c>
      <c r="BP25">
        <f>1727.5</f>
        <v>1727.5</v>
      </c>
      <c r="BQ25">
        <f>1734.752</f>
        <v>1734.752</v>
      </c>
      <c r="BR25">
        <f>1596.976</f>
        <v>1596.9760000000001</v>
      </c>
      <c r="BS25">
        <f>1626.879</f>
        <v>1626.8789999999999</v>
      </c>
      <c r="BT25">
        <f>1646.483</f>
        <v>1646.4829999999999</v>
      </c>
      <c r="BU25">
        <f>1489.533</f>
        <v>1489.5329999999999</v>
      </c>
      <c r="BV25">
        <f>1579.861</f>
        <v>1579.8610000000001</v>
      </c>
      <c r="BW25">
        <f>1541.452</f>
        <v>1541.452</v>
      </c>
      <c r="BX25">
        <f>1661.556</f>
        <v>1661.556</v>
      </c>
      <c r="BY25">
        <f>1519.343</f>
        <v>1519.3430000000001</v>
      </c>
      <c r="BZ25">
        <f>1467.293</f>
        <v>1467.2929999999999</v>
      </c>
      <c r="CA25">
        <f>1278.062</f>
        <v>1278.0619999999999</v>
      </c>
      <c r="CB25">
        <f>1330.136</f>
        <v>1330.136</v>
      </c>
      <c r="CC25">
        <f>1255.487</f>
        <v>1255.4870000000001</v>
      </c>
      <c r="CD25">
        <f>1279.462</f>
        <v>1279.462</v>
      </c>
      <c r="CE25">
        <f>1128.721</f>
        <v>1128.721</v>
      </c>
      <c r="CF25">
        <f>1221.14</f>
        <v>1221.1400000000001</v>
      </c>
      <c r="CG25">
        <f>941.945</f>
        <v>941.94500000000005</v>
      </c>
      <c r="CH25">
        <f>1132.576</f>
        <v>1132.576</v>
      </c>
      <c r="CI25">
        <f>1078.716</f>
        <v>1078.7159999999999</v>
      </c>
      <c r="CJ25">
        <f>966.167</f>
        <v>966.16700000000003</v>
      </c>
      <c r="CK25">
        <f>965.718</f>
        <v>965.71799999999996</v>
      </c>
      <c r="CL25">
        <f>894.177</f>
        <v>894.17700000000002</v>
      </c>
      <c r="CM25">
        <f>814.43</f>
        <v>814.43</v>
      </c>
      <c r="CN25">
        <f>727.108</f>
        <v>727.10799999999995</v>
      </c>
      <c r="CO25">
        <f>757.968</f>
        <v>757.96799999999996</v>
      </c>
      <c r="CP25">
        <f>649.761</f>
        <v>649.76099999999997</v>
      </c>
      <c r="CQ25">
        <f>655.806</f>
        <v>655.80600000000004</v>
      </c>
      <c r="CR25">
        <f>627.593</f>
        <v>627.59299999999996</v>
      </c>
      <c r="CS25">
        <f>630.092</f>
        <v>630.09199999999998</v>
      </c>
      <c r="CT25">
        <f>451.95</f>
        <v>451.95</v>
      </c>
      <c r="CU25">
        <f>608.856</f>
        <v>608.85599999999999</v>
      </c>
      <c r="CV25">
        <f>581.01</f>
        <v>581.01</v>
      </c>
      <c r="CW25">
        <f>766.033</f>
        <v>766.03300000000002</v>
      </c>
      <c r="CX25">
        <f>202.319</f>
        <v>202.31899999999999</v>
      </c>
      <c r="CY25">
        <f>707.308</f>
        <v>707.30799999999999</v>
      </c>
      <c r="CZ25">
        <f>695.93</f>
        <v>695.93</v>
      </c>
      <c r="DA25">
        <f>725.159</f>
        <v>725.15899999999999</v>
      </c>
      <c r="DB25">
        <f>747.6345</f>
        <v>747.6345</v>
      </c>
      <c r="DC25">
        <f>715.056</f>
        <v>715.05600000000004</v>
      </c>
      <c r="DD25">
        <f>855.087</f>
        <v>855.08699999999999</v>
      </c>
      <c r="DE25">
        <f>840.926</f>
        <v>840.92600000000004</v>
      </c>
      <c r="DF25">
        <f>781.098</f>
        <v>781.09799999999996</v>
      </c>
      <c r="DG25">
        <f>839.276</f>
        <v>839.27599999999995</v>
      </c>
      <c r="DH25">
        <f>869.423</f>
        <v>869.423</v>
      </c>
      <c r="DI25">
        <f>833.008</f>
        <v>833.00800000000004</v>
      </c>
      <c r="DJ25">
        <f>778.277</f>
        <v>778.27700000000004</v>
      </c>
      <c r="DK25">
        <f>686.802</f>
        <v>686.80200000000002</v>
      </c>
      <c r="DL25">
        <f>779.585</f>
        <v>779.58500000000004</v>
      </c>
      <c r="DM25">
        <f>829.718</f>
        <v>829.71799999999996</v>
      </c>
      <c r="DN25">
        <f>698.8735</f>
        <v>698.87350000000004</v>
      </c>
      <c r="DO25">
        <f>754.8365</f>
        <v>754.8365</v>
      </c>
      <c r="DP25">
        <f>705.67</f>
        <v>705.67</v>
      </c>
      <c r="DQ25">
        <f>714.14</f>
        <v>714.14</v>
      </c>
      <c r="DR25">
        <f>715.8055</f>
        <v>715.80550000000005</v>
      </c>
      <c r="DS25">
        <f>740.867</f>
        <v>740.86699999999996</v>
      </c>
      <c r="DT25">
        <f>743.715</f>
        <v>743.71500000000003</v>
      </c>
      <c r="DU25">
        <f>748.561</f>
        <v>748.56100000000004</v>
      </c>
    </row>
    <row r="26" spans="1:125">
      <c r="A26" t="str">
        <f>"    Apartment REITs"</f>
        <v xml:space="preserve">    Apartment REITs</v>
      </c>
      <c r="B26" t="str">
        <f>"RECFFOAP Index"</f>
        <v>RECFFOAP Index</v>
      </c>
      <c r="C26" t="str">
        <f t="shared" si="0"/>
        <v>PR005</v>
      </c>
      <c r="D26" t="str">
        <f t="shared" si="1"/>
        <v>PX_LAST</v>
      </c>
      <c r="E26" t="str">
        <f t="shared" si="2"/>
        <v>动态</v>
      </c>
      <c r="F26">
        <f ca="1">IF(AND(ISNUMBER($F$259),$B$183=1),$F$259,HLOOKUP(INDIRECT(ADDRESS(2,COLUMN())),OFFSET($BN$2,0,0,ROW()-1,60),ROW()-1,FALSE))</f>
        <v>1504.492667</v>
      </c>
      <c r="G26">
        <f ca="1">IF(AND(ISNUMBER($G$259),$B$183=1),$G$259,HLOOKUP(INDIRECT(ADDRESS(2,COLUMN())),OFFSET($BN$2,0,0,ROW()-1,60),ROW()-1,FALSE))</f>
        <v>1462.5350000000001</v>
      </c>
      <c r="H26">
        <f ca="1">IF(AND(ISNUMBER($H$259),$B$183=1),$H$259,HLOOKUP(INDIRECT(ADDRESS(2,COLUMN())),OFFSET($BN$2,0,0,ROW()-1,60),ROW()-1,FALSE))</f>
        <v>1396.325</v>
      </c>
      <c r="I26">
        <f ca="1">IF(AND(ISNUMBER($I$259),$B$183=1),$I$259,HLOOKUP(INDIRECT(ADDRESS(2,COLUMN())),OFFSET($BN$2,0,0,ROW()-1,60),ROW()-1,FALSE))</f>
        <v>1435.0440000000001</v>
      </c>
      <c r="J26">
        <f ca="1">IF(AND(ISNUMBER($J$259),$B$183=1),$J$259,HLOOKUP(INDIRECT(ADDRESS(2,COLUMN())),OFFSET($BN$2,0,0,ROW()-1,60),ROW()-1,FALSE))</f>
        <v>1343.585</v>
      </c>
      <c r="K26">
        <f ca="1">IF(AND(ISNUMBER($K$259),$B$183=1),$K$259,HLOOKUP(INDIRECT(ADDRESS(2,COLUMN())),OFFSET($BN$2,0,0,ROW()-1,60),ROW()-1,FALSE))</f>
        <v>1378.521</v>
      </c>
      <c r="L26">
        <f ca="1">IF(AND(ISNUMBER($L$259),$B$183=1),$L$259,HLOOKUP(INDIRECT(ADDRESS(2,COLUMN())),OFFSET($BN$2,0,0,ROW()-1,60),ROW()-1,FALSE))</f>
        <v>1435.962</v>
      </c>
      <c r="M26">
        <f ca="1">IF(AND(ISNUMBER($M$259),$B$183=1),$M$259,HLOOKUP(INDIRECT(ADDRESS(2,COLUMN())),OFFSET($BN$2,0,0,ROW()-1,60),ROW()-1,FALSE))</f>
        <v>1269.0440000000001</v>
      </c>
      <c r="N26">
        <f ca="1">IF(AND(ISNUMBER($N$259),$B$183=1),$N$259,HLOOKUP(INDIRECT(ADDRESS(2,COLUMN())),OFFSET($BN$2,0,0,ROW()-1,60),ROW()-1,FALSE))</f>
        <v>1424.223</v>
      </c>
      <c r="O26">
        <f ca="1">IF(AND(ISNUMBER($O$259),$B$183=1),$O$259,HLOOKUP(INDIRECT(ADDRESS(2,COLUMN())),OFFSET($BN$2,0,0,ROW()-1,60),ROW()-1,FALSE))</f>
        <v>1354.9079999999999</v>
      </c>
      <c r="P26">
        <f ca="1">IF(AND(ISNUMBER($P$259),$B$183=1),$P$259,HLOOKUP(INDIRECT(ADDRESS(2,COLUMN())),OFFSET($BN$2,0,0,ROW()-1,60),ROW()-1,FALSE))</f>
        <v>1471.915</v>
      </c>
      <c r="Q26">
        <f ca="1">IF(AND(ISNUMBER($Q$259),$B$183=1),$Q$259,HLOOKUP(INDIRECT(ADDRESS(2,COLUMN())),OFFSET($BN$2,0,0,ROW()-1,60),ROW()-1,FALSE))</f>
        <v>1366.0319999999999</v>
      </c>
      <c r="R26">
        <f ca="1">IF(AND(ISNUMBER($R$259),$B$183=1),$R$259,HLOOKUP(INDIRECT(ADDRESS(2,COLUMN())),OFFSET($BN$2,0,0,ROW()-1,60),ROW()-1,FALSE))</f>
        <v>1331.867</v>
      </c>
      <c r="S26">
        <f ca="1">IF(AND(ISNUMBER($S$259),$B$183=1),$S$259,HLOOKUP(INDIRECT(ADDRESS(2,COLUMN())),OFFSET($BN$2,0,0,ROW()-1,60),ROW()-1,FALSE))</f>
        <v>1186.0740000000001</v>
      </c>
      <c r="T26">
        <f ca="1">IF(AND(ISNUMBER($T$259),$B$183=1),$T$259,HLOOKUP(INDIRECT(ADDRESS(2,COLUMN())),OFFSET($BN$2,0,0,ROW()-1,60),ROW()-1,FALSE))</f>
        <v>1207.511</v>
      </c>
      <c r="U26">
        <f ca="1">IF(AND(ISNUMBER($U$259),$B$183=1),$U$259,HLOOKUP(INDIRECT(ADDRESS(2,COLUMN())),OFFSET($BN$2,0,0,ROW()-1,60),ROW()-1,FALSE))</f>
        <v>1126.8969999999999</v>
      </c>
      <c r="V26">
        <f ca="1">IF(AND(ISNUMBER($V$259),$B$183=1),$V$259,HLOOKUP(INDIRECT(ADDRESS(2,COLUMN())),OFFSET($BN$2,0,0,ROW()-1,60),ROW()-1,FALSE))</f>
        <v>1172.95</v>
      </c>
      <c r="W26">
        <f ca="1">IF(AND(ISNUMBER($W$259),$B$183=1),$W$259,HLOOKUP(INDIRECT(ADDRESS(2,COLUMN())),OFFSET($BN$2,0,0,ROW()-1,60),ROW()-1,FALSE))</f>
        <v>1054.115</v>
      </c>
      <c r="X26">
        <f ca="1">IF(AND(ISNUMBER($X$259),$B$183=1),$X$259,HLOOKUP(INDIRECT(ADDRESS(2,COLUMN())),OFFSET($BN$2,0,0,ROW()-1,60),ROW()-1,FALSE))</f>
        <v>1147.1880000000001</v>
      </c>
      <c r="Y26">
        <f ca="1">IF(AND(ISNUMBER($Y$259),$B$183=1),$Y$259,HLOOKUP(INDIRECT(ADDRESS(2,COLUMN())),OFFSET($BN$2,0,0,ROW()-1,60),ROW()-1,FALSE))</f>
        <v>844.13800000000003</v>
      </c>
      <c r="Z26">
        <f ca="1">IF(AND(ISNUMBER($Z$259),$B$183=1),$Z$259,HLOOKUP(INDIRECT(ADDRESS(2,COLUMN())),OFFSET($BN$2,0,0,ROW()-1,60),ROW()-1,FALSE))</f>
        <v>1057.367</v>
      </c>
      <c r="AA26">
        <f ca="1">IF(AND(ISNUMBER($AA$259),$B$183=1),$AA$259,HLOOKUP(INDIRECT(ADDRESS(2,COLUMN())),OFFSET($BN$2,0,0,ROW()-1,60),ROW()-1,FALSE))</f>
        <v>1002.796</v>
      </c>
      <c r="AB26">
        <f ca="1">IF(AND(ISNUMBER($AB$259),$B$183=1),$AB$259,HLOOKUP(INDIRECT(ADDRESS(2,COLUMN())),OFFSET($BN$2,0,0,ROW()-1,60),ROW()-1,FALSE))</f>
        <v>892.86</v>
      </c>
      <c r="AC26">
        <f ca="1">IF(AND(ISNUMBER($AC$259),$B$183=1),$AC$259,HLOOKUP(INDIRECT(ADDRESS(2,COLUMN())),OFFSET($BN$2,0,0,ROW()-1,60),ROW()-1,FALSE))</f>
        <v>878.60400000000004</v>
      </c>
      <c r="AD26">
        <f ca="1">IF(AND(ISNUMBER($AD$259),$B$183=1),$AD$259,HLOOKUP(INDIRECT(ADDRESS(2,COLUMN())),OFFSET($BN$2,0,0,ROW()-1,60),ROW()-1,FALSE))</f>
        <v>828.298</v>
      </c>
      <c r="AE26">
        <f ca="1">IF(AND(ISNUMBER($AE$259),$B$183=1),$AE$259,HLOOKUP(INDIRECT(ADDRESS(2,COLUMN())),OFFSET($BN$2,0,0,ROW()-1,60),ROW()-1,FALSE))</f>
        <v>761.26599999999996</v>
      </c>
      <c r="AF26">
        <f ca="1">IF(AND(ISNUMBER($AF$259),$B$183=1),$AF$259,HLOOKUP(INDIRECT(ADDRESS(2,COLUMN())),OFFSET($BN$2,0,0,ROW()-1,60),ROW()-1,FALSE))</f>
        <v>681.20500000000004</v>
      </c>
      <c r="AG26">
        <f ca="1">IF(AND(ISNUMBER($AG$259),$B$183=1),$AG$259,HLOOKUP(INDIRECT(ADDRESS(2,COLUMN())),OFFSET($BN$2,0,0,ROW()-1,60),ROW()-1,FALSE))</f>
        <v>694.19899999999996</v>
      </c>
      <c r="AH26">
        <f ca="1">IF(AND(ISNUMBER($AH$259),$B$183=1),$AH$259,HLOOKUP(INDIRECT(ADDRESS(2,COLUMN())),OFFSET($BN$2,0,0,ROW()-1,60),ROW()-1,FALSE))</f>
        <v>602.43299999999999</v>
      </c>
      <c r="AI26">
        <f ca="1">IF(AND(ISNUMBER($AI$259),$B$183=1),$AI$259,HLOOKUP(INDIRECT(ADDRESS(2,COLUMN())),OFFSET($BN$2,0,0,ROW()-1,60),ROW()-1,FALSE))</f>
        <v>605.22799999999995</v>
      </c>
      <c r="AJ26">
        <f ca="1">IF(AND(ISNUMBER($AJ$259),$B$183=1),$AJ$259,HLOOKUP(INDIRECT(ADDRESS(2,COLUMN())),OFFSET($BN$2,0,0,ROW()-1,60),ROW()-1,FALSE))</f>
        <v>584.18600000000004</v>
      </c>
      <c r="AK26">
        <f ca="1">IF(AND(ISNUMBER($AK$259),$B$183=1),$AK$259,HLOOKUP(INDIRECT(ADDRESS(2,COLUMN())),OFFSET($BN$2,0,0,ROW()-1,60),ROW()-1,FALSE))</f>
        <v>571.45699999999999</v>
      </c>
      <c r="AL26">
        <f ca="1">IF(AND(ISNUMBER($AL$259),$B$183=1),$AL$259,HLOOKUP(INDIRECT(ADDRESS(2,COLUMN())),OFFSET($BN$2,0,0,ROW()-1,60),ROW()-1,FALSE))</f>
        <v>403.834</v>
      </c>
      <c r="AM26">
        <f ca="1">IF(AND(ISNUMBER($AM$259),$B$183=1),$AM$259,HLOOKUP(INDIRECT(ADDRESS(2,COLUMN())),OFFSET($BN$2,0,0,ROW()-1,60),ROW()-1,FALSE))</f>
        <v>565.20299999999997</v>
      </c>
      <c r="AN26">
        <f ca="1">IF(AND(ISNUMBER($AN$259),$B$183=1),$AN$259,HLOOKUP(INDIRECT(ADDRESS(2,COLUMN())),OFFSET($BN$2,0,0,ROW()-1,60),ROW()-1,FALSE))</f>
        <v>542.58299999999997</v>
      </c>
      <c r="AO26">
        <f ca="1">IF(AND(ISNUMBER($AO$259),$B$183=1),$AO$259,HLOOKUP(INDIRECT(ADDRESS(2,COLUMN())),OFFSET($BN$2,0,0,ROW()-1,60),ROW()-1,FALSE))</f>
        <v>711.97500000000002</v>
      </c>
      <c r="AP26">
        <f ca="1">IF(AND(ISNUMBER($AP$259),$B$183=1),$AP$259,HLOOKUP(INDIRECT(ADDRESS(2,COLUMN())),OFFSET($BN$2,0,0,ROW()-1,60),ROW()-1,FALSE))</f>
        <v>181.00299999999999</v>
      </c>
      <c r="AQ26">
        <f ca="1">IF(AND(ISNUMBER($AQ$259),$B$183=1),$AQ$259,HLOOKUP(INDIRECT(ADDRESS(2,COLUMN())),OFFSET($BN$2,0,0,ROW()-1,60),ROW()-1,FALSE))</f>
        <v>668.58199999999999</v>
      </c>
      <c r="AR26">
        <f ca="1">IF(AND(ISNUMBER($AR$259),$B$183=1),$AR$259,HLOOKUP(INDIRECT(ADDRESS(2,COLUMN())),OFFSET($BN$2,0,0,ROW()-1,60),ROW()-1,FALSE))</f>
        <v>664.68799999999999</v>
      </c>
      <c r="AS26">
        <f ca="1">IF(AND(ISNUMBER($AS$259),$B$183=1),$AS$259,HLOOKUP(INDIRECT(ADDRESS(2,COLUMN())),OFFSET($BN$2,0,0,ROW()-1,60),ROW()-1,FALSE))</f>
        <v>680.52599999999995</v>
      </c>
      <c r="AT26">
        <f ca="1">IF(AND(ISNUMBER($AT$259),$B$183=1),$AT$259,HLOOKUP(INDIRECT(ADDRESS(2,COLUMN())),OFFSET($BN$2,0,0,ROW()-1,60),ROW()-1,FALSE))</f>
        <v>718.56349999999998</v>
      </c>
      <c r="AU26">
        <f ca="1">IF(AND(ISNUMBER($AU$259),$B$183=1),$AU$259,HLOOKUP(INDIRECT(ADDRESS(2,COLUMN())),OFFSET($BN$2,0,0,ROW()-1,60),ROW()-1,FALSE))</f>
        <v>678.24599999999998</v>
      </c>
      <c r="AV26">
        <f ca="1">IF(AND(ISNUMBER($AV$259),$B$183=1),$AV$259,HLOOKUP(INDIRECT(ADDRESS(2,COLUMN())),OFFSET($BN$2,0,0,ROW()-1,60),ROW()-1,FALSE))</f>
        <v>817.51099999999997</v>
      </c>
      <c r="AW26">
        <f ca="1">IF(AND(ISNUMBER($AW$259),$B$183=1),$AW$259,HLOOKUP(INDIRECT(ADDRESS(2,COLUMN())),OFFSET($BN$2,0,0,ROW()-1,60),ROW()-1,FALSE))</f>
        <v>789.09400000000005</v>
      </c>
      <c r="AX26">
        <f ca="1">IF(AND(ISNUMBER($AX$259),$B$183=1),$AX$259,HLOOKUP(INDIRECT(ADDRESS(2,COLUMN())),OFFSET($BN$2,0,0,ROW()-1,60),ROW()-1,FALSE))</f>
        <v>760.87900000000002</v>
      </c>
      <c r="AY26">
        <f ca="1">IF(AND(ISNUMBER($AY$259),$B$183=1),$AY$259,HLOOKUP(INDIRECT(ADDRESS(2,COLUMN())),OFFSET($BN$2,0,0,ROW()-1,60),ROW()-1,FALSE))</f>
        <v>802.28300000000002</v>
      </c>
      <c r="AZ26">
        <f ca="1">IF(AND(ISNUMBER($AZ$259),$B$183=1),$AZ$259,HLOOKUP(INDIRECT(ADDRESS(2,COLUMN())),OFFSET($BN$2,0,0,ROW()-1,60),ROW()-1,FALSE))</f>
        <v>833.79399999999998</v>
      </c>
      <c r="BA26">
        <f ca="1">IF(AND(ISNUMBER($BA$259),$B$183=1),$BA$259,HLOOKUP(INDIRECT(ADDRESS(2,COLUMN())),OFFSET($BN$2,0,0,ROW()-1,60),ROW()-1,FALSE))</f>
        <v>783.17700000000002</v>
      </c>
      <c r="BB26">
        <f ca="1">IF(AND(ISNUMBER($BB$259),$B$183=1),$BB$259,HLOOKUP(INDIRECT(ADDRESS(2,COLUMN())),OFFSET($BN$2,0,0,ROW()-1,60),ROW()-1,FALSE))</f>
        <v>773.36199999999997</v>
      </c>
      <c r="BC26">
        <f ca="1">IF(AND(ISNUMBER($BC$259),$B$183=1),$BC$259,HLOOKUP(INDIRECT(ADDRESS(2,COLUMN())),OFFSET($BN$2,0,0,ROW()-1,60),ROW()-1,FALSE))</f>
        <v>758.33900000000006</v>
      </c>
      <c r="BD26">
        <f ca="1">IF(AND(ISNUMBER($BD$259),$B$183=1),$BD$259,HLOOKUP(INDIRECT(ADDRESS(2,COLUMN())),OFFSET($BN$2,0,0,ROW()-1,60),ROW()-1,FALSE))</f>
        <v>741.14800000000002</v>
      </c>
      <c r="BE26">
        <f ca="1">IF(AND(ISNUMBER($BE$259),$B$183=1),$BE$259,HLOOKUP(INDIRECT(ADDRESS(2,COLUMN())),OFFSET($BN$2,0,0,ROW()-1,60),ROW()-1,FALSE))</f>
        <v>778.15300000000002</v>
      </c>
      <c r="BF26">
        <f ca="1">IF(AND(ISNUMBER($BF$259),$B$183=1),$BF$259,HLOOKUP(INDIRECT(ADDRESS(2,COLUMN())),OFFSET($BN$2,0,0,ROW()-1,60),ROW()-1,FALSE))</f>
        <v>679.495</v>
      </c>
      <c r="BG26">
        <f ca="1">IF(AND(ISNUMBER($BG$259),$B$183=1),$BG$259,HLOOKUP(INDIRECT(ADDRESS(2,COLUMN())),OFFSET($BN$2,0,0,ROW()-1,60),ROW()-1,FALSE))</f>
        <v>721.17949999999996</v>
      </c>
      <c r="BH26">
        <f ca="1">IF(AND(ISNUMBER($BH$259),$B$183=1),$BH$259,HLOOKUP(INDIRECT(ADDRESS(2,COLUMN())),OFFSET($BN$2,0,0,ROW()-1,60),ROW()-1,FALSE))</f>
        <v>716.85</v>
      </c>
      <c r="BI26">
        <f ca="1">IF(AND(ISNUMBER($BI$259),$B$183=1),$BI$259,HLOOKUP(INDIRECT(ADDRESS(2,COLUMN())),OFFSET($BN$2,0,0,ROW()-1,60),ROW()-1,FALSE))</f>
        <v>694.71699999999998</v>
      </c>
      <c r="BJ26">
        <f ca="1">IF(AND(ISNUMBER($BJ$259),$B$183=1),$BJ$259,HLOOKUP(INDIRECT(ADDRESS(2,COLUMN())),OFFSET($BN$2,0,0,ROW()-1,60),ROW()-1,FALSE))</f>
        <v>681.57399999999996</v>
      </c>
      <c r="BK26">
        <f ca="1">IF(AND(ISNUMBER($BK$259),$B$183=1),$BK$259,HLOOKUP(INDIRECT(ADDRESS(2,COLUMN())),OFFSET($BN$2,0,0,ROW()-1,60),ROW()-1,FALSE))</f>
        <v>701.423</v>
      </c>
      <c r="BL26">
        <f ca="1">IF(AND(ISNUMBER($BL$259),$B$183=1),$BL$259,HLOOKUP(INDIRECT(ADDRESS(2,COLUMN())),OFFSET($BN$2,0,0,ROW()-1,60),ROW()-1,FALSE))</f>
        <v>682.61800000000005</v>
      </c>
      <c r="BM26">
        <f ca="1">IF(AND(ISNUMBER($BM$259),$B$183=1),$BM$259,HLOOKUP(INDIRECT(ADDRESS(2,COLUMN())),OFFSET($BN$2,0,0,ROW()-1,60),ROW()-1,FALSE))</f>
        <v>684.40300000000002</v>
      </c>
      <c r="BN26">
        <f>1504.492667</f>
        <v>1504.492667</v>
      </c>
      <c r="BO26">
        <f>1462.535</f>
        <v>1462.5350000000001</v>
      </c>
      <c r="BP26">
        <f>1396.325</f>
        <v>1396.325</v>
      </c>
      <c r="BQ26">
        <f>1435.044</f>
        <v>1435.0440000000001</v>
      </c>
      <c r="BR26">
        <f>1343.585</f>
        <v>1343.585</v>
      </c>
      <c r="BS26">
        <f>1378.521</f>
        <v>1378.521</v>
      </c>
      <c r="BT26">
        <f>1435.962</f>
        <v>1435.962</v>
      </c>
      <c r="BU26">
        <f>1269.044</f>
        <v>1269.0440000000001</v>
      </c>
      <c r="BV26">
        <f>1424.223</f>
        <v>1424.223</v>
      </c>
      <c r="BW26">
        <f>1354.908</f>
        <v>1354.9079999999999</v>
      </c>
      <c r="BX26">
        <f>1471.915</f>
        <v>1471.915</v>
      </c>
      <c r="BY26">
        <f>1366.032</f>
        <v>1366.0319999999999</v>
      </c>
      <c r="BZ26">
        <f>1331.867</f>
        <v>1331.867</v>
      </c>
      <c r="CA26">
        <f>1186.074</f>
        <v>1186.0740000000001</v>
      </c>
      <c r="CB26">
        <f>1207.511</f>
        <v>1207.511</v>
      </c>
      <c r="CC26">
        <f>1126.897</f>
        <v>1126.8969999999999</v>
      </c>
      <c r="CD26">
        <f>1172.95</f>
        <v>1172.95</v>
      </c>
      <c r="CE26">
        <f>1054.115</f>
        <v>1054.115</v>
      </c>
      <c r="CF26">
        <f>1147.188</f>
        <v>1147.1880000000001</v>
      </c>
      <c r="CG26">
        <f>844.138</f>
        <v>844.13800000000003</v>
      </c>
      <c r="CH26">
        <f>1057.367</f>
        <v>1057.367</v>
      </c>
      <c r="CI26">
        <f>1002.796</f>
        <v>1002.796</v>
      </c>
      <c r="CJ26">
        <f>892.86</f>
        <v>892.86</v>
      </c>
      <c r="CK26">
        <f>878.604</f>
        <v>878.60400000000004</v>
      </c>
      <c r="CL26">
        <f>828.298</f>
        <v>828.298</v>
      </c>
      <c r="CM26">
        <f>761.266</f>
        <v>761.26599999999996</v>
      </c>
      <c r="CN26">
        <f>681.205</f>
        <v>681.20500000000004</v>
      </c>
      <c r="CO26">
        <f>694.199</f>
        <v>694.19899999999996</v>
      </c>
      <c r="CP26">
        <f>602.433</f>
        <v>602.43299999999999</v>
      </c>
      <c r="CQ26">
        <f>605.228</f>
        <v>605.22799999999995</v>
      </c>
      <c r="CR26">
        <f>584.186</f>
        <v>584.18600000000004</v>
      </c>
      <c r="CS26">
        <f>571.457</f>
        <v>571.45699999999999</v>
      </c>
      <c r="CT26">
        <f>403.834</f>
        <v>403.834</v>
      </c>
      <c r="CU26">
        <f>565.203</f>
        <v>565.20299999999997</v>
      </c>
      <c r="CV26">
        <f>542.583</f>
        <v>542.58299999999997</v>
      </c>
      <c r="CW26">
        <f>711.975</f>
        <v>711.97500000000002</v>
      </c>
      <c r="CX26">
        <f>181.003</f>
        <v>181.00299999999999</v>
      </c>
      <c r="CY26">
        <f>668.582</f>
        <v>668.58199999999999</v>
      </c>
      <c r="CZ26">
        <f>664.688</f>
        <v>664.68799999999999</v>
      </c>
      <c r="DA26">
        <f>680.526</f>
        <v>680.52599999999995</v>
      </c>
      <c r="DB26">
        <f>718.5635</f>
        <v>718.56349999999998</v>
      </c>
      <c r="DC26">
        <f>678.246</f>
        <v>678.24599999999998</v>
      </c>
      <c r="DD26">
        <f>817.511</f>
        <v>817.51099999999997</v>
      </c>
      <c r="DE26">
        <f>789.094</f>
        <v>789.09400000000005</v>
      </c>
      <c r="DF26">
        <f>760.879</f>
        <v>760.87900000000002</v>
      </c>
      <c r="DG26">
        <f>802.283</f>
        <v>802.28300000000002</v>
      </c>
      <c r="DH26">
        <f>833.794</f>
        <v>833.79399999999998</v>
      </c>
      <c r="DI26">
        <f>783.177</f>
        <v>783.17700000000002</v>
      </c>
      <c r="DJ26">
        <f>773.362</f>
        <v>773.36199999999997</v>
      </c>
      <c r="DK26">
        <f>758.339</f>
        <v>758.33900000000006</v>
      </c>
      <c r="DL26">
        <f>741.148</f>
        <v>741.14800000000002</v>
      </c>
      <c r="DM26">
        <f>778.153</f>
        <v>778.15300000000002</v>
      </c>
      <c r="DN26">
        <f>679.495</f>
        <v>679.495</v>
      </c>
      <c r="DO26">
        <f>721.1795</f>
        <v>721.17949999999996</v>
      </c>
      <c r="DP26">
        <f>716.85</f>
        <v>716.85</v>
      </c>
      <c r="DQ26">
        <f>694.717</f>
        <v>694.71699999999998</v>
      </c>
      <c r="DR26">
        <f>681.574</f>
        <v>681.57399999999996</v>
      </c>
      <c r="DS26">
        <f>701.423</f>
        <v>701.423</v>
      </c>
      <c r="DT26">
        <f>682.618</f>
        <v>682.61800000000005</v>
      </c>
      <c r="DU26">
        <f>684.403</f>
        <v>684.40300000000002</v>
      </c>
    </row>
    <row r="27" spans="1:125">
      <c r="A27" t="str">
        <f>"    Manufactured Home REITs"</f>
        <v xml:space="preserve">    Manufactured Home REITs</v>
      </c>
      <c r="B27" t="str">
        <f>"RECFFOMH Index"</f>
        <v>RECFFOMH Index</v>
      </c>
      <c r="C27" t="str">
        <f t="shared" si="0"/>
        <v>PR005</v>
      </c>
      <c r="D27" t="str">
        <f t="shared" si="1"/>
        <v>PX_LAST</v>
      </c>
      <c r="E27" t="str">
        <f t="shared" si="2"/>
        <v>动态</v>
      </c>
      <c r="F27">
        <f ca="1">IF(AND(ISNUMBER($F$260),$B$183=1),$F$260,HLOOKUP(INDIRECT(ADDRESS(2,COLUMN())),OFFSET($BN$2,0,0,ROW()-1,60),ROW()-1,FALSE))</f>
        <v>157.8772213</v>
      </c>
      <c r="G27">
        <f ca="1">IF(AND(ISNUMBER($G$260),$B$183=1),$G$260,HLOOKUP(INDIRECT(ADDRESS(2,COLUMN())),OFFSET($BN$2,0,0,ROW()-1,60),ROW()-1,FALSE))</f>
        <v>173.03299999999999</v>
      </c>
      <c r="H27">
        <f ca="1">IF(AND(ISNUMBER($H$260),$B$183=1),$H$260,HLOOKUP(INDIRECT(ADDRESS(2,COLUMN())),OFFSET($BN$2,0,0,ROW()-1,60),ROW()-1,FALSE))</f>
        <v>154.654</v>
      </c>
      <c r="I27">
        <f ca="1">IF(AND(ISNUMBER($I$260),$B$183=1),$I$260,HLOOKUP(INDIRECT(ADDRESS(2,COLUMN())),OFFSET($BN$2,0,0,ROW()-1,60),ROW()-1,FALSE))</f>
        <v>181.50800000000001</v>
      </c>
      <c r="J27">
        <f ca="1">IF(AND(ISNUMBER($J$260),$B$183=1),$J$260,HLOOKUP(INDIRECT(ADDRESS(2,COLUMN())),OFFSET($BN$2,0,0,ROW()-1,60),ROW()-1,FALSE))</f>
        <v>135.72</v>
      </c>
      <c r="K27">
        <f ca="1">IF(AND(ISNUMBER($K$260),$B$183=1),$K$260,HLOOKUP(INDIRECT(ADDRESS(2,COLUMN())),OFFSET($BN$2,0,0,ROW()-1,60),ROW()-1,FALSE))</f>
        <v>160.17599999999999</v>
      </c>
      <c r="L27">
        <f ca="1">IF(AND(ISNUMBER($L$260),$B$183=1),$L$260,HLOOKUP(INDIRECT(ADDRESS(2,COLUMN())),OFFSET($BN$2,0,0,ROW()-1,60),ROW()-1,FALSE))</f>
        <v>111.446</v>
      </c>
      <c r="M27">
        <f ca="1">IF(AND(ISNUMBER($M$260),$B$183=1),$M$260,HLOOKUP(INDIRECT(ADDRESS(2,COLUMN())),OFFSET($BN$2,0,0,ROW()-1,60),ROW()-1,FALSE))</f>
        <v>142.46899999999999</v>
      </c>
      <c r="N27">
        <f ca="1">IF(AND(ISNUMBER($N$260),$B$183=1),$N$260,HLOOKUP(INDIRECT(ADDRESS(2,COLUMN())),OFFSET($BN$2,0,0,ROW()-1,60),ROW()-1,FALSE))</f>
        <v>113.389</v>
      </c>
      <c r="O27">
        <f ca="1">IF(AND(ISNUMBER($O$260),$B$183=1),$O$260,HLOOKUP(INDIRECT(ADDRESS(2,COLUMN())),OFFSET($BN$2,0,0,ROW()-1,60),ROW()-1,FALSE))</f>
        <v>129.77699999999999</v>
      </c>
      <c r="P27">
        <f ca="1">IF(AND(ISNUMBER($P$260),$B$183=1),$P$260,HLOOKUP(INDIRECT(ADDRESS(2,COLUMN())),OFFSET($BN$2,0,0,ROW()-1,60),ROW()-1,FALSE))</f>
        <v>121.985</v>
      </c>
      <c r="Q27">
        <f ca="1">IF(AND(ISNUMBER($Q$260),$B$183=1),$Q$260,HLOOKUP(INDIRECT(ADDRESS(2,COLUMN())),OFFSET($BN$2,0,0,ROW()-1,60),ROW()-1,FALSE))</f>
        <v>101.101</v>
      </c>
      <c r="R27">
        <f ca="1">IF(AND(ISNUMBER($R$260),$B$183=1),$R$260,HLOOKUP(INDIRECT(ADDRESS(2,COLUMN())),OFFSET($BN$2,0,0,ROW()-1,60),ROW()-1,FALSE))</f>
        <v>89.74</v>
      </c>
      <c r="S27">
        <f ca="1">IF(AND(ISNUMBER($S$260),$B$183=1),$S$260,HLOOKUP(INDIRECT(ADDRESS(2,COLUMN())),OFFSET($BN$2,0,0,ROW()-1,60),ROW()-1,FALSE))</f>
        <v>99.802000000000007</v>
      </c>
      <c r="T27">
        <f ca="1">IF(AND(ISNUMBER($T$260),$B$183=1),$T$260,HLOOKUP(INDIRECT(ADDRESS(2,COLUMN())),OFFSET($BN$2,0,0,ROW()-1,60),ROW()-1,FALSE))</f>
        <v>94.352999999999994</v>
      </c>
      <c r="U27">
        <f ca="1">IF(AND(ISNUMBER($U$260),$B$183=1),$U$260,HLOOKUP(INDIRECT(ADDRESS(2,COLUMN())),OFFSET($BN$2,0,0,ROW()-1,60),ROW()-1,FALSE))</f>
        <v>110.996</v>
      </c>
      <c r="V27">
        <f ca="1">IF(AND(ISNUMBER($V$260),$B$183=1),$V$260,HLOOKUP(INDIRECT(ADDRESS(2,COLUMN())),OFFSET($BN$2,0,0,ROW()-1,60),ROW()-1,FALSE))</f>
        <v>84.983000000000004</v>
      </c>
      <c r="W27">
        <f ca="1">IF(AND(ISNUMBER($W$260),$B$183=1),$W$260,HLOOKUP(INDIRECT(ADDRESS(2,COLUMN())),OFFSET($BN$2,0,0,ROW()-1,60),ROW()-1,FALSE))</f>
        <v>53.77</v>
      </c>
      <c r="X27">
        <f ca="1">IF(AND(ISNUMBER($X$260),$B$183=1),$X$260,HLOOKUP(INDIRECT(ADDRESS(2,COLUMN())),OFFSET($BN$2,0,0,ROW()-1,60),ROW()-1,FALSE))</f>
        <v>79.518000000000001</v>
      </c>
      <c r="Y27">
        <f ca="1">IF(AND(ISNUMBER($Y$260),$B$183=1),$Y$260,HLOOKUP(INDIRECT(ADDRESS(2,COLUMN())),OFFSET($BN$2,0,0,ROW()-1,60),ROW()-1,FALSE))</f>
        <v>100.34</v>
      </c>
      <c r="Z27">
        <f ca="1">IF(AND(ISNUMBER($Z$260),$B$183=1),$Z$260,HLOOKUP(INDIRECT(ADDRESS(2,COLUMN())),OFFSET($BN$2,0,0,ROW()-1,60),ROW()-1,FALSE))</f>
        <v>75.209000000000003</v>
      </c>
      <c r="AA27">
        <f ca="1">IF(AND(ISNUMBER($AA$260),$B$183=1),$AA$260,HLOOKUP(INDIRECT(ADDRESS(2,COLUMN())),OFFSET($BN$2,0,0,ROW()-1,60),ROW()-1,FALSE))</f>
        <v>75.92</v>
      </c>
      <c r="AB27">
        <f ca="1">IF(AND(ISNUMBER($AB$260),$B$183=1),$AB$260,HLOOKUP(INDIRECT(ADDRESS(2,COLUMN())),OFFSET($BN$2,0,0,ROW()-1,60),ROW()-1,FALSE))</f>
        <v>73.307000000000002</v>
      </c>
      <c r="AC27">
        <f ca="1">IF(AND(ISNUMBER($AC$260),$B$183=1),$AC$260,HLOOKUP(INDIRECT(ADDRESS(2,COLUMN())),OFFSET($BN$2,0,0,ROW()-1,60),ROW()-1,FALSE))</f>
        <v>87.114000000000004</v>
      </c>
      <c r="AD27">
        <f ca="1">IF(AND(ISNUMBER($AD$260),$B$183=1),$AD$260,HLOOKUP(INDIRECT(ADDRESS(2,COLUMN())),OFFSET($BN$2,0,0,ROW()-1,60),ROW()-1,FALSE))</f>
        <v>65.879000000000005</v>
      </c>
      <c r="AE27">
        <f ca="1">IF(AND(ISNUMBER($AE$260),$B$183=1),$AE$260,HLOOKUP(INDIRECT(ADDRESS(2,COLUMN())),OFFSET($BN$2,0,0,ROW()-1,60),ROW()-1,FALSE))</f>
        <v>53.164000000000001</v>
      </c>
      <c r="AF27">
        <f ca="1">IF(AND(ISNUMBER($AF$260),$B$183=1),$AF$260,HLOOKUP(INDIRECT(ADDRESS(2,COLUMN())),OFFSET($BN$2,0,0,ROW()-1,60),ROW()-1,FALSE))</f>
        <v>45.902999999999999</v>
      </c>
      <c r="AG27">
        <f ca="1">IF(AND(ISNUMBER($AG$260),$B$183=1),$AG$260,HLOOKUP(INDIRECT(ADDRESS(2,COLUMN())),OFFSET($BN$2,0,0,ROW()-1,60),ROW()-1,FALSE))</f>
        <v>63.768999999999998</v>
      </c>
      <c r="AH27">
        <f ca="1">IF(AND(ISNUMBER($AH$260),$B$183=1),$AH$260,HLOOKUP(INDIRECT(ADDRESS(2,COLUMN())),OFFSET($BN$2,0,0,ROW()-1,60),ROW()-1,FALSE))</f>
        <v>47.328000000000003</v>
      </c>
      <c r="AI27">
        <f ca="1">IF(AND(ISNUMBER($AI$260),$B$183=1),$AI$260,HLOOKUP(INDIRECT(ADDRESS(2,COLUMN())),OFFSET($BN$2,0,0,ROW()-1,60),ROW()-1,FALSE))</f>
        <v>50.578000000000003</v>
      </c>
      <c r="AJ27">
        <f ca="1">IF(AND(ISNUMBER($AJ$260),$B$183=1),$AJ$260,HLOOKUP(INDIRECT(ADDRESS(2,COLUMN())),OFFSET($BN$2,0,0,ROW()-1,60),ROW()-1,FALSE))</f>
        <v>43.406999999999996</v>
      </c>
      <c r="AK27">
        <f ca="1">IF(AND(ISNUMBER($AK$260),$B$183=1),$AK$260,HLOOKUP(INDIRECT(ADDRESS(2,COLUMN())),OFFSET($BN$2,0,0,ROW()-1,60),ROW()-1,FALSE))</f>
        <v>58.634999999999998</v>
      </c>
      <c r="AL27">
        <f ca="1">IF(AND(ISNUMBER($AL$260),$B$183=1),$AL$260,HLOOKUP(INDIRECT(ADDRESS(2,COLUMN())),OFFSET($BN$2,0,0,ROW()-1,60),ROW()-1,FALSE))</f>
        <v>48.116</v>
      </c>
      <c r="AM27">
        <f ca="1">IF(AND(ISNUMBER($AM$260),$B$183=1),$AM$260,HLOOKUP(INDIRECT(ADDRESS(2,COLUMN())),OFFSET($BN$2,0,0,ROW()-1,60),ROW()-1,FALSE))</f>
        <v>43.652999999999999</v>
      </c>
      <c r="AN27">
        <f ca="1">IF(AND(ISNUMBER($AN$260),$B$183=1),$AN$260,HLOOKUP(INDIRECT(ADDRESS(2,COLUMN())),OFFSET($BN$2,0,0,ROW()-1,60),ROW()-1,FALSE))</f>
        <v>38.427</v>
      </c>
      <c r="AO27">
        <f ca="1">IF(AND(ISNUMBER($AO$260),$B$183=1),$AO$260,HLOOKUP(INDIRECT(ADDRESS(2,COLUMN())),OFFSET($BN$2,0,0,ROW()-1,60),ROW()-1,FALSE))</f>
        <v>54.058</v>
      </c>
      <c r="AP27">
        <f ca="1">IF(AND(ISNUMBER($AP$260),$B$183=1),$AP$260,HLOOKUP(INDIRECT(ADDRESS(2,COLUMN())),OFFSET($BN$2,0,0,ROW()-1,60),ROW()-1,FALSE))</f>
        <v>21.315999999999999</v>
      </c>
      <c r="AQ27">
        <f ca="1">IF(AND(ISNUMBER($AQ$260),$B$183=1),$AQ$260,HLOOKUP(INDIRECT(ADDRESS(2,COLUMN())),OFFSET($BN$2,0,0,ROW()-1,60),ROW()-1,FALSE))</f>
        <v>38.725999999999999</v>
      </c>
      <c r="AR27">
        <f ca="1">IF(AND(ISNUMBER($AR$260),$B$183=1),$AR$260,HLOOKUP(INDIRECT(ADDRESS(2,COLUMN())),OFFSET($BN$2,0,0,ROW()-1,60),ROW()-1,FALSE))</f>
        <v>31.242000000000001</v>
      </c>
      <c r="AS27">
        <f ca="1">IF(AND(ISNUMBER($AS$260),$B$183=1),$AS$260,HLOOKUP(INDIRECT(ADDRESS(2,COLUMN())),OFFSET($BN$2,0,0,ROW()-1,60),ROW()-1,FALSE))</f>
        <v>44.633000000000003</v>
      </c>
      <c r="AT27">
        <f ca="1">IF(AND(ISNUMBER($AT$260),$B$183=1),$AT$260,HLOOKUP(INDIRECT(ADDRESS(2,COLUMN())),OFFSET($BN$2,0,0,ROW()-1,60),ROW()-1,FALSE))</f>
        <v>29.071000000000002</v>
      </c>
      <c r="AU27">
        <f ca="1">IF(AND(ISNUMBER($AU$260),$B$183=1),$AU$260,HLOOKUP(INDIRECT(ADDRESS(2,COLUMN())),OFFSET($BN$2,0,0,ROW()-1,60),ROW()-1,FALSE))</f>
        <v>36.81</v>
      </c>
      <c r="AV27">
        <f ca="1">IF(AND(ISNUMBER($AV$260),$B$183=1),$AV$260,HLOOKUP(INDIRECT(ADDRESS(2,COLUMN())),OFFSET($BN$2,0,0,ROW()-1,60),ROW()-1,FALSE))</f>
        <v>37.576000000000001</v>
      </c>
      <c r="AW27">
        <f ca="1">IF(AND(ISNUMBER($AW$260),$B$183=1),$AW$260,HLOOKUP(INDIRECT(ADDRESS(2,COLUMN())),OFFSET($BN$2,0,0,ROW()-1,60),ROW()-1,FALSE))</f>
        <v>51.832000000000001</v>
      </c>
      <c r="AX27">
        <f ca="1">IF(AND(ISNUMBER($AX$260),$B$183=1),$AX$260,HLOOKUP(INDIRECT(ADDRESS(2,COLUMN())),OFFSET($BN$2,0,0,ROW()-1,60),ROW()-1,FALSE))</f>
        <v>20.219000000000001</v>
      </c>
      <c r="AY27">
        <f ca="1">IF(AND(ISNUMBER($AY$260),$B$183=1),$AY$260,HLOOKUP(INDIRECT(ADDRESS(2,COLUMN())),OFFSET($BN$2,0,0,ROW()-1,60),ROW()-1,FALSE))</f>
        <v>36.993000000000002</v>
      </c>
      <c r="AZ27">
        <f ca="1">IF(AND(ISNUMBER($AZ$260),$B$183=1),$AZ$260,HLOOKUP(INDIRECT(ADDRESS(2,COLUMN())),OFFSET($BN$2,0,0,ROW()-1,60),ROW()-1,FALSE))</f>
        <v>35.628999999999998</v>
      </c>
      <c r="BA27">
        <f ca="1">IF(AND(ISNUMBER($BA$260),$B$183=1),$BA$260,HLOOKUP(INDIRECT(ADDRESS(2,COLUMN())),OFFSET($BN$2,0,0,ROW()-1,60),ROW()-1,FALSE))</f>
        <v>49.831000000000003</v>
      </c>
      <c r="BB27">
        <f ca="1">IF(AND(ISNUMBER($BB$260),$B$183=1),$BB$260,HLOOKUP(INDIRECT(ADDRESS(2,COLUMN())),OFFSET($BN$2,0,0,ROW()-1,60),ROW()-1,FALSE))</f>
        <v>4.915</v>
      </c>
      <c r="BC27">
        <f ca="1">IF(AND(ISNUMBER($BC$260),$B$183=1),$BC$260,HLOOKUP(INDIRECT(ADDRESS(2,COLUMN())),OFFSET($BN$2,0,0,ROW()-1,60),ROW()-1,FALSE))</f>
        <v>-71.537000000000006</v>
      </c>
      <c r="BD27">
        <f ca="1">IF(AND(ISNUMBER($BD$260),$B$183=1),$BD$260,HLOOKUP(INDIRECT(ADDRESS(2,COLUMN())),OFFSET($BN$2,0,0,ROW()-1,60),ROW()-1,FALSE))</f>
        <v>38.436999999999998</v>
      </c>
      <c r="BE27">
        <f ca="1">IF(AND(ISNUMBER($BE$260),$B$183=1),$BE$260,HLOOKUP(INDIRECT(ADDRESS(2,COLUMN())),OFFSET($BN$2,0,0,ROW()-1,60),ROW()-1,FALSE))</f>
        <v>51.564999999999998</v>
      </c>
      <c r="BF27">
        <f ca="1">IF(AND(ISNUMBER($BF$260),$B$183=1),$BF$260,HLOOKUP(INDIRECT(ADDRESS(2,COLUMN())),OFFSET($BN$2,0,0,ROW()-1,60),ROW()-1,FALSE))</f>
        <v>19.378499999999999</v>
      </c>
      <c r="BG27">
        <f ca="1">IF(AND(ISNUMBER($BG$260),$B$183=1),$BG$260,HLOOKUP(INDIRECT(ADDRESS(2,COLUMN())),OFFSET($BN$2,0,0,ROW()-1,60),ROW()-1,FALSE))</f>
        <v>33.656999999999996</v>
      </c>
      <c r="BH27">
        <f ca="1">IF(AND(ISNUMBER($BH$260),$B$183=1),$BH$260,HLOOKUP(INDIRECT(ADDRESS(2,COLUMN())),OFFSET($BN$2,0,0,ROW()-1,60),ROW()-1,FALSE))</f>
        <v>-11.18</v>
      </c>
      <c r="BI27">
        <f ca="1">IF(AND(ISNUMBER($BI$260),$B$183=1),$BI$260,HLOOKUP(INDIRECT(ADDRESS(2,COLUMN())),OFFSET($BN$2,0,0,ROW()-1,60),ROW()-1,FALSE))</f>
        <v>19.422999999999998</v>
      </c>
      <c r="BJ27">
        <f ca="1">IF(AND(ISNUMBER($BJ$260),$B$183=1),$BJ$260,HLOOKUP(INDIRECT(ADDRESS(2,COLUMN())),OFFSET($BN$2,0,0,ROW()-1,60),ROW()-1,FALSE))</f>
        <v>34.231499999999997</v>
      </c>
      <c r="BK27">
        <f ca="1">IF(AND(ISNUMBER($BK$260),$B$183=1),$BK$260,HLOOKUP(INDIRECT(ADDRESS(2,COLUMN())),OFFSET($BN$2,0,0,ROW()-1,60),ROW()-1,FALSE))</f>
        <v>39.444000000000003</v>
      </c>
      <c r="BL27">
        <f ca="1">IF(AND(ISNUMBER($BL$260),$B$183=1),$BL$260,HLOOKUP(INDIRECT(ADDRESS(2,COLUMN())),OFFSET($BN$2,0,0,ROW()-1,60),ROW()-1,FALSE))</f>
        <v>61.097000000000001</v>
      </c>
      <c r="BM27">
        <f ca="1">IF(AND(ISNUMBER($BM$260),$B$183=1),$BM$260,HLOOKUP(INDIRECT(ADDRESS(2,COLUMN())),OFFSET($BN$2,0,0,ROW()-1,60),ROW()-1,FALSE))</f>
        <v>64.158000000000001</v>
      </c>
      <c r="BN27">
        <f>157.8772213</f>
        <v>157.8772213</v>
      </c>
      <c r="BO27">
        <f>173.033</f>
        <v>173.03299999999999</v>
      </c>
      <c r="BP27">
        <f>154.654</f>
        <v>154.654</v>
      </c>
      <c r="BQ27">
        <f>181.508</f>
        <v>181.50800000000001</v>
      </c>
      <c r="BR27">
        <f>135.72</f>
        <v>135.72</v>
      </c>
      <c r="BS27">
        <f>160.176</f>
        <v>160.17599999999999</v>
      </c>
      <c r="BT27">
        <f>111.446</f>
        <v>111.446</v>
      </c>
      <c r="BU27">
        <f>142.469</f>
        <v>142.46899999999999</v>
      </c>
      <c r="BV27">
        <f>113.389</f>
        <v>113.389</v>
      </c>
      <c r="BW27">
        <f>129.777</f>
        <v>129.77699999999999</v>
      </c>
      <c r="BX27">
        <f>121.985</f>
        <v>121.985</v>
      </c>
      <c r="BY27">
        <f>101.101</f>
        <v>101.101</v>
      </c>
      <c r="BZ27">
        <f>89.74</f>
        <v>89.74</v>
      </c>
      <c r="CA27">
        <f>99.802</f>
        <v>99.802000000000007</v>
      </c>
      <c r="CB27">
        <f>94.353</f>
        <v>94.352999999999994</v>
      </c>
      <c r="CC27">
        <f>110.996</f>
        <v>110.996</v>
      </c>
      <c r="CD27">
        <f>84.983</f>
        <v>84.983000000000004</v>
      </c>
      <c r="CE27">
        <f>53.77</f>
        <v>53.77</v>
      </c>
      <c r="CF27">
        <f>79.518</f>
        <v>79.518000000000001</v>
      </c>
      <c r="CG27">
        <f>100.34</f>
        <v>100.34</v>
      </c>
      <c r="CH27">
        <f>75.209</f>
        <v>75.209000000000003</v>
      </c>
      <c r="CI27">
        <f>75.92</f>
        <v>75.92</v>
      </c>
      <c r="CJ27">
        <f>73.307</f>
        <v>73.307000000000002</v>
      </c>
      <c r="CK27">
        <f>87.114</f>
        <v>87.114000000000004</v>
      </c>
      <c r="CL27">
        <f>65.879</f>
        <v>65.879000000000005</v>
      </c>
      <c r="CM27">
        <f>53.164</f>
        <v>53.164000000000001</v>
      </c>
      <c r="CN27">
        <f>45.903</f>
        <v>45.902999999999999</v>
      </c>
      <c r="CO27">
        <f>63.769</f>
        <v>63.768999999999998</v>
      </c>
      <c r="CP27">
        <f>47.328</f>
        <v>47.328000000000003</v>
      </c>
      <c r="CQ27">
        <f>50.578</f>
        <v>50.578000000000003</v>
      </c>
      <c r="CR27">
        <f>43.407</f>
        <v>43.406999999999996</v>
      </c>
      <c r="CS27">
        <f>58.635</f>
        <v>58.634999999999998</v>
      </c>
      <c r="CT27">
        <f>48.116</f>
        <v>48.116</v>
      </c>
      <c r="CU27">
        <f>43.653</f>
        <v>43.652999999999999</v>
      </c>
      <c r="CV27">
        <f>38.427</f>
        <v>38.427</v>
      </c>
      <c r="CW27">
        <f>54.058</f>
        <v>54.058</v>
      </c>
      <c r="CX27">
        <f>21.316</f>
        <v>21.315999999999999</v>
      </c>
      <c r="CY27">
        <f>38.726</f>
        <v>38.725999999999999</v>
      </c>
      <c r="CZ27">
        <f>31.242</f>
        <v>31.242000000000001</v>
      </c>
      <c r="DA27">
        <f>44.633</f>
        <v>44.633000000000003</v>
      </c>
      <c r="DB27">
        <f>29.071</f>
        <v>29.071000000000002</v>
      </c>
      <c r="DC27">
        <f>36.81</f>
        <v>36.81</v>
      </c>
      <c r="DD27">
        <f>37.576</f>
        <v>37.576000000000001</v>
      </c>
      <c r="DE27">
        <f>51.832</f>
        <v>51.832000000000001</v>
      </c>
      <c r="DF27">
        <f>20.219</f>
        <v>20.219000000000001</v>
      </c>
      <c r="DG27">
        <f>36.993</f>
        <v>36.993000000000002</v>
      </c>
      <c r="DH27">
        <f>35.629</f>
        <v>35.628999999999998</v>
      </c>
      <c r="DI27">
        <f>49.831</f>
        <v>49.831000000000003</v>
      </c>
      <c r="DJ27">
        <f>4.915</f>
        <v>4.915</v>
      </c>
      <c r="DK27">
        <f>-71.537</f>
        <v>-71.537000000000006</v>
      </c>
      <c r="DL27">
        <f>38.437</f>
        <v>38.436999999999998</v>
      </c>
      <c r="DM27">
        <f>51.565</f>
        <v>51.564999999999998</v>
      </c>
      <c r="DN27">
        <f>19.3785</f>
        <v>19.378499999999999</v>
      </c>
      <c r="DO27">
        <f>33.657</f>
        <v>33.656999999999996</v>
      </c>
      <c r="DP27">
        <f>-11.18</f>
        <v>-11.18</v>
      </c>
      <c r="DQ27">
        <f>19.423</f>
        <v>19.422999999999998</v>
      </c>
      <c r="DR27">
        <f>34.2315</f>
        <v>34.231499999999997</v>
      </c>
      <c r="DS27">
        <f>39.444</f>
        <v>39.444000000000003</v>
      </c>
      <c r="DT27">
        <f>61.097</f>
        <v>61.097000000000001</v>
      </c>
      <c r="DU27">
        <f>64.158</f>
        <v>64.158000000000001</v>
      </c>
    </row>
    <row r="28" spans="1:125">
      <c r="A28" t="str">
        <f>"    Single Family Rental REITs"</f>
        <v xml:space="preserve">    Single Family Rental REITs</v>
      </c>
      <c r="B28" t="str">
        <f>"RECFFOSF Index"</f>
        <v>RECFFOSF Index</v>
      </c>
      <c r="C28" t="str">
        <f t="shared" si="0"/>
        <v>PR005</v>
      </c>
      <c r="D28" t="str">
        <f t="shared" si="1"/>
        <v>PX_LAST</v>
      </c>
      <c r="E28" t="str">
        <f t="shared" si="2"/>
        <v>动态</v>
      </c>
      <c r="F28">
        <f ca="1">IF(AND(ISNUMBER($F$261),$B$183=1),$F$261,HLOOKUP(INDIRECT(ADDRESS(2,COLUMN())),OFFSET($BN$2,0,0,ROW()-1,60),ROW()-1,FALSE))</f>
        <v>150.02517800000001</v>
      </c>
      <c r="G28">
        <f ca="1">IF(AND(ISNUMBER($G$261),$B$183=1),$G$261,HLOOKUP(INDIRECT(ADDRESS(2,COLUMN())),OFFSET($BN$2,0,0,ROW()-1,60),ROW()-1,FALSE))</f>
        <v>148.625</v>
      </c>
      <c r="H28">
        <f ca="1">IF(AND(ISNUMBER($H$261),$B$183=1),$H$261,HLOOKUP(INDIRECT(ADDRESS(2,COLUMN())),OFFSET($BN$2,0,0,ROW()-1,60),ROW()-1,FALSE))</f>
        <v>176.52099999999999</v>
      </c>
      <c r="I28">
        <f ca="1">IF(AND(ISNUMBER($I$261),$B$183=1),$I$261,HLOOKUP(INDIRECT(ADDRESS(2,COLUMN())),OFFSET($BN$2,0,0,ROW()-1,60),ROW()-1,FALSE))</f>
        <v>118.2</v>
      </c>
      <c r="J28">
        <f ca="1">IF(AND(ISNUMBER($J$261),$B$183=1),$J$261,HLOOKUP(INDIRECT(ADDRESS(2,COLUMN())),OFFSET($BN$2,0,0,ROW()-1,60),ROW()-1,FALSE))</f>
        <v>117.67100000000001</v>
      </c>
      <c r="K28">
        <f ca="1">IF(AND(ISNUMBER($K$261),$B$183=1),$K$261,HLOOKUP(INDIRECT(ADDRESS(2,COLUMN())),OFFSET($BN$2,0,0,ROW()-1,60),ROW()-1,FALSE))</f>
        <v>88.182000000000002</v>
      </c>
      <c r="L28">
        <f ca="1">IF(AND(ISNUMBER($L$261),$B$183=1),$L$261,HLOOKUP(INDIRECT(ADDRESS(2,COLUMN())),OFFSET($BN$2,0,0,ROW()-1,60),ROW()-1,FALSE))</f>
        <v>99.075000000000003</v>
      </c>
      <c r="M28">
        <f ca="1">IF(AND(ISNUMBER($M$261),$B$183=1),$M$261,HLOOKUP(INDIRECT(ADDRESS(2,COLUMN())),OFFSET($BN$2,0,0,ROW()-1,60),ROW()-1,FALSE))</f>
        <v>78.02</v>
      </c>
      <c r="N28">
        <f ca="1">IF(AND(ISNUMBER($N$261),$B$183=1),$N$261,HLOOKUP(INDIRECT(ADDRESS(2,COLUMN())),OFFSET($BN$2,0,0,ROW()-1,60),ROW()-1,FALSE))</f>
        <v>42.249000000000002</v>
      </c>
      <c r="O28">
        <f ca="1">IF(AND(ISNUMBER($O$261),$B$183=1),$O$261,HLOOKUP(INDIRECT(ADDRESS(2,COLUMN())),OFFSET($BN$2,0,0,ROW()-1,60),ROW()-1,FALSE))</f>
        <v>56.767000000000003</v>
      </c>
      <c r="P28">
        <f ca="1">IF(AND(ISNUMBER($P$261),$B$183=1),$P$261,HLOOKUP(INDIRECT(ADDRESS(2,COLUMN())),OFFSET($BN$2,0,0,ROW()-1,60),ROW()-1,FALSE))</f>
        <v>67.656000000000006</v>
      </c>
      <c r="Q28">
        <f ca="1">IF(AND(ISNUMBER($Q$261),$B$183=1),$Q$261,HLOOKUP(INDIRECT(ADDRESS(2,COLUMN())),OFFSET($BN$2,0,0,ROW()-1,60),ROW()-1,FALSE))</f>
        <v>52.21</v>
      </c>
      <c r="R28">
        <f ca="1">IF(AND(ISNUMBER($R$261),$B$183=1),$R$261,HLOOKUP(INDIRECT(ADDRESS(2,COLUMN())),OFFSET($BN$2,0,0,ROW()-1,60),ROW()-1,FALSE))</f>
        <v>45.686</v>
      </c>
      <c r="S28">
        <f ca="1">IF(AND(ISNUMBER($S$261),$B$183=1),$S$261,HLOOKUP(INDIRECT(ADDRESS(2,COLUMN())),OFFSET($BN$2,0,0,ROW()-1,60),ROW()-1,FALSE))</f>
        <v>-7.8140000000000001</v>
      </c>
      <c r="T28">
        <f ca="1">IF(AND(ISNUMBER($T$261),$B$183=1),$T$261,HLOOKUP(INDIRECT(ADDRESS(2,COLUMN())),OFFSET($BN$2,0,0,ROW()-1,60),ROW()-1,FALSE))</f>
        <v>28.271999999999998</v>
      </c>
      <c r="U28">
        <f ca="1">IF(AND(ISNUMBER($U$261),$B$183=1),$U$261,HLOOKUP(INDIRECT(ADDRESS(2,COLUMN())),OFFSET($BN$2,0,0,ROW()-1,60),ROW()-1,FALSE))</f>
        <v>17.594000000000001</v>
      </c>
      <c r="V28">
        <f ca="1">IF(AND(ISNUMBER($V$261),$B$183=1),$V$261,HLOOKUP(INDIRECT(ADDRESS(2,COLUMN())),OFFSET($BN$2,0,0,ROW()-1,60),ROW()-1,FALSE))</f>
        <v>21.529</v>
      </c>
      <c r="W28">
        <f ca="1">IF(AND(ISNUMBER($W$261),$B$183=1),$W$261,HLOOKUP(INDIRECT(ADDRESS(2,COLUMN())),OFFSET($BN$2,0,0,ROW()-1,60),ROW()-1,FALSE))</f>
        <v>20.835999999999999</v>
      </c>
      <c r="X28">
        <f ca="1">IF(AND(ISNUMBER($X$261),$B$183=1),$X$261,HLOOKUP(INDIRECT(ADDRESS(2,COLUMN())),OFFSET($BN$2,0,0,ROW()-1,60),ROW()-1,FALSE))</f>
        <v>-5.5659999999999998</v>
      </c>
      <c r="Y28">
        <f ca="1">IF(AND(ISNUMBER($Y$261),$B$183=1),$Y$261,HLOOKUP(INDIRECT(ADDRESS(2,COLUMN())),OFFSET($BN$2,0,0,ROW()-1,60),ROW()-1,FALSE))</f>
        <v>-2.5329999999999999</v>
      </c>
      <c r="Z28">
        <f ca="1">IF(AND(ISNUMBER($Z$261),$B$183=1),$Z$261,HLOOKUP(INDIRECT(ADDRESS(2,COLUMN())),OFFSET($BN$2,0,0,ROW()-1,60),ROW()-1,FALSE))</f>
        <v>0</v>
      </c>
      <c r="AA28">
        <f ca="1">IF(AND(ISNUMBER($AA$261),$B$183=1),$AA$261,HLOOKUP(INDIRECT(ADDRESS(2,COLUMN())),OFFSET($BN$2,0,0,ROW()-1,60),ROW()-1,FALSE))</f>
        <v>0</v>
      </c>
      <c r="AB28">
        <f ca="1">IF(AND(ISNUMBER($AB$261),$B$183=1),$AB$261,HLOOKUP(INDIRECT(ADDRESS(2,COLUMN())),OFFSET($BN$2,0,0,ROW()-1,60),ROW()-1,FALSE))</f>
        <v>0</v>
      </c>
      <c r="AC28">
        <f ca="1">IF(AND(ISNUMBER($AC$261),$B$183=1),$AC$261,HLOOKUP(INDIRECT(ADDRESS(2,COLUMN())),OFFSET($BN$2,0,0,ROW()-1,60),ROW()-1,FALSE))</f>
        <v>0</v>
      </c>
      <c r="AD28">
        <f ca="1">IF(AND(ISNUMBER($AD$261),$B$183=1),$AD$261,HLOOKUP(INDIRECT(ADDRESS(2,COLUMN())),OFFSET($BN$2,0,0,ROW()-1,60),ROW()-1,FALSE))</f>
        <v>0</v>
      </c>
      <c r="AE28">
        <f ca="1">IF(AND(ISNUMBER($AE$261),$B$183=1),$AE$261,HLOOKUP(INDIRECT(ADDRESS(2,COLUMN())),OFFSET($BN$2,0,0,ROW()-1,60),ROW()-1,FALSE))</f>
        <v>0</v>
      </c>
      <c r="AF28">
        <f ca="1">IF(AND(ISNUMBER($AF$261),$B$183=1),$AF$261,HLOOKUP(INDIRECT(ADDRESS(2,COLUMN())),OFFSET($BN$2,0,0,ROW()-1,60),ROW()-1,FALSE))</f>
        <v>0</v>
      </c>
      <c r="AG28">
        <f ca="1">IF(AND(ISNUMBER($AG$261),$B$183=1),$AG$261,HLOOKUP(INDIRECT(ADDRESS(2,COLUMN())),OFFSET($BN$2,0,0,ROW()-1,60),ROW()-1,FALSE))</f>
        <v>0</v>
      </c>
      <c r="AH28">
        <f ca="1">IF(AND(ISNUMBER($AH$261),$B$183=1),$AH$261,HLOOKUP(INDIRECT(ADDRESS(2,COLUMN())),OFFSET($BN$2,0,0,ROW()-1,60),ROW()-1,FALSE))</f>
        <v>0</v>
      </c>
      <c r="AI28">
        <f ca="1">IF(AND(ISNUMBER($AI$261),$B$183=1),$AI$261,HLOOKUP(INDIRECT(ADDRESS(2,COLUMN())),OFFSET($BN$2,0,0,ROW()-1,60),ROW()-1,FALSE))</f>
        <v>0</v>
      </c>
      <c r="AJ28">
        <f ca="1">IF(AND(ISNUMBER($AJ$261),$B$183=1),$AJ$261,HLOOKUP(INDIRECT(ADDRESS(2,COLUMN())),OFFSET($BN$2,0,0,ROW()-1,60),ROW()-1,FALSE))</f>
        <v>0</v>
      </c>
      <c r="AK28">
        <f ca="1">IF(AND(ISNUMBER($AK$261),$B$183=1),$AK$261,HLOOKUP(INDIRECT(ADDRESS(2,COLUMN())),OFFSET($BN$2,0,0,ROW()-1,60),ROW()-1,FALSE))</f>
        <v>0</v>
      </c>
      <c r="AL28">
        <f ca="1">IF(AND(ISNUMBER($AL$261),$B$183=1),$AL$261,HLOOKUP(INDIRECT(ADDRESS(2,COLUMN())),OFFSET($BN$2,0,0,ROW()-1,60),ROW()-1,FALSE))</f>
        <v>0</v>
      </c>
      <c r="AM28">
        <f ca="1">IF(AND(ISNUMBER($AM$261),$B$183=1),$AM$261,HLOOKUP(INDIRECT(ADDRESS(2,COLUMN())),OFFSET($BN$2,0,0,ROW()-1,60),ROW()-1,FALSE))</f>
        <v>0</v>
      </c>
      <c r="AN28">
        <f ca="1">IF(AND(ISNUMBER($AN$261),$B$183=1),$AN$261,HLOOKUP(INDIRECT(ADDRESS(2,COLUMN())),OFFSET($BN$2,0,0,ROW()-1,60),ROW()-1,FALSE))</f>
        <v>0</v>
      </c>
      <c r="AO28">
        <f ca="1">IF(AND(ISNUMBER($AO$261),$B$183=1),$AO$261,HLOOKUP(INDIRECT(ADDRESS(2,COLUMN())),OFFSET($BN$2,0,0,ROW()-1,60),ROW()-1,FALSE))</f>
        <v>0</v>
      </c>
      <c r="AP28">
        <f ca="1">IF(AND(ISNUMBER($AP$261),$B$183=1),$AP$261,HLOOKUP(INDIRECT(ADDRESS(2,COLUMN())),OFFSET($BN$2,0,0,ROW()-1,60),ROW()-1,FALSE))</f>
        <v>0</v>
      </c>
      <c r="AQ28">
        <f ca="1">IF(AND(ISNUMBER($AQ$261),$B$183=1),$AQ$261,HLOOKUP(INDIRECT(ADDRESS(2,COLUMN())),OFFSET($BN$2,0,0,ROW()-1,60),ROW()-1,FALSE))</f>
        <v>0</v>
      </c>
      <c r="AR28">
        <f ca="1">IF(AND(ISNUMBER($AR$261),$B$183=1),$AR$261,HLOOKUP(INDIRECT(ADDRESS(2,COLUMN())),OFFSET($BN$2,0,0,ROW()-1,60),ROW()-1,FALSE))</f>
        <v>0</v>
      </c>
      <c r="AS28">
        <f ca="1">IF(AND(ISNUMBER($AS$261),$B$183=1),$AS$261,HLOOKUP(INDIRECT(ADDRESS(2,COLUMN())),OFFSET($BN$2,0,0,ROW()-1,60),ROW()-1,FALSE))</f>
        <v>0</v>
      </c>
      <c r="AT28">
        <f ca="1">IF(AND(ISNUMBER($AT$261),$B$183=1),$AT$261,HLOOKUP(INDIRECT(ADDRESS(2,COLUMN())),OFFSET($BN$2,0,0,ROW()-1,60),ROW()-1,FALSE))</f>
        <v>0</v>
      </c>
      <c r="AU28">
        <f ca="1">IF(AND(ISNUMBER($AU$261),$B$183=1),$AU$261,HLOOKUP(INDIRECT(ADDRESS(2,COLUMN())),OFFSET($BN$2,0,0,ROW()-1,60),ROW()-1,FALSE))</f>
        <v>0</v>
      </c>
      <c r="AV28">
        <f ca="1">IF(AND(ISNUMBER($AV$261),$B$183=1),$AV$261,HLOOKUP(INDIRECT(ADDRESS(2,COLUMN())),OFFSET($BN$2,0,0,ROW()-1,60),ROW()-1,FALSE))</f>
        <v>0</v>
      </c>
      <c r="AW28">
        <f ca="1">IF(AND(ISNUMBER($AW$261),$B$183=1),$AW$261,HLOOKUP(INDIRECT(ADDRESS(2,COLUMN())),OFFSET($BN$2,0,0,ROW()-1,60),ROW()-1,FALSE))</f>
        <v>0</v>
      </c>
      <c r="AX28">
        <f ca="1">IF(AND(ISNUMBER($AX$261),$B$183=1),$AX$261,HLOOKUP(INDIRECT(ADDRESS(2,COLUMN())),OFFSET($BN$2,0,0,ROW()-1,60),ROW()-1,FALSE))</f>
        <v>0</v>
      </c>
      <c r="AY28">
        <f ca="1">IF(AND(ISNUMBER($AY$261),$B$183=1),$AY$261,HLOOKUP(INDIRECT(ADDRESS(2,COLUMN())),OFFSET($BN$2,0,0,ROW()-1,60),ROW()-1,FALSE))</f>
        <v>0</v>
      </c>
      <c r="AZ28">
        <f ca="1">IF(AND(ISNUMBER($AZ$261),$B$183=1),$AZ$261,HLOOKUP(INDIRECT(ADDRESS(2,COLUMN())),OFFSET($BN$2,0,0,ROW()-1,60),ROW()-1,FALSE))</f>
        <v>0</v>
      </c>
      <c r="BA28">
        <f ca="1">IF(AND(ISNUMBER($BA$261),$B$183=1),$BA$261,HLOOKUP(INDIRECT(ADDRESS(2,COLUMN())),OFFSET($BN$2,0,0,ROW()-1,60),ROW()-1,FALSE))</f>
        <v>0</v>
      </c>
      <c r="BB28">
        <f ca="1">IF(AND(ISNUMBER($BB$261),$B$183=1),$BB$261,HLOOKUP(INDIRECT(ADDRESS(2,COLUMN())),OFFSET($BN$2,0,0,ROW()-1,60),ROW()-1,FALSE))</f>
        <v>0</v>
      </c>
      <c r="BC28">
        <f ca="1">IF(AND(ISNUMBER($BC$261),$B$183=1),$BC$261,HLOOKUP(INDIRECT(ADDRESS(2,COLUMN())),OFFSET($BN$2,0,0,ROW()-1,60),ROW()-1,FALSE))</f>
        <v>0</v>
      </c>
      <c r="BD28">
        <f ca="1">IF(AND(ISNUMBER($BD$261),$B$183=1),$BD$261,HLOOKUP(INDIRECT(ADDRESS(2,COLUMN())),OFFSET($BN$2,0,0,ROW()-1,60),ROW()-1,FALSE))</f>
        <v>0</v>
      </c>
      <c r="BE28">
        <f ca="1">IF(AND(ISNUMBER($BE$261),$B$183=1),$BE$261,HLOOKUP(INDIRECT(ADDRESS(2,COLUMN())),OFFSET($BN$2,0,0,ROW()-1,60),ROW()-1,FALSE))</f>
        <v>0</v>
      </c>
      <c r="BF28">
        <f ca="1">IF(AND(ISNUMBER($BF$261),$B$183=1),$BF$261,HLOOKUP(INDIRECT(ADDRESS(2,COLUMN())),OFFSET($BN$2,0,0,ROW()-1,60),ROW()-1,FALSE))</f>
        <v>0</v>
      </c>
      <c r="BG28">
        <f ca="1">IF(AND(ISNUMBER($BG$261),$B$183=1),$BG$261,HLOOKUP(INDIRECT(ADDRESS(2,COLUMN())),OFFSET($BN$2,0,0,ROW()-1,60),ROW()-1,FALSE))</f>
        <v>0</v>
      </c>
      <c r="BH28">
        <f ca="1">IF(AND(ISNUMBER($BH$261),$B$183=1),$BH$261,HLOOKUP(INDIRECT(ADDRESS(2,COLUMN())),OFFSET($BN$2,0,0,ROW()-1,60),ROW()-1,FALSE))</f>
        <v>0</v>
      </c>
      <c r="BI28">
        <f ca="1">IF(AND(ISNUMBER($BI$261),$B$183=1),$BI$261,HLOOKUP(INDIRECT(ADDRESS(2,COLUMN())),OFFSET($BN$2,0,0,ROW()-1,60),ROW()-1,FALSE))</f>
        <v>0</v>
      </c>
      <c r="BJ28">
        <f ca="1">IF(AND(ISNUMBER($BJ$261),$B$183=1),$BJ$261,HLOOKUP(INDIRECT(ADDRESS(2,COLUMN())),OFFSET($BN$2,0,0,ROW()-1,60),ROW()-1,FALSE))</f>
        <v>0</v>
      </c>
      <c r="BK28">
        <f ca="1">IF(AND(ISNUMBER($BK$261),$B$183=1),$BK$261,HLOOKUP(INDIRECT(ADDRESS(2,COLUMN())),OFFSET($BN$2,0,0,ROW()-1,60),ROW()-1,FALSE))</f>
        <v>0</v>
      </c>
      <c r="BL28">
        <f ca="1">IF(AND(ISNUMBER($BL$261),$B$183=1),$BL$261,HLOOKUP(INDIRECT(ADDRESS(2,COLUMN())),OFFSET($BN$2,0,0,ROW()-1,60),ROW()-1,FALSE))</f>
        <v>0</v>
      </c>
      <c r="BM28">
        <f ca="1">IF(AND(ISNUMBER($BM$261),$B$183=1),$BM$261,HLOOKUP(INDIRECT(ADDRESS(2,COLUMN())),OFFSET($BN$2,0,0,ROW()-1,60),ROW()-1,FALSE))</f>
        <v>0</v>
      </c>
      <c r="BN28">
        <f>150.025178</f>
        <v>150.02517800000001</v>
      </c>
      <c r="BO28">
        <f>148.625</f>
        <v>148.625</v>
      </c>
      <c r="BP28">
        <f>176.521</f>
        <v>176.52099999999999</v>
      </c>
      <c r="BQ28">
        <f>118.2</f>
        <v>118.2</v>
      </c>
      <c r="BR28">
        <f>117.671</f>
        <v>117.67100000000001</v>
      </c>
      <c r="BS28">
        <f>88.182</f>
        <v>88.182000000000002</v>
      </c>
      <c r="BT28">
        <f>99.075</f>
        <v>99.075000000000003</v>
      </c>
      <c r="BU28">
        <f>78.02</f>
        <v>78.02</v>
      </c>
      <c r="BV28">
        <f>42.249</f>
        <v>42.249000000000002</v>
      </c>
      <c r="BW28">
        <f>56.767</f>
        <v>56.767000000000003</v>
      </c>
      <c r="BX28">
        <f>67.656</f>
        <v>67.656000000000006</v>
      </c>
      <c r="BY28">
        <f>52.21</f>
        <v>52.21</v>
      </c>
      <c r="BZ28">
        <f>45.686</f>
        <v>45.686</v>
      </c>
      <c r="CA28">
        <f>-7.814</f>
        <v>-7.8140000000000001</v>
      </c>
      <c r="CB28">
        <f>28.272</f>
        <v>28.271999999999998</v>
      </c>
      <c r="CC28">
        <f>17.594</f>
        <v>17.594000000000001</v>
      </c>
      <c r="CD28">
        <f>21.529</f>
        <v>21.529</v>
      </c>
      <c r="CE28">
        <f>20.836</f>
        <v>20.835999999999999</v>
      </c>
      <c r="CF28">
        <f>-5.566</f>
        <v>-5.5659999999999998</v>
      </c>
      <c r="CG28">
        <f>-2.533</f>
        <v>-2.5329999999999999</v>
      </c>
      <c r="CH28">
        <f>0</f>
        <v>0</v>
      </c>
      <c r="CI28">
        <f>0</f>
        <v>0</v>
      </c>
      <c r="CJ28">
        <f>0</f>
        <v>0</v>
      </c>
      <c r="CK28">
        <f>0</f>
        <v>0</v>
      </c>
      <c r="CL28">
        <f>0</f>
        <v>0</v>
      </c>
      <c r="CM28">
        <f>0</f>
        <v>0</v>
      </c>
      <c r="CN28">
        <f>0</f>
        <v>0</v>
      </c>
      <c r="CO28">
        <f>0</f>
        <v>0</v>
      </c>
      <c r="CP28">
        <f>0</f>
        <v>0</v>
      </c>
      <c r="CQ28">
        <f>0</f>
        <v>0</v>
      </c>
      <c r="CR28">
        <f>0</f>
        <v>0</v>
      </c>
      <c r="CS28">
        <f>0</f>
        <v>0</v>
      </c>
      <c r="CT28">
        <f>0</f>
        <v>0</v>
      </c>
      <c r="CU28">
        <f>0</f>
        <v>0</v>
      </c>
      <c r="CV28">
        <f>0</f>
        <v>0</v>
      </c>
      <c r="CW28">
        <f>0</f>
        <v>0</v>
      </c>
      <c r="CX28">
        <f>0</f>
        <v>0</v>
      </c>
      <c r="CY28">
        <f>0</f>
        <v>0</v>
      </c>
      <c r="CZ28">
        <f>0</f>
        <v>0</v>
      </c>
      <c r="DA28">
        <f>0</f>
        <v>0</v>
      </c>
      <c r="DB28">
        <f>0</f>
        <v>0</v>
      </c>
      <c r="DC28">
        <f>0</f>
        <v>0</v>
      </c>
      <c r="DD28">
        <f>0</f>
        <v>0</v>
      </c>
      <c r="DE28">
        <f>0</f>
        <v>0</v>
      </c>
      <c r="DF28">
        <f>0</f>
        <v>0</v>
      </c>
      <c r="DG28">
        <f>0</f>
        <v>0</v>
      </c>
      <c r="DH28">
        <f>0</f>
        <v>0</v>
      </c>
      <c r="DI28">
        <f>0</f>
        <v>0</v>
      </c>
      <c r="DJ28">
        <f>0</f>
        <v>0</v>
      </c>
      <c r="DK28">
        <f>0</f>
        <v>0</v>
      </c>
      <c r="DL28">
        <f>0</f>
        <v>0</v>
      </c>
      <c r="DM28">
        <f>0</f>
        <v>0</v>
      </c>
      <c r="DN28">
        <f>0</f>
        <v>0</v>
      </c>
      <c r="DO28">
        <f>0</f>
        <v>0</v>
      </c>
      <c r="DP28">
        <f>0</f>
        <v>0</v>
      </c>
      <c r="DQ28">
        <f>0</f>
        <v>0</v>
      </c>
      <c r="DR28">
        <f>0</f>
        <v>0</v>
      </c>
      <c r="DS28">
        <f>0</f>
        <v>0</v>
      </c>
      <c r="DT28">
        <f>0</f>
        <v>0</v>
      </c>
      <c r="DU28">
        <f>0</f>
        <v>0</v>
      </c>
    </row>
    <row r="29" spans="1:125">
      <c r="A29" t="str">
        <f>"    Diversified REITs"</f>
        <v xml:space="preserve">    Diversified REITs</v>
      </c>
      <c r="B29" t="str">
        <f>"RECFFODV Index"</f>
        <v>RECFFODV Index</v>
      </c>
      <c r="C29" t="str">
        <f t="shared" si="0"/>
        <v>PR005</v>
      </c>
      <c r="D29" t="str">
        <f t="shared" si="1"/>
        <v>PX_LAST</v>
      </c>
      <c r="E29" t="str">
        <f t="shared" si="2"/>
        <v>动态</v>
      </c>
      <c r="F29">
        <f ca="1">IF(AND(ISNUMBER($F$262),$B$183=1),$F$262,HLOOKUP(INDIRECT(ADDRESS(2,COLUMN())),OFFSET($BN$2,0,0,ROW()-1,60),ROW()-1,FALSE))</f>
        <v>879.66209400000002</v>
      </c>
      <c r="G29">
        <f ca="1">IF(AND(ISNUMBER($G$262),$B$183=1),$G$262,HLOOKUP(INDIRECT(ADDRESS(2,COLUMN())),OFFSET($BN$2,0,0,ROW()-1,60),ROW()-1,FALSE))</f>
        <v>858.11</v>
      </c>
      <c r="H29">
        <f ca="1">IF(AND(ISNUMBER($H$262),$B$183=1),$H$262,HLOOKUP(INDIRECT(ADDRESS(2,COLUMN())),OFFSET($BN$2,0,0,ROW()-1,60),ROW()-1,FALSE))</f>
        <v>1099.376</v>
      </c>
      <c r="I29">
        <f ca="1">IF(AND(ISNUMBER($I$262),$B$183=1),$I$262,HLOOKUP(INDIRECT(ADDRESS(2,COLUMN())),OFFSET($BN$2,0,0,ROW()-1,60),ROW()-1,FALSE))</f>
        <v>979.27800000000002</v>
      </c>
      <c r="J29">
        <f ca="1">IF(AND(ISNUMBER($J$262),$B$183=1),$J$262,HLOOKUP(INDIRECT(ADDRESS(2,COLUMN())),OFFSET($BN$2,0,0,ROW()-1,60),ROW()-1,FALSE))</f>
        <v>1352.702</v>
      </c>
      <c r="K29">
        <f ca="1">IF(AND(ISNUMBER($K$262),$B$183=1),$K$262,HLOOKUP(INDIRECT(ADDRESS(2,COLUMN())),OFFSET($BN$2,0,0,ROW()-1,60),ROW()-1,FALSE))</f>
        <v>623.10699999999997</v>
      </c>
      <c r="L29">
        <f ca="1">IF(AND(ISNUMBER($L$262),$B$183=1),$L$262,HLOOKUP(INDIRECT(ADDRESS(2,COLUMN())),OFFSET($BN$2,0,0,ROW()-1,60),ROW()-1,FALSE))</f>
        <v>906.20600000000002</v>
      </c>
      <c r="M29">
        <f ca="1">IF(AND(ISNUMBER($M$262),$B$183=1),$M$262,HLOOKUP(INDIRECT(ADDRESS(2,COLUMN())),OFFSET($BN$2,0,0,ROW()-1,60),ROW()-1,FALSE))</f>
        <v>815.11300000000006</v>
      </c>
      <c r="N29">
        <f ca="1">IF(AND(ISNUMBER($N$262),$B$183=1),$N$262,HLOOKUP(INDIRECT(ADDRESS(2,COLUMN())),OFFSET($BN$2,0,0,ROW()-1,60),ROW()-1,FALSE))</f>
        <v>642.59699999999998</v>
      </c>
      <c r="O29">
        <f ca="1">IF(AND(ISNUMBER($O$262),$B$183=1),$O$262,HLOOKUP(INDIRECT(ADDRESS(2,COLUMN())),OFFSET($BN$2,0,0,ROW()-1,60),ROW()-1,FALSE))</f>
        <v>1253.9670000000001</v>
      </c>
      <c r="P29">
        <f ca="1">IF(AND(ISNUMBER($P$262),$B$183=1),$P$262,HLOOKUP(INDIRECT(ADDRESS(2,COLUMN())),OFFSET($BN$2,0,0,ROW()-1,60),ROW()-1,FALSE))</f>
        <v>1362.076</v>
      </c>
      <c r="Q29">
        <f ca="1">IF(AND(ISNUMBER($Q$262),$B$183=1),$Q$262,HLOOKUP(INDIRECT(ADDRESS(2,COLUMN())),OFFSET($BN$2,0,0,ROW()-1,60),ROW()-1,FALSE))</f>
        <v>993.40599999999995</v>
      </c>
      <c r="R29">
        <f ca="1">IF(AND(ISNUMBER($R$262),$B$183=1),$R$262,HLOOKUP(INDIRECT(ADDRESS(2,COLUMN())),OFFSET($BN$2,0,0,ROW()-1,60),ROW()-1,FALSE))</f>
        <v>962.46699999999998</v>
      </c>
      <c r="S29">
        <f ca="1">IF(AND(ISNUMBER($S$262),$B$183=1),$S$262,HLOOKUP(INDIRECT(ADDRESS(2,COLUMN())),OFFSET($BN$2,0,0,ROW()-1,60),ROW()-1,FALSE))</f>
        <v>770.30200000000002</v>
      </c>
      <c r="T29">
        <f ca="1">IF(AND(ISNUMBER($T$262),$B$183=1),$T$262,HLOOKUP(INDIRECT(ADDRESS(2,COLUMN())),OFFSET($BN$2,0,0,ROW()-1,60),ROW()-1,FALSE))</f>
        <v>768.63900000000001</v>
      </c>
      <c r="U29">
        <f ca="1">IF(AND(ISNUMBER($U$262),$B$183=1),$U$262,HLOOKUP(INDIRECT(ADDRESS(2,COLUMN())),OFFSET($BN$2,0,0,ROW()-1,60),ROW()-1,FALSE))</f>
        <v>854.14400000000001</v>
      </c>
      <c r="V29">
        <f ca="1">IF(AND(ISNUMBER($V$262),$B$183=1),$V$262,HLOOKUP(INDIRECT(ADDRESS(2,COLUMN())),OFFSET($BN$2,0,0,ROW()-1,60),ROW()-1,FALSE))</f>
        <v>444.09800000000001</v>
      </c>
      <c r="W29">
        <f ca="1">IF(AND(ISNUMBER($W$262),$B$183=1),$W$262,HLOOKUP(INDIRECT(ADDRESS(2,COLUMN())),OFFSET($BN$2,0,0,ROW()-1,60),ROW()-1,FALSE))</f>
        <v>659.01099999999997</v>
      </c>
      <c r="X29">
        <f ca="1">IF(AND(ISNUMBER($X$262),$B$183=1),$X$262,HLOOKUP(INDIRECT(ADDRESS(2,COLUMN())),OFFSET($BN$2,0,0,ROW()-1,60),ROW()-1,FALSE))</f>
        <v>618.40700000000004</v>
      </c>
      <c r="Y29">
        <f ca="1">IF(AND(ISNUMBER($Y$262),$B$183=1),$Y$262,HLOOKUP(INDIRECT(ADDRESS(2,COLUMN())),OFFSET($BN$2,0,0,ROW()-1,60),ROW()-1,FALSE))</f>
        <v>564.92600000000004</v>
      </c>
      <c r="Z29">
        <f ca="1">IF(AND(ISNUMBER($Z$262),$B$183=1),$Z$262,HLOOKUP(INDIRECT(ADDRESS(2,COLUMN())),OFFSET($BN$2,0,0,ROW()-1,60),ROW()-1,FALSE))</f>
        <v>350.15499999999997</v>
      </c>
      <c r="AA29">
        <f ca="1">IF(AND(ISNUMBER($AA$262),$B$183=1),$AA$262,HLOOKUP(INDIRECT(ADDRESS(2,COLUMN())),OFFSET($BN$2,0,0,ROW()-1,60),ROW()-1,FALSE))</f>
        <v>505.91800000000001</v>
      </c>
      <c r="AB29">
        <f ca="1">IF(AND(ISNUMBER($AB$262),$B$183=1),$AB$262,HLOOKUP(INDIRECT(ADDRESS(2,COLUMN())),OFFSET($BN$2,0,0,ROW()-1,60),ROW()-1,FALSE))</f>
        <v>406.75</v>
      </c>
      <c r="AC29">
        <f ca="1">IF(AND(ISNUMBER($AC$262),$B$183=1),$AC$262,HLOOKUP(INDIRECT(ADDRESS(2,COLUMN())),OFFSET($BN$2,0,0,ROW()-1,60),ROW()-1,FALSE))</f>
        <v>579.30200000000002</v>
      </c>
      <c r="AD29">
        <f ca="1">IF(AND(ISNUMBER($AD$262),$B$183=1),$AD$262,HLOOKUP(INDIRECT(ADDRESS(2,COLUMN())),OFFSET($BN$2,0,0,ROW()-1,60),ROW()-1,FALSE))</f>
        <v>376.88200000000001</v>
      </c>
      <c r="AE29">
        <f ca="1">IF(AND(ISNUMBER($AE$262),$B$183=1),$AE$262,HLOOKUP(INDIRECT(ADDRESS(2,COLUMN())),OFFSET($BN$2,0,0,ROW()-1,60),ROW()-1,FALSE))</f>
        <v>393.87</v>
      </c>
      <c r="AF29">
        <f ca="1">IF(AND(ISNUMBER($AF$262),$B$183=1),$AF$262,HLOOKUP(INDIRECT(ADDRESS(2,COLUMN())),OFFSET($BN$2,0,0,ROW()-1,60),ROW()-1,FALSE))</f>
        <v>435.92099999999999</v>
      </c>
      <c r="AG29">
        <f ca="1">IF(AND(ISNUMBER($AG$262),$B$183=1),$AG$262,HLOOKUP(INDIRECT(ADDRESS(2,COLUMN())),OFFSET($BN$2,0,0,ROW()-1,60),ROW()-1,FALSE))</f>
        <v>699.21900000000005</v>
      </c>
      <c r="AH29">
        <f ca="1">IF(AND(ISNUMBER($AH$262),$B$183=1),$AH$262,HLOOKUP(INDIRECT(ADDRESS(2,COLUMN())),OFFSET($BN$2,0,0,ROW()-1,60),ROW()-1,FALSE))</f>
        <v>585.02</v>
      </c>
      <c r="AI29">
        <f ca="1">IF(AND(ISNUMBER($AI$262),$B$183=1),$AI$262,HLOOKUP(INDIRECT(ADDRESS(2,COLUMN())),OFFSET($BN$2,0,0,ROW()-1,60),ROW()-1,FALSE))</f>
        <v>366.84</v>
      </c>
      <c r="AJ29">
        <f ca="1">IF(AND(ISNUMBER($AJ$262),$B$183=1),$AJ$262,HLOOKUP(INDIRECT(ADDRESS(2,COLUMN())),OFFSET($BN$2,0,0,ROW()-1,60),ROW()-1,FALSE))</f>
        <v>310.27199999999999</v>
      </c>
      <c r="AK29">
        <f ca="1">IF(AND(ISNUMBER($AK$262),$B$183=1),$AK$262,HLOOKUP(INDIRECT(ADDRESS(2,COLUMN())),OFFSET($BN$2,0,0,ROW()-1,60),ROW()-1,FALSE))</f>
        <v>454.86200000000002</v>
      </c>
      <c r="AL29">
        <f ca="1">IF(AND(ISNUMBER($AL$262),$B$183=1),$AL$262,HLOOKUP(INDIRECT(ADDRESS(2,COLUMN())),OFFSET($BN$2,0,0,ROW()-1,60),ROW()-1,FALSE))</f>
        <v>50.689</v>
      </c>
      <c r="AM29">
        <f ca="1">IF(AND(ISNUMBER($AM$262),$B$183=1),$AM$262,HLOOKUP(INDIRECT(ADDRESS(2,COLUMN())),OFFSET($BN$2,0,0,ROW()-1,60),ROW()-1,FALSE))</f>
        <v>296.38900000000001</v>
      </c>
      <c r="AN29">
        <f ca="1">IF(AND(ISNUMBER($AN$262),$B$183=1),$AN$262,HLOOKUP(INDIRECT(ADDRESS(2,COLUMN())),OFFSET($BN$2,0,0,ROW()-1,60),ROW()-1,FALSE))</f>
        <v>8.4320000000000004</v>
      </c>
      <c r="AO29">
        <f ca="1">IF(AND(ISNUMBER($AO$262),$B$183=1),$AO$262,HLOOKUP(INDIRECT(ADDRESS(2,COLUMN())),OFFSET($BN$2,0,0,ROW()-1,60),ROW()-1,FALSE))</f>
        <v>309.45100000000002</v>
      </c>
      <c r="AP29">
        <f ca="1">IF(AND(ISNUMBER($AP$262),$B$183=1),$AP$262,HLOOKUP(INDIRECT(ADDRESS(2,COLUMN())),OFFSET($BN$2,0,0,ROW()-1,60),ROW()-1,FALSE))</f>
        <v>-71.17</v>
      </c>
      <c r="AQ29">
        <f ca="1">IF(AND(ISNUMBER($AQ$262),$B$183=1),$AQ$262,HLOOKUP(INDIRECT(ADDRESS(2,COLUMN())),OFFSET($BN$2,0,0,ROW()-1,60),ROW()-1,FALSE))</f>
        <v>301.39600000000002</v>
      </c>
      <c r="AR29">
        <f ca="1">IF(AND(ISNUMBER($AR$262),$B$183=1),$AR$262,HLOOKUP(INDIRECT(ADDRESS(2,COLUMN())),OFFSET($BN$2,0,0,ROW()-1,60),ROW()-1,FALSE))</f>
        <v>340.61</v>
      </c>
      <c r="AS29">
        <f ca="1">IF(AND(ISNUMBER($AS$262),$B$183=1),$AS$262,HLOOKUP(INDIRECT(ADDRESS(2,COLUMN())),OFFSET($BN$2,0,0,ROW()-1,60),ROW()-1,FALSE))</f>
        <v>631.84500000000003</v>
      </c>
      <c r="AT29">
        <f ca="1">IF(AND(ISNUMBER($AT$262),$B$183=1),$AT$262,HLOOKUP(INDIRECT(ADDRESS(2,COLUMN())),OFFSET($BN$2,0,0,ROW()-1,60),ROW()-1,FALSE))</f>
        <v>241.42250000000001</v>
      </c>
      <c r="AU29">
        <f ca="1">IF(AND(ISNUMBER($AU$262),$B$183=1),$AU$262,HLOOKUP(INDIRECT(ADDRESS(2,COLUMN())),OFFSET($BN$2,0,0,ROW()-1,60),ROW()-1,FALSE))</f>
        <v>359.63499999999999</v>
      </c>
      <c r="AV29">
        <f ca="1">IF(AND(ISNUMBER($AV$262),$B$183=1),$AV$262,HLOOKUP(INDIRECT(ADDRESS(2,COLUMN())),OFFSET($BN$2,0,0,ROW()-1,60),ROW()-1,FALSE))</f>
        <v>451.56799999999998</v>
      </c>
      <c r="AW29">
        <f ca="1">IF(AND(ISNUMBER($AW$262),$B$183=1),$AW$262,HLOOKUP(INDIRECT(ADDRESS(2,COLUMN())),OFFSET($BN$2,0,0,ROW()-1,60),ROW()-1,FALSE))</f>
        <v>491.45</v>
      </c>
      <c r="AX29">
        <f ca="1">IF(AND(ISNUMBER($AX$262),$B$183=1),$AX$262,HLOOKUP(INDIRECT(ADDRESS(2,COLUMN())),OFFSET($BN$2,0,0,ROW()-1,60),ROW()-1,FALSE))</f>
        <v>395.73599999999999</v>
      </c>
      <c r="AY29">
        <f ca="1">IF(AND(ISNUMBER($AY$262),$B$183=1),$AY$262,HLOOKUP(INDIRECT(ADDRESS(2,COLUMN())),OFFSET($BN$2,0,0,ROW()-1,60),ROW()-1,FALSE))</f>
        <v>369.93599999999998</v>
      </c>
      <c r="AZ29">
        <f ca="1">IF(AND(ISNUMBER($AZ$262),$B$183=1),$AZ$262,HLOOKUP(INDIRECT(ADDRESS(2,COLUMN())),OFFSET($BN$2,0,0,ROW()-1,60),ROW()-1,FALSE))</f>
        <v>459.08600000000001</v>
      </c>
      <c r="BA29">
        <f ca="1">IF(AND(ISNUMBER($BA$262),$B$183=1),$BA$262,HLOOKUP(INDIRECT(ADDRESS(2,COLUMN())),OFFSET($BN$2,0,0,ROW()-1,60),ROW()-1,FALSE))</f>
        <v>433.64600000000002</v>
      </c>
      <c r="BB29">
        <f ca="1">IF(AND(ISNUMBER($BB$262),$B$183=1),$BB$262,HLOOKUP(INDIRECT(ADDRESS(2,COLUMN())),OFFSET($BN$2,0,0,ROW()-1,60),ROW()-1,FALSE))</f>
        <v>378.27850000000001</v>
      </c>
      <c r="BC29">
        <f ca="1">IF(AND(ISNUMBER($BC$262),$B$183=1),$BC$262,HLOOKUP(INDIRECT(ADDRESS(2,COLUMN())),OFFSET($BN$2,0,0,ROW()-1,60),ROW()-1,FALSE))</f>
        <v>287.49200000000002</v>
      </c>
      <c r="BD29">
        <f ca="1">IF(AND(ISNUMBER($BD$262),$B$183=1),$BD$262,HLOOKUP(INDIRECT(ADDRESS(2,COLUMN())),OFFSET($BN$2,0,0,ROW()-1,60),ROW()-1,FALSE))</f>
        <v>409.78300000000002</v>
      </c>
      <c r="BE29">
        <f ca="1">IF(AND(ISNUMBER($BE$262),$B$183=1),$BE$262,HLOOKUP(INDIRECT(ADDRESS(2,COLUMN())),OFFSET($BN$2,0,0,ROW()-1,60),ROW()-1,FALSE))</f>
        <v>410.34300000000002</v>
      </c>
      <c r="BF29">
        <f ca="1">IF(AND(ISNUMBER($BF$262),$B$183=1),$BF$262,HLOOKUP(INDIRECT(ADDRESS(2,COLUMN())),OFFSET($BN$2,0,0,ROW()-1,60),ROW()-1,FALSE))</f>
        <v>428.524</v>
      </c>
      <c r="BG29">
        <f ca="1">IF(AND(ISNUMBER($BG$262),$B$183=1),$BG$262,HLOOKUP(INDIRECT(ADDRESS(2,COLUMN())),OFFSET($BN$2,0,0,ROW()-1,60),ROW()-1,FALSE))</f>
        <v>312.71699999999998</v>
      </c>
      <c r="BH29">
        <f ca="1">IF(AND(ISNUMBER($BH$262),$B$183=1),$BH$262,HLOOKUP(INDIRECT(ADDRESS(2,COLUMN())),OFFSET($BN$2,0,0,ROW()-1,60),ROW()-1,FALSE))</f>
        <v>310.983</v>
      </c>
      <c r="BI29">
        <f ca="1">IF(AND(ISNUMBER($BI$262),$B$183=1),$BI$262,HLOOKUP(INDIRECT(ADDRESS(2,COLUMN())),OFFSET($BN$2,0,0,ROW()-1,60),ROW()-1,FALSE))</f>
        <v>276.49799999999999</v>
      </c>
      <c r="BJ29">
        <f ca="1">IF(AND(ISNUMBER($BJ$262),$B$183=1),$BJ$262,HLOOKUP(INDIRECT(ADDRESS(2,COLUMN())),OFFSET($BN$2,0,0,ROW()-1,60),ROW()-1,FALSE))</f>
        <v>327.90499999999997</v>
      </c>
      <c r="BK29">
        <f ca="1">IF(AND(ISNUMBER($BK$262),$B$183=1),$BK$262,HLOOKUP(INDIRECT(ADDRESS(2,COLUMN())),OFFSET($BN$2,0,0,ROW()-1,60),ROW()-1,FALSE))</f>
        <v>283.863</v>
      </c>
      <c r="BL29">
        <f ca="1">IF(AND(ISNUMBER($BL$262),$B$183=1),$BL$262,HLOOKUP(INDIRECT(ADDRESS(2,COLUMN())),OFFSET($BN$2,0,0,ROW()-1,60),ROW()-1,FALSE))</f>
        <v>271.09800000000001</v>
      </c>
      <c r="BM29">
        <f ca="1">IF(AND(ISNUMBER($BM$262),$B$183=1),$BM$262,HLOOKUP(INDIRECT(ADDRESS(2,COLUMN())),OFFSET($BN$2,0,0,ROW()-1,60),ROW()-1,FALSE))</f>
        <v>283.52999999999997</v>
      </c>
      <c r="BN29">
        <f>879.662094</f>
        <v>879.66209400000002</v>
      </c>
      <c r="BO29">
        <f>858.11</f>
        <v>858.11</v>
      </c>
      <c r="BP29">
        <f>1099.376</f>
        <v>1099.376</v>
      </c>
      <c r="BQ29">
        <f>979.278</f>
        <v>979.27800000000002</v>
      </c>
      <c r="BR29">
        <f>1352.702</f>
        <v>1352.702</v>
      </c>
      <c r="BS29">
        <f>623.107</f>
        <v>623.10699999999997</v>
      </c>
      <c r="BT29">
        <f>906.206</f>
        <v>906.20600000000002</v>
      </c>
      <c r="BU29">
        <f>815.113</f>
        <v>815.11300000000006</v>
      </c>
      <c r="BV29">
        <f>642.597</f>
        <v>642.59699999999998</v>
      </c>
      <c r="BW29">
        <f>1253.967</f>
        <v>1253.9670000000001</v>
      </c>
      <c r="BX29">
        <f>1362.076</f>
        <v>1362.076</v>
      </c>
      <c r="BY29">
        <f>993.406</f>
        <v>993.40599999999995</v>
      </c>
      <c r="BZ29">
        <f>962.467</f>
        <v>962.46699999999998</v>
      </c>
      <c r="CA29">
        <f>770.302</f>
        <v>770.30200000000002</v>
      </c>
      <c r="CB29">
        <f>768.639</f>
        <v>768.63900000000001</v>
      </c>
      <c r="CC29">
        <f>854.144</f>
        <v>854.14400000000001</v>
      </c>
      <c r="CD29">
        <f>444.098</f>
        <v>444.09800000000001</v>
      </c>
      <c r="CE29">
        <f>659.011</f>
        <v>659.01099999999997</v>
      </c>
      <c r="CF29">
        <f>618.407</f>
        <v>618.40700000000004</v>
      </c>
      <c r="CG29">
        <f>564.926</f>
        <v>564.92600000000004</v>
      </c>
      <c r="CH29">
        <f>350.155</f>
        <v>350.15499999999997</v>
      </c>
      <c r="CI29">
        <f>505.918</f>
        <v>505.91800000000001</v>
      </c>
      <c r="CJ29">
        <f>406.75</f>
        <v>406.75</v>
      </c>
      <c r="CK29">
        <f>579.302</f>
        <v>579.30200000000002</v>
      </c>
      <c r="CL29">
        <f>376.882</f>
        <v>376.88200000000001</v>
      </c>
      <c r="CM29">
        <f>393.87</f>
        <v>393.87</v>
      </c>
      <c r="CN29">
        <f>435.921</f>
        <v>435.92099999999999</v>
      </c>
      <c r="CO29">
        <f>699.219</f>
        <v>699.21900000000005</v>
      </c>
      <c r="CP29">
        <f>585.02</f>
        <v>585.02</v>
      </c>
      <c r="CQ29">
        <f>366.84</f>
        <v>366.84</v>
      </c>
      <c r="CR29">
        <f>310.272</f>
        <v>310.27199999999999</v>
      </c>
      <c r="CS29">
        <f>454.862</f>
        <v>454.86200000000002</v>
      </c>
      <c r="CT29">
        <f>50.689</f>
        <v>50.689</v>
      </c>
      <c r="CU29">
        <f>296.389</f>
        <v>296.38900000000001</v>
      </c>
      <c r="CV29">
        <f>8.432</f>
        <v>8.4320000000000004</v>
      </c>
      <c r="CW29">
        <f>309.451</f>
        <v>309.45100000000002</v>
      </c>
      <c r="CX29">
        <f>-71.17</f>
        <v>-71.17</v>
      </c>
      <c r="CY29">
        <f>301.396</f>
        <v>301.39600000000002</v>
      </c>
      <c r="CZ29">
        <f>340.61</f>
        <v>340.61</v>
      </c>
      <c r="DA29">
        <f>631.845</f>
        <v>631.84500000000003</v>
      </c>
      <c r="DB29">
        <f>241.4225</f>
        <v>241.42250000000001</v>
      </c>
      <c r="DC29">
        <f>359.635</f>
        <v>359.63499999999999</v>
      </c>
      <c r="DD29">
        <f>451.568</f>
        <v>451.56799999999998</v>
      </c>
      <c r="DE29">
        <f>491.45</f>
        <v>491.45</v>
      </c>
      <c r="DF29">
        <f>395.736</f>
        <v>395.73599999999999</v>
      </c>
      <c r="DG29">
        <f>369.936</f>
        <v>369.93599999999998</v>
      </c>
      <c r="DH29">
        <f>459.086</f>
        <v>459.08600000000001</v>
      </c>
      <c r="DI29">
        <f>433.646</f>
        <v>433.64600000000002</v>
      </c>
      <c r="DJ29">
        <f>378.2785</f>
        <v>378.27850000000001</v>
      </c>
      <c r="DK29">
        <f>287.492</f>
        <v>287.49200000000002</v>
      </c>
      <c r="DL29">
        <f>409.783</f>
        <v>409.78300000000002</v>
      </c>
      <c r="DM29">
        <f>410.343</f>
        <v>410.34300000000002</v>
      </c>
      <c r="DN29">
        <f>428.524</f>
        <v>428.524</v>
      </c>
      <c r="DO29">
        <f>312.717</f>
        <v>312.71699999999998</v>
      </c>
      <c r="DP29">
        <f>310.983</f>
        <v>310.983</v>
      </c>
      <c r="DQ29">
        <f>276.498</f>
        <v>276.49799999999999</v>
      </c>
      <c r="DR29">
        <f>327.905</f>
        <v>327.90499999999997</v>
      </c>
      <c r="DS29">
        <f>283.863</f>
        <v>283.863</v>
      </c>
      <c r="DT29">
        <f>271.098</f>
        <v>271.09800000000001</v>
      </c>
      <c r="DU29">
        <f>283.53</f>
        <v>283.52999999999997</v>
      </c>
    </row>
    <row r="30" spans="1:125">
      <c r="A30" t="str">
        <f>"    Lodging/Resort REITs"</f>
        <v xml:space="preserve">    Lodging/Resort REITs</v>
      </c>
      <c r="B30" t="str">
        <f>"RECFFOLR Index"</f>
        <v>RECFFOLR Index</v>
      </c>
      <c r="C30" t="str">
        <f t="shared" si="0"/>
        <v>PR005</v>
      </c>
      <c r="D30" t="str">
        <f t="shared" si="1"/>
        <v>PX_LAST</v>
      </c>
      <c r="E30" t="str">
        <f t="shared" si="2"/>
        <v>动态</v>
      </c>
      <c r="F30">
        <f ca="1">IF(AND(ISNUMBER($F$263),$B$183=1),$F$263,HLOOKUP(INDIRECT(ADDRESS(2,COLUMN())),OFFSET($BN$2,0,0,ROW()-1,60),ROW()-1,FALSE))</f>
        <v>1305.5938739999999</v>
      </c>
      <c r="G30">
        <f ca="1">IF(AND(ISNUMBER($G$263),$B$183=1),$G$263,HLOOKUP(INDIRECT(ADDRESS(2,COLUMN())),OFFSET($BN$2,0,0,ROW()-1,60),ROW()-1,FALSE))</f>
        <v>1272.9870000000001</v>
      </c>
      <c r="H30">
        <f ca="1">IF(AND(ISNUMBER($H$263),$B$183=1),$H$263,HLOOKUP(INDIRECT(ADDRESS(2,COLUMN())),OFFSET($BN$2,0,0,ROW()-1,60),ROW()-1,FALSE))</f>
        <v>1545.1780000000001</v>
      </c>
      <c r="I30">
        <f ca="1">IF(AND(ISNUMBER($I$263),$B$183=1),$I$263,HLOOKUP(INDIRECT(ADDRESS(2,COLUMN())),OFFSET($BN$2,0,0,ROW()-1,60),ROW()-1,FALSE))</f>
        <v>1144.4390000000001</v>
      </c>
      <c r="J30">
        <f ca="1">IF(AND(ISNUMBER($J$263),$B$183=1),$J$263,HLOOKUP(INDIRECT(ADDRESS(2,COLUMN())),OFFSET($BN$2,0,0,ROW()-1,60),ROW()-1,FALSE))</f>
        <v>1082.912</v>
      </c>
      <c r="K30">
        <f ca="1">IF(AND(ISNUMBER($K$263),$B$183=1),$K$263,HLOOKUP(INDIRECT(ADDRESS(2,COLUMN())),OFFSET($BN$2,0,0,ROW()-1,60),ROW()-1,FALSE))</f>
        <v>1158.1089999999999</v>
      </c>
      <c r="L30">
        <f ca="1">IF(AND(ISNUMBER($L$263),$B$183=1),$L$263,HLOOKUP(INDIRECT(ADDRESS(2,COLUMN())),OFFSET($BN$2,0,0,ROW()-1,60),ROW()-1,FALSE))</f>
        <v>1411.1089999999999</v>
      </c>
      <c r="M30">
        <f ca="1">IF(AND(ISNUMBER($M$263),$B$183=1),$M$263,HLOOKUP(INDIRECT(ADDRESS(2,COLUMN())),OFFSET($BN$2,0,0,ROW()-1,60),ROW()-1,FALSE))</f>
        <v>1005.332</v>
      </c>
      <c r="N30">
        <f ca="1">IF(AND(ISNUMBER($N$263),$B$183=1),$N$263,HLOOKUP(INDIRECT(ADDRESS(2,COLUMN())),OFFSET($BN$2,0,0,ROW()-1,60),ROW()-1,FALSE))</f>
        <v>1034.96</v>
      </c>
      <c r="O30">
        <f ca="1">IF(AND(ISNUMBER($O$263),$B$183=1),$O$263,HLOOKUP(INDIRECT(ADDRESS(2,COLUMN())),OFFSET($BN$2,0,0,ROW()-1,60),ROW()-1,FALSE))</f>
        <v>1215.1320000000001</v>
      </c>
      <c r="P30">
        <f ca="1">IF(AND(ISNUMBER($P$263),$B$183=1),$P$263,HLOOKUP(INDIRECT(ADDRESS(2,COLUMN())),OFFSET($BN$2,0,0,ROW()-1,60),ROW()-1,FALSE))</f>
        <v>1309.704</v>
      </c>
      <c r="Q30">
        <f ca="1">IF(AND(ISNUMBER($Q$263),$B$183=1),$Q$263,HLOOKUP(INDIRECT(ADDRESS(2,COLUMN())),OFFSET($BN$2,0,0,ROW()-1,60),ROW()-1,FALSE))</f>
        <v>821.346</v>
      </c>
      <c r="R30">
        <f ca="1">IF(AND(ISNUMBER($R$263),$B$183=1),$R$263,HLOOKUP(INDIRECT(ADDRESS(2,COLUMN())),OFFSET($BN$2,0,0,ROW()-1,60),ROW()-1,FALSE))</f>
        <v>933.48500000000001</v>
      </c>
      <c r="S30">
        <f ca="1">IF(AND(ISNUMBER($S$263),$B$183=1),$S$263,HLOOKUP(INDIRECT(ADDRESS(2,COLUMN())),OFFSET($BN$2,0,0,ROW()-1,60),ROW()-1,FALSE))</f>
        <v>1044.5889999999999</v>
      </c>
      <c r="T30">
        <f ca="1">IF(AND(ISNUMBER($T$263),$B$183=1),$T$263,HLOOKUP(INDIRECT(ADDRESS(2,COLUMN())),OFFSET($BN$2,0,0,ROW()-1,60),ROW()-1,FALSE))</f>
        <v>1080.133</v>
      </c>
      <c r="U30">
        <f ca="1">IF(AND(ISNUMBER($U$263),$B$183=1),$U$263,HLOOKUP(INDIRECT(ADDRESS(2,COLUMN())),OFFSET($BN$2,0,0,ROW()-1,60),ROW()-1,FALSE))</f>
        <v>649.94899999999996</v>
      </c>
      <c r="V30">
        <f ca="1">IF(AND(ISNUMBER($V$263),$B$183=1),$V$263,HLOOKUP(INDIRECT(ADDRESS(2,COLUMN())),OFFSET($BN$2,0,0,ROW()-1,60),ROW()-1,FALSE))</f>
        <v>723.64800000000002</v>
      </c>
      <c r="W30">
        <f ca="1">IF(AND(ISNUMBER($W$263),$B$183=1),$W$263,HLOOKUP(INDIRECT(ADDRESS(2,COLUMN())),OFFSET($BN$2,0,0,ROW()-1,60),ROW()-1,FALSE))</f>
        <v>734.29700000000003</v>
      </c>
      <c r="X30">
        <f ca="1">IF(AND(ISNUMBER($X$263),$B$183=1),$X$263,HLOOKUP(INDIRECT(ADDRESS(2,COLUMN())),OFFSET($BN$2,0,0,ROW()-1,60),ROW()-1,FALSE))</f>
        <v>896.755</v>
      </c>
      <c r="Y30">
        <f ca="1">IF(AND(ISNUMBER($Y$263),$B$183=1),$Y$263,HLOOKUP(INDIRECT(ADDRESS(2,COLUMN())),OFFSET($BN$2,0,0,ROW()-1,60),ROW()-1,FALSE))</f>
        <v>550.86699999999996</v>
      </c>
      <c r="Z30">
        <f ca="1">IF(AND(ISNUMBER($Z$263),$B$183=1),$Z$263,HLOOKUP(INDIRECT(ADDRESS(2,COLUMN())),OFFSET($BN$2,0,0,ROW()-1,60),ROW()-1,FALSE))</f>
        <v>544.49900000000002</v>
      </c>
      <c r="AA30">
        <f ca="1">IF(AND(ISNUMBER($AA$263),$B$183=1),$AA$263,HLOOKUP(INDIRECT(ADDRESS(2,COLUMN())),OFFSET($BN$2,0,0,ROW()-1,60),ROW()-1,FALSE))</f>
        <v>481.18</v>
      </c>
      <c r="AB30">
        <f ca="1">IF(AND(ISNUMBER($AB$263),$B$183=1),$AB$263,HLOOKUP(INDIRECT(ADDRESS(2,COLUMN())),OFFSET($BN$2,0,0,ROW()-1,60),ROW()-1,FALSE))</f>
        <v>667.31899999999996</v>
      </c>
      <c r="AC30">
        <f ca="1">IF(AND(ISNUMBER($AC$263),$B$183=1),$AC$263,HLOOKUP(INDIRECT(ADDRESS(2,COLUMN())),OFFSET($BN$2,0,0,ROW()-1,60),ROW()-1,FALSE))</f>
        <v>286.61799999999999</v>
      </c>
      <c r="AD30">
        <f ca="1">IF(AND(ISNUMBER($AD$263),$B$183=1),$AD$263,HLOOKUP(INDIRECT(ADDRESS(2,COLUMN())),OFFSET($BN$2,0,0,ROW()-1,60),ROW()-1,FALSE))</f>
        <v>529.64099999999996</v>
      </c>
      <c r="AE30">
        <f ca="1">IF(AND(ISNUMBER($AE$263),$B$183=1),$AE$263,HLOOKUP(INDIRECT(ADDRESS(2,COLUMN())),OFFSET($BN$2,0,0,ROW()-1,60),ROW()-1,FALSE))</f>
        <v>417.49700000000001</v>
      </c>
      <c r="AF30">
        <f ca="1">IF(AND(ISNUMBER($AF$263),$B$183=1),$AF$263,HLOOKUP(INDIRECT(ADDRESS(2,COLUMN())),OFFSET($BN$2,0,0,ROW()-1,60),ROW()-1,FALSE))</f>
        <v>493.18200000000002</v>
      </c>
      <c r="AG30">
        <f ca="1">IF(AND(ISNUMBER($AG$263),$B$183=1),$AG$263,HLOOKUP(INDIRECT(ADDRESS(2,COLUMN())),OFFSET($BN$2,0,0,ROW()-1,60),ROW()-1,FALSE))</f>
        <v>293.13900000000001</v>
      </c>
      <c r="AH30">
        <f ca="1">IF(AND(ISNUMBER($AH$263),$B$183=1),$AH$263,HLOOKUP(INDIRECT(ADDRESS(2,COLUMN())),OFFSET($BN$2,0,0,ROW()-1,60),ROW()-1,FALSE))</f>
        <v>273.27800000000002</v>
      </c>
      <c r="AI30">
        <f ca="1">IF(AND(ISNUMBER($AI$263),$B$183=1),$AI$263,HLOOKUP(INDIRECT(ADDRESS(2,COLUMN())),OFFSET($BN$2,0,0,ROW()-1,60),ROW()-1,FALSE))</f>
        <v>225.71199999999999</v>
      </c>
      <c r="AJ30">
        <f ca="1">IF(AND(ISNUMBER($AJ$263),$B$183=1),$AJ$263,HLOOKUP(INDIRECT(ADDRESS(2,COLUMN())),OFFSET($BN$2,0,0,ROW()-1,60),ROW()-1,FALSE))</f>
        <v>397.65800000000002</v>
      </c>
      <c r="AK30">
        <f ca="1">IF(AND(ISNUMBER($AK$263),$B$183=1),$AK$263,HLOOKUP(INDIRECT(ADDRESS(2,COLUMN())),OFFSET($BN$2,0,0,ROW()-1,60),ROW()-1,FALSE))</f>
        <v>148.75800000000001</v>
      </c>
      <c r="AL30">
        <f ca="1">IF(AND(ISNUMBER($AL$263),$B$183=1),$AL$263,HLOOKUP(INDIRECT(ADDRESS(2,COLUMN())),OFFSET($BN$2,0,0,ROW()-1,60),ROW()-1,FALSE))</f>
        <v>194.465</v>
      </c>
      <c r="AM30">
        <f ca="1">IF(AND(ISNUMBER($AM$263),$B$183=1),$AM$263,HLOOKUP(INDIRECT(ADDRESS(2,COLUMN())),OFFSET($BN$2,0,0,ROW()-1,60),ROW()-1,FALSE))</f>
        <v>157.751</v>
      </c>
      <c r="AN30">
        <f ca="1">IF(AND(ISNUMBER($AN$263),$B$183=1),$AN$263,HLOOKUP(INDIRECT(ADDRESS(2,COLUMN())),OFFSET($BN$2,0,0,ROW()-1,60),ROW()-1,FALSE))</f>
        <v>-40.122</v>
      </c>
      <c r="AO30">
        <f ca="1">IF(AND(ISNUMBER($AO$263),$B$183=1),$AO$263,HLOOKUP(INDIRECT(ADDRESS(2,COLUMN())),OFFSET($BN$2,0,0,ROW()-1,60),ROW()-1,FALSE))</f>
        <v>252.14500000000001</v>
      </c>
      <c r="AP30">
        <f ca="1">IF(AND(ISNUMBER($AP$263),$B$183=1),$AP$263,HLOOKUP(INDIRECT(ADDRESS(2,COLUMN())),OFFSET($BN$2,0,0,ROW()-1,60),ROW()-1,FALSE))</f>
        <v>290.80900000000003</v>
      </c>
      <c r="AQ30">
        <f ca="1">IF(AND(ISNUMBER($AQ$263),$B$183=1),$AQ$263,HLOOKUP(INDIRECT(ADDRESS(2,COLUMN())),OFFSET($BN$2,0,0,ROW()-1,60),ROW()-1,FALSE))</f>
        <v>360.327</v>
      </c>
      <c r="AR30">
        <f ca="1">IF(AND(ISNUMBER($AR$263),$B$183=1),$AR$263,HLOOKUP(INDIRECT(ADDRESS(2,COLUMN())),OFFSET($BN$2,0,0,ROW()-1,60),ROW()-1,FALSE))</f>
        <v>662.04100000000005</v>
      </c>
      <c r="AS30">
        <f ca="1">IF(AND(ISNUMBER($AS$263),$B$183=1),$AS$263,HLOOKUP(INDIRECT(ADDRESS(2,COLUMN())),OFFSET($BN$2,0,0,ROW()-1,60),ROW()-1,FALSE))</f>
        <v>437.75200000000001</v>
      </c>
      <c r="AT30">
        <f ca="1">IF(AND(ISNUMBER($AT$263),$B$183=1),$AT$263,HLOOKUP(INDIRECT(ADDRESS(2,COLUMN())),OFFSET($BN$2,0,0,ROW()-1,60),ROW()-1,FALSE))</f>
        <v>762.95650000000001</v>
      </c>
      <c r="AU30">
        <f ca="1">IF(AND(ISNUMBER($AU$263),$B$183=1),$AU$263,HLOOKUP(INDIRECT(ADDRESS(2,COLUMN())),OFFSET($BN$2,0,0,ROW()-1,60),ROW()-1,FALSE))</f>
        <v>542.85699999999997</v>
      </c>
      <c r="AV30">
        <f ca="1">IF(AND(ISNUMBER($AV$263),$B$183=1),$AV$263,HLOOKUP(INDIRECT(ADDRESS(2,COLUMN())),OFFSET($BN$2,0,0,ROW()-1,60),ROW()-1,FALSE))</f>
        <v>667.60199999999998</v>
      </c>
      <c r="AW30">
        <f ca="1">IF(AND(ISNUMBER($AW$263),$B$183=1),$AW$263,HLOOKUP(INDIRECT(ADDRESS(2,COLUMN())),OFFSET($BN$2,0,0,ROW()-1,60),ROW()-1,FALSE))</f>
        <v>466.34800000000001</v>
      </c>
      <c r="AX30">
        <f ca="1">IF(AND(ISNUMBER($AX$263),$B$183=1),$AX$263,HLOOKUP(INDIRECT(ADDRESS(2,COLUMN())),OFFSET($BN$2,0,0,ROW()-1,60),ROW()-1,FALSE))</f>
        <v>602.71299999999997</v>
      </c>
      <c r="AY30">
        <f ca="1">IF(AND(ISNUMBER($AY$263),$B$183=1),$AY$263,HLOOKUP(INDIRECT(ADDRESS(2,COLUMN())),OFFSET($BN$2,0,0,ROW()-1,60),ROW()-1,FALSE))</f>
        <v>472.04899999999998</v>
      </c>
      <c r="AZ30">
        <f ca="1">IF(AND(ISNUMBER($AZ$263),$B$183=1),$AZ$263,HLOOKUP(INDIRECT(ADDRESS(2,COLUMN())),OFFSET($BN$2,0,0,ROW()-1,60),ROW()-1,FALSE))</f>
        <v>565.45899999999995</v>
      </c>
      <c r="BA30">
        <f ca="1">IF(AND(ISNUMBER($BA$263),$B$183=1),$BA$263,HLOOKUP(INDIRECT(ADDRESS(2,COLUMN())),OFFSET($BN$2,0,0,ROW()-1,60),ROW()-1,FALSE))</f>
        <v>345.74799999999999</v>
      </c>
      <c r="BB30">
        <f ca="1">IF(AND(ISNUMBER($BB$263),$B$183=1),$BB$263,HLOOKUP(INDIRECT(ADDRESS(2,COLUMN())),OFFSET($BN$2,0,0,ROW()-1,60),ROW()-1,FALSE))</f>
        <v>23.69</v>
      </c>
      <c r="BC30">
        <f ca="1">IF(AND(ISNUMBER($BC$263),$B$183=1),$BC$263,HLOOKUP(INDIRECT(ADDRESS(2,COLUMN())),OFFSET($BN$2,0,0,ROW()-1,60),ROW()-1,FALSE))</f>
        <v>215.97800000000001</v>
      </c>
      <c r="BD30">
        <f ca="1">IF(AND(ISNUMBER($BD$263),$B$183=1),$BD$263,HLOOKUP(INDIRECT(ADDRESS(2,COLUMN())),OFFSET($BN$2,0,0,ROW()-1,60),ROW()-1,FALSE))</f>
        <v>395.64800000000002</v>
      </c>
      <c r="BE30">
        <f ca="1">IF(AND(ISNUMBER($BE$263),$B$183=1),$BE$263,HLOOKUP(INDIRECT(ADDRESS(2,COLUMN())),OFFSET($BN$2,0,0,ROW()-1,60),ROW()-1,FALSE))</f>
        <v>249.434</v>
      </c>
      <c r="BF30">
        <f ca="1">IF(AND(ISNUMBER($BF$263),$B$183=1),$BF$263,HLOOKUP(INDIRECT(ADDRESS(2,COLUMN())),OFFSET($BN$2,0,0,ROW()-1,60),ROW()-1,FALSE))</f>
        <v>240.03800000000001</v>
      </c>
      <c r="BG30">
        <f ca="1">IF(AND(ISNUMBER($BG$263),$B$183=1),$BG$263,HLOOKUP(INDIRECT(ADDRESS(2,COLUMN())),OFFSET($BN$2,0,0,ROW()-1,60),ROW()-1,FALSE))</f>
        <v>143.70500000000001</v>
      </c>
      <c r="BH30">
        <f ca="1">IF(AND(ISNUMBER($BH$263),$B$183=1),$BH$263,HLOOKUP(INDIRECT(ADDRESS(2,COLUMN())),OFFSET($BN$2,0,0,ROW()-1,60),ROW()-1,FALSE))</f>
        <v>216.571</v>
      </c>
      <c r="BI30">
        <f ca="1">IF(AND(ISNUMBER($BI$263),$B$183=1),$BI$263,HLOOKUP(INDIRECT(ADDRESS(2,COLUMN())),OFFSET($BN$2,0,0,ROW()-1,60),ROW()-1,FALSE))</f>
        <v>119.85899999999999</v>
      </c>
      <c r="BJ30">
        <f ca="1">IF(AND(ISNUMBER($BJ$263),$B$183=1),$BJ$263,HLOOKUP(INDIRECT(ADDRESS(2,COLUMN())),OFFSET($BN$2,0,0,ROW()-1,60),ROW()-1,FALSE))</f>
        <v>89.278000000000006</v>
      </c>
      <c r="BK30">
        <f ca="1">IF(AND(ISNUMBER($BK$263),$B$183=1),$BK$263,HLOOKUP(INDIRECT(ADDRESS(2,COLUMN())),OFFSET($BN$2,0,0,ROW()-1,60),ROW()-1,FALSE))</f>
        <v>-3.3540000000000001</v>
      </c>
      <c r="BL30">
        <f ca="1">IF(AND(ISNUMBER($BL$263),$B$183=1),$BL$263,HLOOKUP(INDIRECT(ADDRESS(2,COLUMN())),OFFSET($BN$2,0,0,ROW()-1,60),ROW()-1,FALSE))</f>
        <v>-19.097000000000001</v>
      </c>
      <c r="BM30">
        <f ca="1">IF(AND(ISNUMBER($BM$263),$B$183=1),$BM$263,HLOOKUP(INDIRECT(ADDRESS(2,COLUMN())),OFFSET($BN$2,0,0,ROW()-1,60),ROW()-1,FALSE))</f>
        <v>98.840999999999994</v>
      </c>
      <c r="BN30">
        <f>1305.593874</f>
        <v>1305.5938739999999</v>
      </c>
      <c r="BO30">
        <f>1272.987</f>
        <v>1272.9870000000001</v>
      </c>
      <c r="BP30">
        <f>1545.178</f>
        <v>1545.1780000000001</v>
      </c>
      <c r="BQ30">
        <f>1144.439</f>
        <v>1144.4390000000001</v>
      </c>
      <c r="BR30">
        <f>1082.912</f>
        <v>1082.912</v>
      </c>
      <c r="BS30">
        <f>1158.109</f>
        <v>1158.1089999999999</v>
      </c>
      <c r="BT30">
        <f>1411.109</f>
        <v>1411.1089999999999</v>
      </c>
      <c r="BU30">
        <f>1005.332</f>
        <v>1005.332</v>
      </c>
      <c r="BV30">
        <f>1034.96</f>
        <v>1034.96</v>
      </c>
      <c r="BW30">
        <f>1215.132</f>
        <v>1215.1320000000001</v>
      </c>
      <c r="BX30">
        <f>1309.704</f>
        <v>1309.704</v>
      </c>
      <c r="BY30">
        <f>821.346</f>
        <v>821.346</v>
      </c>
      <c r="BZ30">
        <f>933.485</f>
        <v>933.48500000000001</v>
      </c>
      <c r="CA30">
        <f>1044.589</f>
        <v>1044.5889999999999</v>
      </c>
      <c r="CB30">
        <f>1080.133</f>
        <v>1080.133</v>
      </c>
      <c r="CC30">
        <f>649.949</f>
        <v>649.94899999999996</v>
      </c>
      <c r="CD30">
        <f>723.648</f>
        <v>723.64800000000002</v>
      </c>
      <c r="CE30">
        <f>734.297</f>
        <v>734.29700000000003</v>
      </c>
      <c r="CF30">
        <f>896.755</f>
        <v>896.755</v>
      </c>
      <c r="CG30">
        <f>550.867</f>
        <v>550.86699999999996</v>
      </c>
      <c r="CH30">
        <f>544.499</f>
        <v>544.49900000000002</v>
      </c>
      <c r="CI30">
        <f>481.18</f>
        <v>481.18</v>
      </c>
      <c r="CJ30">
        <f>667.319</f>
        <v>667.31899999999996</v>
      </c>
      <c r="CK30">
        <f>286.618</f>
        <v>286.61799999999999</v>
      </c>
      <c r="CL30">
        <f>529.641</f>
        <v>529.64099999999996</v>
      </c>
      <c r="CM30">
        <f>417.497</f>
        <v>417.49700000000001</v>
      </c>
      <c r="CN30">
        <f>493.182</f>
        <v>493.18200000000002</v>
      </c>
      <c r="CO30">
        <f>293.139</f>
        <v>293.13900000000001</v>
      </c>
      <c r="CP30">
        <f>273.278</f>
        <v>273.27800000000002</v>
      </c>
      <c r="CQ30">
        <f>225.712</f>
        <v>225.71199999999999</v>
      </c>
      <c r="CR30">
        <f>397.658</f>
        <v>397.65800000000002</v>
      </c>
      <c r="CS30">
        <f>148.758</f>
        <v>148.75800000000001</v>
      </c>
      <c r="CT30">
        <f>194.465</f>
        <v>194.465</v>
      </c>
      <c r="CU30">
        <f>157.751</f>
        <v>157.751</v>
      </c>
      <c r="CV30">
        <f>-40.122</f>
        <v>-40.122</v>
      </c>
      <c r="CW30">
        <f>252.145</f>
        <v>252.14500000000001</v>
      </c>
      <c r="CX30">
        <f>290.809</f>
        <v>290.80900000000003</v>
      </c>
      <c r="CY30">
        <f>360.327</f>
        <v>360.327</v>
      </c>
      <c r="CZ30">
        <f>662.041</f>
        <v>662.04100000000005</v>
      </c>
      <c r="DA30">
        <f>437.752</f>
        <v>437.75200000000001</v>
      </c>
      <c r="DB30">
        <f>762.9565</f>
        <v>762.95650000000001</v>
      </c>
      <c r="DC30">
        <f>542.857</f>
        <v>542.85699999999997</v>
      </c>
      <c r="DD30">
        <f>667.602</f>
        <v>667.60199999999998</v>
      </c>
      <c r="DE30">
        <f>466.348</f>
        <v>466.34800000000001</v>
      </c>
      <c r="DF30">
        <f>602.713</f>
        <v>602.71299999999997</v>
      </c>
      <c r="DG30">
        <f>472.049</f>
        <v>472.04899999999998</v>
      </c>
      <c r="DH30">
        <f>565.459</f>
        <v>565.45899999999995</v>
      </c>
      <c r="DI30">
        <f>345.748</f>
        <v>345.74799999999999</v>
      </c>
      <c r="DJ30">
        <f>23.69</f>
        <v>23.69</v>
      </c>
      <c r="DK30">
        <f>215.978</f>
        <v>215.97800000000001</v>
      </c>
      <c r="DL30">
        <f>395.648</f>
        <v>395.64800000000002</v>
      </c>
      <c r="DM30">
        <f>249.434</f>
        <v>249.434</v>
      </c>
      <c r="DN30">
        <f>240.038</f>
        <v>240.03800000000001</v>
      </c>
      <c r="DO30">
        <f>143.705</f>
        <v>143.70500000000001</v>
      </c>
      <c r="DP30">
        <f>216.571</f>
        <v>216.571</v>
      </c>
      <c r="DQ30">
        <f>119.859</f>
        <v>119.85899999999999</v>
      </c>
      <c r="DR30">
        <f>89.278</f>
        <v>89.278000000000006</v>
      </c>
      <c r="DS30">
        <f>-3.354</f>
        <v>-3.3540000000000001</v>
      </c>
      <c r="DT30">
        <f>-19.097</f>
        <v>-19.097000000000001</v>
      </c>
      <c r="DU30">
        <f>98.841</f>
        <v>98.840999999999994</v>
      </c>
    </row>
    <row r="31" spans="1:125">
      <c r="A31" t="str">
        <f>"    Self Storage REITs"</f>
        <v xml:space="preserve">    Self Storage REITs</v>
      </c>
      <c r="B31" t="str">
        <f>"RECFFOSS Index"</f>
        <v>RECFFOSS Index</v>
      </c>
      <c r="C31" t="str">
        <f t="shared" si="0"/>
        <v>PR005</v>
      </c>
      <c r="D31" t="str">
        <f t="shared" si="1"/>
        <v>PX_LAST</v>
      </c>
      <c r="E31" t="str">
        <f t="shared" si="2"/>
        <v>动态</v>
      </c>
      <c r="F31">
        <f ca="1">IF(AND(ISNUMBER($F$264),$B$183=1),$F$264,HLOOKUP(INDIRECT(ADDRESS(2,COLUMN())),OFFSET($BN$2,0,0,ROW()-1,60),ROW()-1,FALSE))</f>
        <v>780.54342780000002</v>
      </c>
      <c r="G31">
        <f ca="1">IF(AND(ISNUMBER($G$264),$B$183=1),$G$264,HLOOKUP(INDIRECT(ADDRESS(2,COLUMN())),OFFSET($BN$2,0,0,ROW()-1,60),ROW()-1,FALSE))</f>
        <v>719.47400000000005</v>
      </c>
      <c r="H31">
        <f ca="1">IF(AND(ISNUMBER($H$264),$B$183=1),$H$264,HLOOKUP(INDIRECT(ADDRESS(2,COLUMN())),OFFSET($BN$2,0,0,ROW()-1,60),ROW()-1,FALSE))</f>
        <v>700.1</v>
      </c>
      <c r="I31">
        <f ca="1">IF(AND(ISNUMBER($I$264),$B$183=1),$I$264,HLOOKUP(INDIRECT(ADDRESS(2,COLUMN())),OFFSET($BN$2,0,0,ROW()-1,60),ROW()-1,FALSE))</f>
        <v>689.995</v>
      </c>
      <c r="J31">
        <f ca="1">IF(AND(ISNUMBER($J$264),$B$183=1),$J$264,HLOOKUP(INDIRECT(ADDRESS(2,COLUMN())),OFFSET($BN$2,0,0,ROW()-1,60),ROW()-1,FALSE))</f>
        <v>756.98</v>
      </c>
      <c r="K31">
        <f ca="1">IF(AND(ISNUMBER($K$264),$B$183=1),$K$264,HLOOKUP(INDIRECT(ADDRESS(2,COLUMN())),OFFSET($BN$2,0,0,ROW()-1,60),ROW()-1,FALSE))</f>
        <v>691.38300000000004</v>
      </c>
      <c r="L31">
        <f ca="1">IF(AND(ISNUMBER($L$264),$B$183=1),$L$264,HLOOKUP(INDIRECT(ADDRESS(2,COLUMN())),OFFSET($BN$2,0,0,ROW()-1,60),ROW()-1,FALSE))</f>
        <v>649.50900000000001</v>
      </c>
      <c r="M31">
        <f ca="1">IF(AND(ISNUMBER($M$264),$B$183=1),$M$264,HLOOKUP(INDIRECT(ADDRESS(2,COLUMN())),OFFSET($BN$2,0,0,ROW()-1,60),ROW()-1,FALSE))</f>
        <v>581.19200000000001</v>
      </c>
      <c r="N31">
        <f ca="1">IF(AND(ISNUMBER($N$264),$B$183=1),$N$264,HLOOKUP(INDIRECT(ADDRESS(2,COLUMN())),OFFSET($BN$2,0,0,ROW()-1,60),ROW()-1,FALSE))</f>
        <v>592.06399999999996</v>
      </c>
      <c r="O31">
        <f ca="1">IF(AND(ISNUMBER($O$264),$B$183=1),$O$264,HLOOKUP(INDIRECT(ADDRESS(2,COLUMN())),OFFSET($BN$2,0,0,ROW()-1,60),ROW()-1,FALSE))</f>
        <v>612.58600000000001</v>
      </c>
      <c r="P31">
        <f ca="1">IF(AND(ISNUMBER($P$264),$B$183=1),$P$264,HLOOKUP(INDIRECT(ADDRESS(2,COLUMN())),OFFSET($BN$2,0,0,ROW()-1,60),ROW()-1,FALSE))</f>
        <v>564.08199999999999</v>
      </c>
      <c r="Q31">
        <f ca="1">IF(AND(ISNUMBER($Q$264),$B$183=1),$Q$264,HLOOKUP(INDIRECT(ADDRESS(2,COLUMN())),OFFSET($BN$2,0,0,ROW()-1,60),ROW()-1,FALSE))</f>
        <v>498.79300000000001</v>
      </c>
      <c r="R31">
        <f ca="1">IF(AND(ISNUMBER($R$264),$B$183=1),$R$264,HLOOKUP(INDIRECT(ADDRESS(2,COLUMN())),OFFSET($BN$2,0,0,ROW()-1,60),ROW()-1,FALSE))</f>
        <v>532.38699999999994</v>
      </c>
      <c r="S31">
        <f ca="1">IF(AND(ISNUMBER($S$264),$B$183=1),$S$264,HLOOKUP(INDIRECT(ADDRESS(2,COLUMN())),OFFSET($BN$2,0,0,ROW()-1,60),ROW()-1,FALSE))</f>
        <v>527.86900000000003</v>
      </c>
      <c r="T31">
        <f ca="1">IF(AND(ISNUMBER($T$264),$B$183=1),$T$264,HLOOKUP(INDIRECT(ADDRESS(2,COLUMN())),OFFSET($BN$2,0,0,ROW()-1,60),ROW()-1,FALSE))</f>
        <v>493.09100000000001</v>
      </c>
      <c r="U31">
        <f ca="1">IF(AND(ISNUMBER($U$264),$B$183=1),$U$264,HLOOKUP(INDIRECT(ADDRESS(2,COLUMN())),OFFSET($BN$2,0,0,ROW()-1,60),ROW()-1,FALSE))</f>
        <v>432.09</v>
      </c>
      <c r="V31">
        <f ca="1">IF(AND(ISNUMBER($V$264),$B$183=1),$V$264,HLOOKUP(INDIRECT(ADDRESS(2,COLUMN())),OFFSET($BN$2,0,0,ROW()-1,60),ROW()-1,FALSE))</f>
        <v>492.32799999999997</v>
      </c>
      <c r="W31">
        <f ca="1">IF(AND(ISNUMBER($W$264),$B$183=1),$W$264,HLOOKUP(INDIRECT(ADDRESS(2,COLUMN())),OFFSET($BN$2,0,0,ROW()-1,60),ROW()-1,FALSE))</f>
        <v>465.84699999999998</v>
      </c>
      <c r="X31">
        <f ca="1">IF(AND(ISNUMBER($X$264),$B$183=1),$X$264,HLOOKUP(INDIRECT(ADDRESS(2,COLUMN())),OFFSET($BN$2,0,0,ROW()-1,60),ROW()-1,FALSE))</f>
        <v>433.24099999999999</v>
      </c>
      <c r="Y31">
        <f ca="1">IF(AND(ISNUMBER($Y$264),$B$183=1),$Y$264,HLOOKUP(INDIRECT(ADDRESS(2,COLUMN())),OFFSET($BN$2,0,0,ROW()-1,60),ROW()-1,FALSE))</f>
        <v>376.65</v>
      </c>
      <c r="Z31">
        <f ca="1">IF(AND(ISNUMBER($Z$264),$B$183=1),$Z$264,HLOOKUP(INDIRECT(ADDRESS(2,COLUMN())),OFFSET($BN$2,0,0,ROW()-1,60),ROW()-1,FALSE))</f>
        <v>483.03199999999998</v>
      </c>
      <c r="AA31">
        <f ca="1">IF(AND(ISNUMBER($AA$264),$B$183=1),$AA$264,HLOOKUP(INDIRECT(ADDRESS(2,COLUMN())),OFFSET($BN$2,0,0,ROW()-1,60),ROW()-1,FALSE))</f>
        <v>455.279</v>
      </c>
      <c r="AB31">
        <f ca="1">IF(AND(ISNUMBER($AB$264),$B$183=1),$AB$264,HLOOKUP(INDIRECT(ADDRESS(2,COLUMN())),OFFSET($BN$2,0,0,ROW()-1,60),ROW()-1,FALSE))</f>
        <v>390.77</v>
      </c>
      <c r="AC31">
        <f ca="1">IF(AND(ISNUMBER($AC$264),$B$183=1),$AC$264,HLOOKUP(INDIRECT(ADDRESS(2,COLUMN())),OFFSET($BN$2,0,0,ROW()-1,60),ROW()-1,FALSE))</f>
        <v>388.05399999999997</v>
      </c>
      <c r="AD31">
        <f ca="1">IF(AND(ISNUMBER($AD$264),$B$183=1),$AD$264,HLOOKUP(INDIRECT(ADDRESS(2,COLUMN())),OFFSET($BN$2,0,0,ROW()-1,60),ROW()-1,FALSE))</f>
        <v>381.815</v>
      </c>
      <c r="AE31">
        <f ca="1">IF(AND(ISNUMBER($AE$264),$B$183=1),$AE$264,HLOOKUP(INDIRECT(ADDRESS(2,COLUMN())),OFFSET($BN$2,0,0,ROW()-1,60),ROW()-1,FALSE))</f>
        <v>359.721</v>
      </c>
      <c r="AF31">
        <f ca="1">IF(AND(ISNUMBER($AF$264),$B$183=1),$AF$264,HLOOKUP(INDIRECT(ADDRESS(2,COLUMN())),OFFSET($BN$2,0,0,ROW()-1,60),ROW()-1,FALSE))</f>
        <v>378.21100000000001</v>
      </c>
      <c r="AG31">
        <f ca="1">IF(AND(ISNUMBER($AG$264),$B$183=1),$AG$264,HLOOKUP(INDIRECT(ADDRESS(2,COLUMN())),OFFSET($BN$2,0,0,ROW()-1,60),ROW()-1,FALSE))</f>
        <v>370.29899999999998</v>
      </c>
      <c r="AH31">
        <f ca="1">IF(AND(ISNUMBER($AH$264),$B$183=1),$AH$264,HLOOKUP(INDIRECT(ADDRESS(2,COLUMN())),OFFSET($BN$2,0,0,ROW()-1,60),ROW()-1,FALSE))</f>
        <v>351.95800000000003</v>
      </c>
      <c r="AI31">
        <f ca="1">IF(AND(ISNUMBER($AI$264),$B$183=1),$AI$264,HLOOKUP(INDIRECT(ADDRESS(2,COLUMN())),OFFSET($BN$2,0,0,ROW()-1,60),ROW()-1,FALSE))</f>
        <v>404.37700000000001</v>
      </c>
      <c r="AJ31">
        <f ca="1">IF(AND(ISNUMBER($AJ$264),$B$183=1),$AJ$264,HLOOKUP(INDIRECT(ADDRESS(2,COLUMN())),OFFSET($BN$2,0,0,ROW()-1,60),ROW()-1,FALSE))</f>
        <v>274.30700000000002</v>
      </c>
      <c r="AK31">
        <f ca="1">IF(AND(ISNUMBER($AK$264),$B$183=1),$AK$264,HLOOKUP(INDIRECT(ADDRESS(2,COLUMN())),OFFSET($BN$2,0,0,ROW()-1,60),ROW()-1,FALSE))</f>
        <v>272.78899999999999</v>
      </c>
      <c r="AL31">
        <f ca="1">IF(AND(ISNUMBER($AL$264),$B$183=1),$AL$264,HLOOKUP(INDIRECT(ADDRESS(2,COLUMN())),OFFSET($BN$2,0,0,ROW()-1,60),ROW()-1,FALSE))</f>
        <v>325.75099999999998</v>
      </c>
      <c r="AM31">
        <f ca="1">IF(AND(ISNUMBER($AM$264),$B$183=1),$AM$264,HLOOKUP(INDIRECT(ADDRESS(2,COLUMN())),OFFSET($BN$2,0,0,ROW()-1,60),ROW()-1,FALSE))</f>
        <v>365.70400000000001</v>
      </c>
      <c r="AN31">
        <f ca="1">IF(AND(ISNUMBER($AN$264),$B$183=1),$AN$264,HLOOKUP(INDIRECT(ADDRESS(2,COLUMN())),OFFSET($BN$2,0,0,ROW()-1,60),ROW()-1,FALSE))</f>
        <v>339.91500000000002</v>
      </c>
      <c r="AO31">
        <f ca="1">IF(AND(ISNUMBER($AO$264),$B$183=1),$AO$264,HLOOKUP(INDIRECT(ADDRESS(2,COLUMN())),OFFSET($BN$2,0,0,ROW()-1,60),ROW()-1,FALSE))</f>
        <v>324.053</v>
      </c>
      <c r="AP31">
        <f ca="1">IF(AND(ISNUMBER($AP$264),$B$183=1),$AP$264,HLOOKUP(INDIRECT(ADDRESS(2,COLUMN())),OFFSET($BN$2,0,0,ROW()-1,60),ROW()-1,FALSE))</f>
        <v>354.07299999999998</v>
      </c>
      <c r="AQ31">
        <f ca="1">IF(AND(ISNUMBER($AQ$264),$B$183=1),$AQ$264,HLOOKUP(INDIRECT(ADDRESS(2,COLUMN())),OFFSET($BN$2,0,0,ROW()-1,60),ROW()-1,FALSE))</f>
        <v>318.55700000000002</v>
      </c>
      <c r="AR31">
        <f ca="1">IF(AND(ISNUMBER($AR$264),$B$183=1),$AR$264,HLOOKUP(INDIRECT(ADDRESS(2,COLUMN())),OFFSET($BN$2,0,0,ROW()-1,60),ROW()-1,FALSE))</f>
        <v>314.61900000000003</v>
      </c>
      <c r="AS31">
        <f ca="1">IF(AND(ISNUMBER($AS$264),$B$183=1),$AS$264,HLOOKUP(INDIRECT(ADDRESS(2,COLUMN())),OFFSET($BN$2,0,0,ROW()-1,60),ROW()-1,FALSE))</f>
        <v>361.76100000000002</v>
      </c>
      <c r="AT31">
        <f ca="1">IF(AND(ISNUMBER($AT$264),$B$183=1),$AT$264,HLOOKUP(INDIRECT(ADDRESS(2,COLUMN())),OFFSET($BN$2,0,0,ROW()-1,60),ROW()-1,FALSE))</f>
        <v>365.5025</v>
      </c>
      <c r="AU31">
        <f ca="1">IF(AND(ISNUMBER($AU$264),$B$183=1),$AU$264,HLOOKUP(INDIRECT(ADDRESS(2,COLUMN())),OFFSET($BN$2,0,0,ROW()-1,60),ROW()-1,FALSE))</f>
        <v>373.94</v>
      </c>
      <c r="AV31">
        <f ca="1">IF(AND(ISNUMBER($AV$264),$B$183=1),$AV$264,HLOOKUP(INDIRECT(ADDRESS(2,COLUMN())),OFFSET($BN$2,0,0,ROW()-1,60),ROW()-1,FALSE))</f>
        <v>312.154</v>
      </c>
      <c r="AW31">
        <f ca="1">IF(AND(ISNUMBER($AW$264),$B$183=1),$AW$264,HLOOKUP(INDIRECT(ADDRESS(2,COLUMN())),OFFSET($BN$2,0,0,ROW()-1,60),ROW()-1,FALSE))</f>
        <v>296.77300000000002</v>
      </c>
      <c r="AX31">
        <f ca="1">IF(AND(ISNUMBER($AX$264),$B$183=1),$AX$264,HLOOKUP(INDIRECT(ADDRESS(2,COLUMN())),OFFSET($BN$2,0,0,ROW()-1,60),ROW()-1,FALSE))</f>
        <v>276.66699999999997</v>
      </c>
      <c r="AY31">
        <f ca="1">IF(AND(ISNUMBER($AY$264),$B$183=1),$AY$264,HLOOKUP(INDIRECT(ADDRESS(2,COLUMN())),OFFSET($BN$2,0,0,ROW()-1,60),ROW()-1,FALSE))</f>
        <v>254.28100000000001</v>
      </c>
      <c r="AZ31">
        <f ca="1">IF(AND(ISNUMBER($AZ$264),$B$183=1),$AZ$264,HLOOKUP(INDIRECT(ADDRESS(2,COLUMN())),OFFSET($BN$2,0,0,ROW()-1,60),ROW()-1,FALSE))</f>
        <v>272.52800000000002</v>
      </c>
      <c r="BA31">
        <f ca="1">IF(AND(ISNUMBER($BA$264),$B$183=1),$BA$264,HLOOKUP(INDIRECT(ADDRESS(2,COLUMN())),OFFSET($BN$2,0,0,ROW()-1,60),ROW()-1,FALSE))</f>
        <v>245.179</v>
      </c>
      <c r="BB31">
        <f ca="1">IF(AND(ISNUMBER($BB$264),$B$183=1),$BB$264,HLOOKUP(INDIRECT(ADDRESS(2,COLUMN())),OFFSET($BN$2,0,0,ROW()-1,60),ROW()-1,FALSE))</f>
        <v>246.30699999999999</v>
      </c>
      <c r="BC31">
        <f ca="1">IF(AND(ISNUMBER($BC$264),$B$183=1),$BC$264,HLOOKUP(INDIRECT(ADDRESS(2,COLUMN())),OFFSET($BN$2,0,0,ROW()-1,60),ROW()-1,FALSE))</f>
        <v>232.17</v>
      </c>
      <c r="BD31">
        <f ca="1">IF(AND(ISNUMBER($BD$264),$B$183=1),$BD$264,HLOOKUP(INDIRECT(ADDRESS(2,COLUMN())),OFFSET($BN$2,0,0,ROW()-1,60),ROW()-1,FALSE))</f>
        <v>219.369</v>
      </c>
      <c r="BE31">
        <f ca="1">IF(AND(ISNUMBER($BE$264),$B$183=1),$BE$264,HLOOKUP(INDIRECT(ADDRESS(2,COLUMN())),OFFSET($BN$2,0,0,ROW()-1,60),ROW()-1,FALSE))</f>
        <v>206.24700000000001</v>
      </c>
      <c r="BF31">
        <f ca="1">IF(AND(ISNUMBER($BF$264),$B$183=1),$BF$264,HLOOKUP(INDIRECT(ADDRESS(2,COLUMN())),OFFSET($BN$2,0,0,ROW()-1,60),ROW()-1,FALSE))</f>
        <v>184.14599999999999</v>
      </c>
      <c r="BG31">
        <f ca="1">IF(AND(ISNUMBER($BG$264),$B$183=1),$BG$264,HLOOKUP(INDIRECT(ADDRESS(2,COLUMN())),OFFSET($BN$2,0,0,ROW()-1,60),ROW()-1,FALSE))</f>
        <v>200.09200000000001</v>
      </c>
      <c r="BH31">
        <f ca="1">IF(AND(ISNUMBER($BH$264),$B$183=1),$BH$264,HLOOKUP(INDIRECT(ADDRESS(2,COLUMN())),OFFSET($BN$2,0,0,ROW()-1,60),ROW()-1,FALSE))</f>
        <v>192.36799999999999</v>
      </c>
      <c r="BI31">
        <f ca="1">IF(AND(ISNUMBER($BI$264),$B$183=1),$BI$264,HLOOKUP(INDIRECT(ADDRESS(2,COLUMN())),OFFSET($BN$2,0,0,ROW()-1,60),ROW()-1,FALSE))</f>
        <v>172.81299999999999</v>
      </c>
      <c r="BJ31">
        <f ca="1">IF(AND(ISNUMBER($BJ$264),$B$183=1),$BJ$264,HLOOKUP(INDIRECT(ADDRESS(2,COLUMN())),OFFSET($BN$2,0,0,ROW()-1,60),ROW()-1,FALSE))</f>
        <v>180.90549999999999</v>
      </c>
      <c r="BK31">
        <f ca="1">IF(AND(ISNUMBER($BK$264),$B$183=1),$BK$264,HLOOKUP(INDIRECT(ADDRESS(2,COLUMN())),OFFSET($BN$2,0,0,ROW()-1,60),ROW()-1,FALSE))</f>
        <v>191.98699999999999</v>
      </c>
      <c r="BL31">
        <f ca="1">IF(AND(ISNUMBER($BL$264),$B$183=1),$BL$264,HLOOKUP(INDIRECT(ADDRESS(2,COLUMN())),OFFSET($BN$2,0,0,ROW()-1,60),ROW()-1,FALSE))</f>
        <v>174.77099999999999</v>
      </c>
      <c r="BM31">
        <f ca="1">IF(AND(ISNUMBER($BM$264),$B$183=1),$BM$264,HLOOKUP(INDIRECT(ADDRESS(2,COLUMN())),OFFSET($BN$2,0,0,ROW()-1,60),ROW()-1,FALSE))</f>
        <v>172.60900000000001</v>
      </c>
      <c r="BN31">
        <f>780.5434278</f>
        <v>780.54342780000002</v>
      </c>
      <c r="BO31">
        <f>719.474</f>
        <v>719.47400000000005</v>
      </c>
      <c r="BP31">
        <f>700.1</f>
        <v>700.1</v>
      </c>
      <c r="BQ31">
        <f>689.995</f>
        <v>689.995</v>
      </c>
      <c r="BR31">
        <f>756.98</f>
        <v>756.98</v>
      </c>
      <c r="BS31">
        <f>691.383</f>
        <v>691.38300000000004</v>
      </c>
      <c r="BT31">
        <f>649.509</f>
        <v>649.50900000000001</v>
      </c>
      <c r="BU31">
        <f>581.192</f>
        <v>581.19200000000001</v>
      </c>
      <c r="BV31">
        <f>592.064</f>
        <v>592.06399999999996</v>
      </c>
      <c r="BW31">
        <f>612.586</f>
        <v>612.58600000000001</v>
      </c>
      <c r="BX31">
        <f>564.082</f>
        <v>564.08199999999999</v>
      </c>
      <c r="BY31">
        <f>498.793</f>
        <v>498.79300000000001</v>
      </c>
      <c r="BZ31">
        <f>532.387</f>
        <v>532.38699999999994</v>
      </c>
      <c r="CA31">
        <f>527.869</f>
        <v>527.86900000000003</v>
      </c>
      <c r="CB31">
        <f>493.091</f>
        <v>493.09100000000001</v>
      </c>
      <c r="CC31">
        <f>432.09</f>
        <v>432.09</v>
      </c>
      <c r="CD31">
        <f>492.328</f>
        <v>492.32799999999997</v>
      </c>
      <c r="CE31">
        <f>465.847</f>
        <v>465.84699999999998</v>
      </c>
      <c r="CF31">
        <f>433.241</f>
        <v>433.24099999999999</v>
      </c>
      <c r="CG31">
        <f>376.65</f>
        <v>376.65</v>
      </c>
      <c r="CH31">
        <f>483.032</f>
        <v>483.03199999999998</v>
      </c>
      <c r="CI31">
        <f>455.279</f>
        <v>455.279</v>
      </c>
      <c r="CJ31">
        <f>390.77</f>
        <v>390.77</v>
      </c>
      <c r="CK31">
        <f>388.054</f>
        <v>388.05399999999997</v>
      </c>
      <c r="CL31">
        <f>381.815</f>
        <v>381.815</v>
      </c>
      <c r="CM31">
        <f>359.721</f>
        <v>359.721</v>
      </c>
      <c r="CN31">
        <f>378.211</f>
        <v>378.21100000000001</v>
      </c>
      <c r="CO31">
        <f>370.299</f>
        <v>370.29899999999998</v>
      </c>
      <c r="CP31">
        <f>351.958</f>
        <v>351.95800000000003</v>
      </c>
      <c r="CQ31">
        <f>404.377</f>
        <v>404.37700000000001</v>
      </c>
      <c r="CR31">
        <f>274.307</f>
        <v>274.30700000000002</v>
      </c>
      <c r="CS31">
        <f>272.789</f>
        <v>272.78899999999999</v>
      </c>
      <c r="CT31">
        <f>325.751</f>
        <v>325.75099999999998</v>
      </c>
      <c r="CU31">
        <f>365.704</f>
        <v>365.70400000000001</v>
      </c>
      <c r="CV31">
        <f>339.915</f>
        <v>339.91500000000002</v>
      </c>
      <c r="CW31">
        <f>324.053</f>
        <v>324.053</v>
      </c>
      <c r="CX31">
        <f>354.073</f>
        <v>354.07299999999998</v>
      </c>
      <c r="CY31">
        <f>318.557</f>
        <v>318.55700000000002</v>
      </c>
      <c r="CZ31">
        <f>314.619</f>
        <v>314.61900000000003</v>
      </c>
      <c r="DA31">
        <f>361.761</f>
        <v>361.76100000000002</v>
      </c>
      <c r="DB31">
        <f>365.5025</f>
        <v>365.5025</v>
      </c>
      <c r="DC31">
        <f>373.94</f>
        <v>373.94</v>
      </c>
      <c r="DD31">
        <f>312.154</f>
        <v>312.154</v>
      </c>
      <c r="DE31">
        <f>296.773</f>
        <v>296.77300000000002</v>
      </c>
      <c r="DF31">
        <f>276.667</f>
        <v>276.66699999999997</v>
      </c>
      <c r="DG31">
        <f>254.281</f>
        <v>254.28100000000001</v>
      </c>
      <c r="DH31">
        <f>272.528</f>
        <v>272.52800000000002</v>
      </c>
      <c r="DI31">
        <f>245.179</f>
        <v>245.179</v>
      </c>
      <c r="DJ31">
        <f>246.307</f>
        <v>246.30699999999999</v>
      </c>
      <c r="DK31">
        <f>232.17</f>
        <v>232.17</v>
      </c>
      <c r="DL31">
        <f>219.369</f>
        <v>219.369</v>
      </c>
      <c r="DM31">
        <f>206.247</f>
        <v>206.24700000000001</v>
      </c>
      <c r="DN31">
        <f>184.146</f>
        <v>184.14599999999999</v>
      </c>
      <c r="DO31">
        <f>200.092</f>
        <v>200.09200000000001</v>
      </c>
      <c r="DP31">
        <f>192.368</f>
        <v>192.36799999999999</v>
      </c>
      <c r="DQ31">
        <f>172.813</f>
        <v>172.81299999999999</v>
      </c>
      <c r="DR31">
        <f>180.9055</f>
        <v>180.90549999999999</v>
      </c>
      <c r="DS31">
        <f>191.987</f>
        <v>191.98699999999999</v>
      </c>
      <c r="DT31">
        <f>174.771</f>
        <v>174.77099999999999</v>
      </c>
      <c r="DU31">
        <f>172.609</f>
        <v>172.60900000000001</v>
      </c>
    </row>
    <row r="32" spans="1:125">
      <c r="A32" t="str">
        <f>"    Health Care REITs"</f>
        <v xml:space="preserve">    Health Care REITs</v>
      </c>
      <c r="B32" t="str">
        <f>"RECFFOHC Index"</f>
        <v>RECFFOHC Index</v>
      </c>
      <c r="C32" t="str">
        <f t="shared" si="0"/>
        <v>PR005</v>
      </c>
      <c r="D32" t="str">
        <f t="shared" si="1"/>
        <v>PX_LAST</v>
      </c>
      <c r="E32" t="str">
        <f t="shared" si="2"/>
        <v>动态</v>
      </c>
      <c r="F32">
        <f ca="1">IF(AND(ISNUMBER($F$265),$B$183=1),$F$265,HLOOKUP(INDIRECT(ADDRESS(2,COLUMN())),OFFSET($BN$2,0,0,ROW()-1,60),ROW()-1,FALSE))</f>
        <v>1406.0893639999999</v>
      </c>
      <c r="G32">
        <f ca="1">IF(AND(ISNUMBER($G$265),$B$183=1),$G$265,HLOOKUP(INDIRECT(ADDRESS(2,COLUMN())),OFFSET($BN$2,0,0,ROW()-1,60),ROW()-1,FALSE))</f>
        <v>1349.1759999999999</v>
      </c>
      <c r="H32">
        <f ca="1">IF(AND(ISNUMBER($H$265),$B$183=1),$H$265,HLOOKUP(INDIRECT(ADDRESS(2,COLUMN())),OFFSET($BN$2,0,0,ROW()-1,60),ROW()-1,FALSE))</f>
        <v>1674.8209999999999</v>
      </c>
      <c r="I32">
        <f ca="1">IF(AND(ISNUMBER($I$265),$B$183=1),$I$265,HLOOKUP(INDIRECT(ADDRESS(2,COLUMN())),OFFSET($BN$2,0,0,ROW()-1,60),ROW()-1,FALSE))</f>
        <v>1796.6590000000001</v>
      </c>
      <c r="J32">
        <f ca="1">IF(AND(ISNUMBER($J$265),$B$183=1),$J$265,HLOOKUP(INDIRECT(ADDRESS(2,COLUMN())),OFFSET($BN$2,0,0,ROW()-1,60),ROW()-1,FALSE))</f>
        <v>1724.0519999999999</v>
      </c>
      <c r="K32">
        <f ca="1">IF(AND(ISNUMBER($K$265),$B$183=1),$K$265,HLOOKUP(INDIRECT(ADDRESS(2,COLUMN())),OFFSET($BN$2,0,0,ROW()-1,60),ROW()-1,FALSE))</f>
        <v>1743.4829999999999</v>
      </c>
      <c r="L32">
        <f ca="1">IF(AND(ISNUMBER($L$265),$B$183=1),$L$265,HLOOKUP(INDIRECT(ADDRESS(2,COLUMN())),OFFSET($BN$2,0,0,ROW()-1,60),ROW()-1,FALSE))</f>
        <v>1829.711</v>
      </c>
      <c r="M32">
        <f ca="1">IF(AND(ISNUMBER($M$265),$B$183=1),$M$265,HLOOKUP(INDIRECT(ADDRESS(2,COLUMN())),OFFSET($BN$2,0,0,ROW()-1,60),ROW()-1,FALSE))</f>
        <v>1743.3789999999999</v>
      </c>
      <c r="N32">
        <f ca="1">IF(AND(ISNUMBER($N$265),$B$183=1),$N$265,HLOOKUP(INDIRECT(ADDRESS(2,COLUMN())),OFFSET($BN$2,0,0,ROW()-1,60),ROW()-1,FALSE))</f>
        <v>883.22799999999995</v>
      </c>
      <c r="O32">
        <f ca="1">IF(AND(ISNUMBER($O$265),$B$183=1),$O$265,HLOOKUP(INDIRECT(ADDRESS(2,COLUMN())),OFFSET($BN$2,0,0,ROW()-1,60),ROW()-1,FALSE))</f>
        <v>1531.7819999999999</v>
      </c>
      <c r="P32">
        <f ca="1">IF(AND(ISNUMBER($P$265),$B$183=1),$P$265,HLOOKUP(INDIRECT(ADDRESS(2,COLUMN())),OFFSET($BN$2,0,0,ROW()-1,60),ROW()-1,FALSE))</f>
        <v>1469.5909999999999</v>
      </c>
      <c r="Q32">
        <f ca="1">IF(AND(ISNUMBER($Q$265),$B$183=1),$Q$265,HLOOKUP(INDIRECT(ADDRESS(2,COLUMN())),OFFSET($BN$2,0,0,ROW()-1,60),ROW()-1,FALSE))</f>
        <v>1017.204</v>
      </c>
      <c r="R32">
        <f ca="1">IF(AND(ISNUMBER($R$265),$B$183=1),$R$265,HLOOKUP(INDIRECT(ADDRESS(2,COLUMN())),OFFSET($BN$2,0,0,ROW()-1,60),ROW()-1,FALSE))</f>
        <v>1402.614</v>
      </c>
      <c r="S32">
        <f ca="1">IF(AND(ISNUMBER($S$265),$B$183=1),$S$265,HLOOKUP(INDIRECT(ADDRESS(2,COLUMN())),OFFSET($BN$2,0,0,ROW()-1,60),ROW()-1,FALSE))</f>
        <v>1440.933</v>
      </c>
      <c r="T32">
        <f ca="1">IF(AND(ISNUMBER($T$265),$B$183=1),$T$265,HLOOKUP(INDIRECT(ADDRESS(2,COLUMN())),OFFSET($BN$2,0,0,ROW()-1,60),ROW()-1,FALSE))</f>
        <v>1235.931</v>
      </c>
      <c r="U32">
        <f ca="1">IF(AND(ISNUMBER($U$265),$B$183=1),$U$265,HLOOKUP(INDIRECT(ADDRESS(2,COLUMN())),OFFSET($BN$2,0,0,ROW()-1,60),ROW()-1,FALSE))</f>
        <v>1286.212</v>
      </c>
      <c r="V32">
        <f ca="1">IF(AND(ISNUMBER($V$265),$B$183=1),$V$265,HLOOKUP(INDIRECT(ADDRESS(2,COLUMN())),OFFSET($BN$2,0,0,ROW()-1,60),ROW()-1,FALSE))</f>
        <v>1282.704</v>
      </c>
      <c r="W32">
        <f ca="1">IF(AND(ISNUMBER($W$265),$B$183=1),$W$265,HLOOKUP(INDIRECT(ADDRESS(2,COLUMN())),OFFSET($BN$2,0,0,ROW()-1,60),ROW()-1,FALSE))</f>
        <v>1204.8140000000001</v>
      </c>
      <c r="X32">
        <f ca="1">IF(AND(ISNUMBER($X$265),$B$183=1),$X$265,HLOOKUP(INDIRECT(ADDRESS(2,COLUMN())),OFFSET($BN$2,0,0,ROW()-1,60),ROW()-1,FALSE))</f>
        <v>1135.4190000000001</v>
      </c>
      <c r="Y32">
        <f ca="1">IF(AND(ISNUMBER($Y$265),$B$183=1),$Y$265,HLOOKUP(INDIRECT(ADDRESS(2,COLUMN())),OFFSET($BN$2,0,0,ROW()-1,60),ROW()-1,FALSE))</f>
        <v>1076.135</v>
      </c>
      <c r="Z32">
        <f ca="1">IF(AND(ISNUMBER($Z$265),$B$183=1),$Z$265,HLOOKUP(INDIRECT(ADDRESS(2,COLUMN())),OFFSET($BN$2,0,0,ROW()-1,60),ROW()-1,FALSE))</f>
        <v>1081.5550000000001</v>
      </c>
      <c r="AA32">
        <f ca="1">IF(AND(ISNUMBER($AA$265),$B$183=1),$AA$265,HLOOKUP(INDIRECT(ADDRESS(2,COLUMN())),OFFSET($BN$2,0,0,ROW()-1,60),ROW()-1,FALSE))</f>
        <v>988.38599999999997</v>
      </c>
      <c r="AB32">
        <f ca="1">IF(AND(ISNUMBER($AB$265),$B$183=1),$AB$265,HLOOKUP(INDIRECT(ADDRESS(2,COLUMN())),OFFSET($BN$2,0,0,ROW()-1,60),ROW()-1,FALSE))</f>
        <v>930.17899999999997</v>
      </c>
      <c r="AC32">
        <f ca="1">IF(AND(ISNUMBER($AC$265),$B$183=1),$AC$265,HLOOKUP(INDIRECT(ADDRESS(2,COLUMN())),OFFSET($BN$2,0,0,ROW()-1,60),ROW()-1,FALSE))</f>
        <v>868.34699999999998</v>
      </c>
      <c r="AD32">
        <f ca="1">IF(AND(ISNUMBER($AD$265),$B$183=1),$AD$265,HLOOKUP(INDIRECT(ADDRESS(2,COLUMN())),OFFSET($BN$2,0,0,ROW()-1,60),ROW()-1,FALSE))</f>
        <v>860.88199999999995</v>
      </c>
      <c r="AE32">
        <f ca="1">IF(AND(ISNUMBER($AE$265),$B$183=1),$AE$265,HLOOKUP(INDIRECT(ADDRESS(2,COLUMN())),OFFSET($BN$2,0,0,ROW()-1,60),ROW()-1,FALSE))</f>
        <v>872.30399999999997</v>
      </c>
      <c r="AF32">
        <f ca="1">IF(AND(ISNUMBER($AF$265),$B$183=1),$AF$265,HLOOKUP(INDIRECT(ADDRESS(2,COLUMN())),OFFSET($BN$2,0,0,ROW()-1,60),ROW()-1,FALSE))</f>
        <v>766.19500000000005</v>
      </c>
      <c r="AG32">
        <f ca="1">IF(AND(ISNUMBER($AG$265),$B$183=1),$AG$265,HLOOKUP(INDIRECT(ADDRESS(2,COLUMN())),OFFSET($BN$2,0,0,ROW()-1,60),ROW()-1,FALSE))</f>
        <v>582.32899999999995</v>
      </c>
      <c r="AH32">
        <f ca="1">IF(AND(ISNUMBER($AH$265),$B$183=1),$AH$265,HLOOKUP(INDIRECT(ADDRESS(2,COLUMN())),OFFSET($BN$2,0,0,ROW()-1,60),ROW()-1,FALSE))</f>
        <v>527.197</v>
      </c>
      <c r="AI32">
        <f ca="1">IF(AND(ISNUMBER($AI$265),$B$183=1),$AI$265,HLOOKUP(INDIRECT(ADDRESS(2,COLUMN())),OFFSET($BN$2,0,0,ROW()-1,60),ROW()-1,FALSE))</f>
        <v>478.11099999999999</v>
      </c>
      <c r="AJ32">
        <f ca="1">IF(AND(ISNUMBER($AJ$265),$B$183=1),$AJ$265,HLOOKUP(INDIRECT(ADDRESS(2,COLUMN())),OFFSET($BN$2,0,0,ROW()-1,60),ROW()-1,FALSE))</f>
        <v>562.58000000000004</v>
      </c>
      <c r="AK32">
        <f ca="1">IF(AND(ISNUMBER($AK$265),$B$183=1),$AK$265,HLOOKUP(INDIRECT(ADDRESS(2,COLUMN())),OFFSET($BN$2,0,0,ROW()-1,60),ROW()-1,FALSE))</f>
        <v>547.36800000000005</v>
      </c>
      <c r="AL32">
        <f ca="1">IF(AND(ISNUMBER($AL$265),$B$183=1),$AL$265,HLOOKUP(INDIRECT(ADDRESS(2,COLUMN())),OFFSET($BN$2,0,0,ROW()-1,60),ROW()-1,FALSE))</f>
        <v>519.84199999999998</v>
      </c>
      <c r="AM32">
        <f ca="1">IF(AND(ISNUMBER($AM$265),$B$183=1),$AM$265,HLOOKUP(INDIRECT(ADDRESS(2,COLUMN())),OFFSET($BN$2,0,0,ROW()-1,60),ROW()-1,FALSE))</f>
        <v>423.98700000000002</v>
      </c>
      <c r="AN32">
        <f ca="1">IF(AND(ISNUMBER($AN$265),$B$183=1),$AN$265,HLOOKUP(INDIRECT(ADDRESS(2,COLUMN())),OFFSET($BN$2,0,0,ROW()-1,60),ROW()-1,FALSE))</f>
        <v>563.44899999999996</v>
      </c>
      <c r="AO32">
        <f ca="1">IF(AND(ISNUMBER($AO$265),$B$183=1),$AO$265,HLOOKUP(INDIRECT(ADDRESS(2,COLUMN())),OFFSET($BN$2,0,0,ROW()-1,60),ROW()-1,FALSE))</f>
        <v>435.50700000000001</v>
      </c>
      <c r="AP32">
        <f ca="1">IF(AND(ISNUMBER($AP$265),$B$183=1),$AP$265,HLOOKUP(INDIRECT(ADDRESS(2,COLUMN())),OFFSET($BN$2,0,0,ROW()-1,60),ROW()-1,FALSE))</f>
        <v>492.39699999999999</v>
      </c>
      <c r="AQ32">
        <f ca="1">IF(AND(ISNUMBER($AQ$265),$B$183=1),$AQ$265,HLOOKUP(INDIRECT(ADDRESS(2,COLUMN())),OFFSET($BN$2,0,0,ROW()-1,60),ROW()-1,FALSE))</f>
        <v>580.57600000000002</v>
      </c>
      <c r="AR32">
        <f ca="1">IF(AND(ISNUMBER($AR$265),$B$183=1),$AR$265,HLOOKUP(INDIRECT(ADDRESS(2,COLUMN())),OFFSET($BN$2,0,0,ROW()-1,60),ROW()-1,FALSE))</f>
        <v>490.96300000000002</v>
      </c>
      <c r="AS32">
        <f ca="1">IF(AND(ISNUMBER($AS$265),$B$183=1),$AS$265,HLOOKUP(INDIRECT(ADDRESS(2,COLUMN())),OFFSET($BN$2,0,0,ROW()-1,60),ROW()-1,FALSE))</f>
        <v>488.29500000000002</v>
      </c>
      <c r="AT32">
        <f ca="1">IF(AND(ISNUMBER($AT$265),$B$183=1),$AT$265,HLOOKUP(INDIRECT(ADDRESS(2,COLUMN())),OFFSET($BN$2,0,0,ROW()-1,60),ROW()-1,FALSE))</f>
        <v>477.13299999999998</v>
      </c>
      <c r="AU32">
        <f ca="1">IF(AND(ISNUMBER($AU$265),$B$183=1),$AU$265,HLOOKUP(INDIRECT(ADDRESS(2,COLUMN())),OFFSET($BN$2,0,0,ROW()-1,60),ROW()-1,FALSE))</f>
        <v>474.23200000000003</v>
      </c>
      <c r="AV32">
        <f ca="1">IF(AND(ISNUMBER($AV$265),$B$183=1),$AV$265,HLOOKUP(INDIRECT(ADDRESS(2,COLUMN())),OFFSET($BN$2,0,0,ROW()-1,60),ROW()-1,FALSE))</f>
        <v>472.14100000000002</v>
      </c>
      <c r="AW32">
        <f ca="1">IF(AND(ISNUMBER($AW$265),$B$183=1),$AW$265,HLOOKUP(INDIRECT(ADDRESS(2,COLUMN())),OFFSET($BN$2,0,0,ROW()-1,60),ROW()-1,FALSE))</f>
        <v>416.49</v>
      </c>
      <c r="AX32">
        <f ca="1">IF(AND(ISNUMBER($AX$265),$B$183=1),$AX$265,HLOOKUP(INDIRECT(ADDRESS(2,COLUMN())),OFFSET($BN$2,0,0,ROW()-1,60),ROW()-1,FALSE))</f>
        <v>366.21499999999997</v>
      </c>
      <c r="AY32">
        <f ca="1">IF(AND(ISNUMBER($AY$265),$B$183=1),$AY$265,HLOOKUP(INDIRECT(ADDRESS(2,COLUMN())),OFFSET($BN$2,0,0,ROW()-1,60),ROW()-1,FALSE))</f>
        <v>348.40800000000002</v>
      </c>
      <c r="AZ32">
        <f ca="1">IF(AND(ISNUMBER($AZ$265),$B$183=1),$AZ$265,HLOOKUP(INDIRECT(ADDRESS(2,COLUMN())),OFFSET($BN$2,0,0,ROW()-1,60),ROW()-1,FALSE))</f>
        <v>346.70100000000002</v>
      </c>
      <c r="BA32">
        <f ca="1">IF(AND(ISNUMBER($BA$265),$B$183=1),$BA$265,HLOOKUP(INDIRECT(ADDRESS(2,COLUMN())),OFFSET($BN$2,0,0,ROW()-1,60),ROW()-1,FALSE))</f>
        <v>330.31599999999997</v>
      </c>
      <c r="BB32">
        <f ca="1">IF(AND(ISNUMBER($BB$265),$B$183=1),$BB$265,HLOOKUP(INDIRECT(ADDRESS(2,COLUMN())),OFFSET($BN$2,0,0,ROW()-1,60),ROW()-1,FALSE))</f>
        <v>324.92950000000002</v>
      </c>
      <c r="BC32">
        <f ca="1">IF(AND(ISNUMBER($BC$265),$B$183=1),$BC$265,HLOOKUP(INDIRECT(ADDRESS(2,COLUMN())),OFFSET($BN$2,0,0,ROW()-1,60),ROW()-1,FALSE))</f>
        <v>302.50799999999998</v>
      </c>
      <c r="BD32">
        <f ca="1">IF(AND(ISNUMBER($BD$265),$B$183=1),$BD$265,HLOOKUP(INDIRECT(ADDRESS(2,COLUMN())),OFFSET($BN$2,0,0,ROW()-1,60),ROW()-1,FALSE))</f>
        <v>260.90899999999999</v>
      </c>
      <c r="BE32">
        <f ca="1">IF(AND(ISNUMBER($BE$265),$B$183=1),$BE$265,HLOOKUP(INDIRECT(ADDRESS(2,COLUMN())),OFFSET($BN$2,0,0,ROW()-1,60),ROW()-1,FALSE))</f>
        <v>285.55200000000002</v>
      </c>
      <c r="BF32">
        <f ca="1">IF(AND(ISNUMBER($BF$265),$B$183=1),$BF$265,HLOOKUP(INDIRECT(ADDRESS(2,COLUMN())),OFFSET($BN$2,0,0,ROW()-1,60),ROW()-1,FALSE))</f>
        <v>280.51</v>
      </c>
      <c r="BG32">
        <f ca="1">IF(AND(ISNUMBER($BG$265),$B$183=1),$BG$265,HLOOKUP(INDIRECT(ADDRESS(2,COLUMN())),OFFSET($BN$2,0,0,ROW()-1,60),ROW()-1,FALSE))</f>
        <v>254.05799999999999</v>
      </c>
      <c r="BH32">
        <f ca="1">IF(AND(ISNUMBER($BH$265),$B$183=1),$BH$265,HLOOKUP(INDIRECT(ADDRESS(2,COLUMN())),OFFSET($BN$2,0,0,ROW()-1,60),ROW()-1,FALSE))</f>
        <v>254.65</v>
      </c>
      <c r="BI32">
        <f ca="1">IF(AND(ISNUMBER($BI$265),$B$183=1),$BI$265,HLOOKUP(INDIRECT(ADDRESS(2,COLUMN())),OFFSET($BN$2,0,0,ROW()-1,60),ROW()-1,FALSE))</f>
        <v>185.631</v>
      </c>
      <c r="BJ32">
        <f ca="1">IF(AND(ISNUMBER($BJ$265),$B$183=1),$BJ$265,HLOOKUP(INDIRECT(ADDRESS(2,COLUMN())),OFFSET($BN$2,0,0,ROW()-1,60),ROW()-1,FALSE))</f>
        <v>238.29400000000001</v>
      </c>
      <c r="BK32">
        <f ca="1">IF(AND(ISNUMBER($BK$265),$B$183=1),$BK$265,HLOOKUP(INDIRECT(ADDRESS(2,COLUMN())),OFFSET($BN$2,0,0,ROW()-1,60),ROW()-1,FALSE))</f>
        <v>239.654</v>
      </c>
      <c r="BL32">
        <f ca="1">IF(AND(ISNUMBER($BL$265),$B$183=1),$BL$265,HLOOKUP(INDIRECT(ADDRESS(2,COLUMN())),OFFSET($BN$2,0,0,ROW()-1,60),ROW()-1,FALSE))</f>
        <v>215.02</v>
      </c>
      <c r="BM32">
        <f ca="1">IF(AND(ISNUMBER($BM$265),$B$183=1),$BM$265,HLOOKUP(INDIRECT(ADDRESS(2,COLUMN())),OFFSET($BN$2,0,0,ROW()-1,60),ROW()-1,FALSE))</f>
        <v>230.358</v>
      </c>
      <c r="BN32">
        <f>1406.089364</f>
        <v>1406.0893639999999</v>
      </c>
      <c r="BO32">
        <f>1349.176</f>
        <v>1349.1759999999999</v>
      </c>
      <c r="BP32">
        <f>1674.821</f>
        <v>1674.8209999999999</v>
      </c>
      <c r="BQ32">
        <f>1796.659</f>
        <v>1796.6590000000001</v>
      </c>
      <c r="BR32">
        <f>1724.052</f>
        <v>1724.0519999999999</v>
      </c>
      <c r="BS32">
        <f>1743.483</f>
        <v>1743.4829999999999</v>
      </c>
      <c r="BT32">
        <f>1829.711</f>
        <v>1829.711</v>
      </c>
      <c r="BU32">
        <f>1743.379</f>
        <v>1743.3789999999999</v>
      </c>
      <c r="BV32">
        <f>883.228</f>
        <v>883.22799999999995</v>
      </c>
      <c r="BW32">
        <f>1531.782</f>
        <v>1531.7819999999999</v>
      </c>
      <c r="BX32">
        <f>1469.591</f>
        <v>1469.5909999999999</v>
      </c>
      <c r="BY32">
        <f>1017.204</f>
        <v>1017.204</v>
      </c>
      <c r="BZ32">
        <f>1402.614</f>
        <v>1402.614</v>
      </c>
      <c r="CA32">
        <f>1440.933</f>
        <v>1440.933</v>
      </c>
      <c r="CB32">
        <f>1235.931</f>
        <v>1235.931</v>
      </c>
      <c r="CC32">
        <f>1286.212</f>
        <v>1286.212</v>
      </c>
      <c r="CD32">
        <f>1282.704</f>
        <v>1282.704</v>
      </c>
      <c r="CE32">
        <f>1204.814</f>
        <v>1204.8140000000001</v>
      </c>
      <c r="CF32">
        <f>1135.419</f>
        <v>1135.4190000000001</v>
      </c>
      <c r="CG32">
        <f>1076.135</f>
        <v>1076.135</v>
      </c>
      <c r="CH32">
        <f>1081.555</f>
        <v>1081.5550000000001</v>
      </c>
      <c r="CI32">
        <f>988.386</f>
        <v>988.38599999999997</v>
      </c>
      <c r="CJ32">
        <f>930.179</f>
        <v>930.17899999999997</v>
      </c>
      <c r="CK32">
        <f>868.347</f>
        <v>868.34699999999998</v>
      </c>
      <c r="CL32">
        <f>860.882</f>
        <v>860.88199999999995</v>
      </c>
      <c r="CM32">
        <f>872.304</f>
        <v>872.30399999999997</v>
      </c>
      <c r="CN32">
        <f>766.195</f>
        <v>766.19500000000005</v>
      </c>
      <c r="CO32">
        <f>582.329</f>
        <v>582.32899999999995</v>
      </c>
      <c r="CP32">
        <f>527.197</f>
        <v>527.197</v>
      </c>
      <c r="CQ32">
        <f>478.111</f>
        <v>478.11099999999999</v>
      </c>
      <c r="CR32">
        <f>562.58</f>
        <v>562.58000000000004</v>
      </c>
      <c r="CS32">
        <f>547.368</f>
        <v>547.36800000000005</v>
      </c>
      <c r="CT32">
        <f>519.842</f>
        <v>519.84199999999998</v>
      </c>
      <c r="CU32">
        <f>423.987</f>
        <v>423.98700000000002</v>
      </c>
      <c r="CV32">
        <f>563.449</f>
        <v>563.44899999999996</v>
      </c>
      <c r="CW32">
        <f>435.507</f>
        <v>435.50700000000001</v>
      </c>
      <c r="CX32">
        <f>492.397</f>
        <v>492.39699999999999</v>
      </c>
      <c r="CY32">
        <f>580.576</f>
        <v>580.57600000000002</v>
      </c>
      <c r="CZ32">
        <f>490.963</f>
        <v>490.96300000000002</v>
      </c>
      <c r="DA32">
        <f>488.295</f>
        <v>488.29500000000002</v>
      </c>
      <c r="DB32">
        <f>477.133</f>
        <v>477.13299999999998</v>
      </c>
      <c r="DC32">
        <f>474.232</f>
        <v>474.23200000000003</v>
      </c>
      <c r="DD32">
        <f>472.141</f>
        <v>472.14100000000002</v>
      </c>
      <c r="DE32">
        <f>416.49</f>
        <v>416.49</v>
      </c>
      <c r="DF32">
        <f>366.215</f>
        <v>366.21499999999997</v>
      </c>
      <c r="DG32">
        <f>348.408</f>
        <v>348.40800000000002</v>
      </c>
      <c r="DH32">
        <f>346.701</f>
        <v>346.70100000000002</v>
      </c>
      <c r="DI32">
        <f>330.316</f>
        <v>330.31599999999997</v>
      </c>
      <c r="DJ32">
        <f>324.9295</f>
        <v>324.92950000000002</v>
      </c>
      <c r="DK32">
        <f>302.508</f>
        <v>302.50799999999998</v>
      </c>
      <c r="DL32">
        <f>260.909</f>
        <v>260.90899999999999</v>
      </c>
      <c r="DM32">
        <f>285.552</f>
        <v>285.55200000000002</v>
      </c>
      <c r="DN32">
        <f>280.51</f>
        <v>280.51</v>
      </c>
      <c r="DO32">
        <f>254.058</f>
        <v>254.05799999999999</v>
      </c>
      <c r="DP32">
        <f>254.65</f>
        <v>254.65</v>
      </c>
      <c r="DQ32">
        <f>185.631</f>
        <v>185.631</v>
      </c>
      <c r="DR32">
        <f>238.294</f>
        <v>238.29400000000001</v>
      </c>
      <c r="DS32">
        <f>239.654</f>
        <v>239.654</v>
      </c>
      <c r="DT32">
        <f>215.02</f>
        <v>215.02</v>
      </c>
      <c r="DU32">
        <f>230.358</f>
        <v>230.358</v>
      </c>
    </row>
    <row r="33" spans="1:125">
      <c r="A33" t="str">
        <f>"    Data Center REITs"</f>
        <v xml:space="preserve">    Data Center REITs</v>
      </c>
      <c r="B33" t="str">
        <f>"RECFFODC Index"</f>
        <v>RECFFODC Index</v>
      </c>
      <c r="C33" t="str">
        <f t="shared" si="0"/>
        <v>PR005</v>
      </c>
      <c r="D33" t="str">
        <f t="shared" si="1"/>
        <v>PX_LAST</v>
      </c>
      <c r="E33" t="str">
        <f t="shared" si="2"/>
        <v>动态</v>
      </c>
      <c r="F33">
        <f ca="1">IF(AND(ISNUMBER($F$266),$B$183=1),$F$266,HLOOKUP(INDIRECT(ADDRESS(2,COLUMN())),OFFSET($BN$2,0,0,ROW()-1,60),ROW()-1,FALSE))</f>
        <v>742.71</v>
      </c>
      <c r="G33">
        <f ca="1">IF(AND(ISNUMBER($G$266),$B$183=1),$G$266,HLOOKUP(INDIRECT(ADDRESS(2,COLUMN())),OFFSET($BN$2,0,0,ROW()-1,60),ROW()-1,FALSE))</f>
        <v>655.09100000000001</v>
      </c>
      <c r="H33">
        <f ca="1">IF(AND(ISNUMBER($H$266),$B$183=1),$H$266,HLOOKUP(INDIRECT(ADDRESS(2,COLUMN())),OFFSET($BN$2,0,0,ROW()-1,60),ROW()-1,FALSE))</f>
        <v>670.46500000000003</v>
      </c>
      <c r="I33">
        <f ca="1">IF(AND(ISNUMBER($I$266),$B$183=1),$I$266,HLOOKUP(INDIRECT(ADDRESS(2,COLUMN())),OFFSET($BN$2,0,0,ROW()-1,60),ROW()-1,FALSE))</f>
        <v>626.58000000000004</v>
      </c>
      <c r="J33">
        <f ca="1">IF(AND(ISNUMBER($J$266),$B$183=1),$J$266,HLOOKUP(INDIRECT(ADDRESS(2,COLUMN())),OFFSET($BN$2,0,0,ROW()-1,60),ROW()-1,FALSE))</f>
        <v>681.21</v>
      </c>
      <c r="K33">
        <f ca="1">IF(AND(ISNUMBER($K$266),$B$183=1),$K$266,HLOOKUP(INDIRECT(ADDRESS(2,COLUMN())),OFFSET($BN$2,0,0,ROW()-1,60),ROW()-1,FALSE))</f>
        <v>584.279</v>
      </c>
      <c r="L33">
        <f ca="1">IF(AND(ISNUMBER($L$266),$B$183=1),$L$266,HLOOKUP(INDIRECT(ADDRESS(2,COLUMN())),OFFSET($BN$2,0,0,ROW()-1,60),ROW()-1,FALSE))</f>
        <v>596.25099999999998</v>
      </c>
      <c r="M33">
        <f ca="1">IF(AND(ISNUMBER($M$266),$B$183=1),$M$266,HLOOKUP(INDIRECT(ADDRESS(2,COLUMN())),OFFSET($BN$2,0,0,ROW()-1,60),ROW()-1,FALSE))</f>
        <v>503.17200000000003</v>
      </c>
      <c r="N33">
        <f ca="1">IF(AND(ISNUMBER($N$266),$B$183=1),$N$266,HLOOKUP(INDIRECT(ADDRESS(2,COLUMN())),OFFSET($BN$2,0,0,ROW()-1,60),ROW()-1,FALSE))</f>
        <v>409.11700000000002</v>
      </c>
      <c r="O33">
        <f ca="1">IF(AND(ISNUMBER($O$266),$B$183=1),$O$266,HLOOKUP(INDIRECT(ADDRESS(2,COLUMN())),OFFSET($BN$2,0,0,ROW()-1,60),ROW()-1,FALSE))</f>
        <v>487.05700000000002</v>
      </c>
      <c r="P33">
        <f ca="1">IF(AND(ISNUMBER($P$266),$B$183=1),$P$266,HLOOKUP(INDIRECT(ADDRESS(2,COLUMN())),OFFSET($BN$2,0,0,ROW()-1,60),ROW()-1,FALSE))</f>
        <v>479.93799999999999</v>
      </c>
      <c r="Q33">
        <f ca="1">IF(AND(ISNUMBER($Q$266),$B$183=1),$Q$266,HLOOKUP(INDIRECT(ADDRESS(2,COLUMN())),OFFSET($BN$2,0,0,ROW()-1,60),ROW()-1,FALSE))</f>
        <v>529.14400000000001</v>
      </c>
      <c r="R33">
        <f ca="1">IF(AND(ISNUMBER($R$266),$B$183=1),$R$266,HLOOKUP(INDIRECT(ADDRESS(2,COLUMN())),OFFSET($BN$2,0,0,ROW()-1,60),ROW()-1,FALSE))</f>
        <v>313.97699999999998</v>
      </c>
      <c r="S33">
        <f ca="1">IF(AND(ISNUMBER($S$266),$B$183=1),$S$266,HLOOKUP(INDIRECT(ADDRESS(2,COLUMN())),OFFSET($BN$2,0,0,ROW()-1,60),ROW()-1,FALSE))</f>
        <v>293.96699999999998</v>
      </c>
      <c r="T33">
        <f ca="1">IF(AND(ISNUMBER($T$266),$B$183=1),$T$266,HLOOKUP(INDIRECT(ADDRESS(2,COLUMN())),OFFSET($BN$2,0,0,ROW()-1,60),ROW()-1,FALSE))</f>
        <v>290.279</v>
      </c>
      <c r="U33">
        <f ca="1">IF(AND(ISNUMBER($U$266),$B$183=1),$U$266,HLOOKUP(INDIRECT(ADDRESS(2,COLUMN())),OFFSET($BN$2,0,0,ROW()-1,60),ROW()-1,FALSE))</f>
        <v>288.084</v>
      </c>
      <c r="V33">
        <f ca="1">IF(AND(ISNUMBER($V$266),$B$183=1),$V$266,HLOOKUP(INDIRECT(ADDRESS(2,COLUMN())),OFFSET($BN$2,0,0,ROW()-1,60),ROW()-1,FALSE))</f>
        <v>277.64999999999998</v>
      </c>
      <c r="W33">
        <f ca="1">IF(AND(ISNUMBER($W$266),$B$183=1),$W$266,HLOOKUP(INDIRECT(ADDRESS(2,COLUMN())),OFFSET($BN$2,0,0,ROW()-1,60),ROW()-1,FALSE))</f>
        <v>208.483</v>
      </c>
      <c r="X33">
        <f ca="1">IF(AND(ISNUMBER($X$266),$B$183=1),$X$266,HLOOKUP(INDIRECT(ADDRESS(2,COLUMN())),OFFSET($BN$2,0,0,ROW()-1,60),ROW()-1,FALSE))</f>
        <v>245.92500000000001</v>
      </c>
      <c r="Y33">
        <f ca="1">IF(AND(ISNUMBER($Y$266),$B$183=1),$Y$266,HLOOKUP(INDIRECT(ADDRESS(2,COLUMN())),OFFSET($BN$2,0,0,ROW()-1,60),ROW()-1,FALSE))</f>
        <v>212.965</v>
      </c>
      <c r="Z33">
        <f ca="1">IF(AND(ISNUMBER($Z$266),$B$183=1),$Z$266,HLOOKUP(INDIRECT(ADDRESS(2,COLUMN())),OFFSET($BN$2,0,0,ROW()-1,60),ROW()-1,FALSE))</f>
        <v>217.387</v>
      </c>
      <c r="AA33">
        <f ca="1">IF(AND(ISNUMBER($AA$266),$B$183=1),$AA$266,HLOOKUP(INDIRECT(ADDRESS(2,COLUMN())),OFFSET($BN$2,0,0,ROW()-1,60),ROW()-1,FALSE))</f>
        <v>211.86</v>
      </c>
      <c r="AB33">
        <f ca="1">IF(AND(ISNUMBER($AB$266),$B$183=1),$AB$266,HLOOKUP(INDIRECT(ADDRESS(2,COLUMN())),OFFSET($BN$2,0,0,ROW()-1,60),ROW()-1,FALSE))</f>
        <v>191.85599999999999</v>
      </c>
      <c r="AC33">
        <f ca="1">IF(AND(ISNUMBER($AC$266),$B$183=1),$AC$266,HLOOKUP(INDIRECT(ADDRESS(2,COLUMN())),OFFSET($BN$2,0,0,ROW()-1,60),ROW()-1,FALSE))</f>
        <v>183.85</v>
      </c>
      <c r="AD33">
        <f ca="1">IF(AND(ISNUMBER($AD$266),$B$183=1),$AD$266,HLOOKUP(INDIRECT(ADDRESS(2,COLUMN())),OFFSET($BN$2,0,0,ROW()-1,60),ROW()-1,FALSE))</f>
        <v>178.03700000000001</v>
      </c>
      <c r="AE33">
        <f ca="1">IF(AND(ISNUMBER($AE$266),$B$183=1),$AE$266,HLOOKUP(INDIRECT(ADDRESS(2,COLUMN())),OFFSET($BN$2,0,0,ROW()-1,60),ROW()-1,FALSE))</f>
        <v>179.43700000000001</v>
      </c>
      <c r="AF33">
        <f ca="1">IF(AND(ISNUMBER($AF$266),$B$183=1),$AF$266,HLOOKUP(INDIRECT(ADDRESS(2,COLUMN())),OFFSET($BN$2,0,0,ROW()-1,60),ROW()-1,FALSE))</f>
        <v>173.672</v>
      </c>
      <c r="AG33">
        <f ca="1">IF(AND(ISNUMBER($AG$266),$B$183=1),$AG$266,HLOOKUP(INDIRECT(ADDRESS(2,COLUMN())),OFFSET($BN$2,0,0,ROW()-1,60),ROW()-1,FALSE))</f>
        <v>164.39500000000001</v>
      </c>
      <c r="AH33">
        <f ca="1">IF(AND(ISNUMBER($AH$266),$B$183=1),$AH$266,HLOOKUP(INDIRECT(ADDRESS(2,COLUMN())),OFFSET($BN$2,0,0,ROW()-1,60),ROW()-1,FALSE))</f>
        <v>155.06899999999999</v>
      </c>
      <c r="AI33">
        <f ca="1">IF(AND(ISNUMBER($AI$266),$B$183=1),$AI$266,HLOOKUP(INDIRECT(ADDRESS(2,COLUMN())),OFFSET($BN$2,0,0,ROW()-1,60),ROW()-1,FALSE))</f>
        <v>122.002</v>
      </c>
      <c r="AJ33">
        <f ca="1">IF(AND(ISNUMBER($AJ$266),$B$183=1),$AJ$266,HLOOKUP(INDIRECT(ADDRESS(2,COLUMN())),OFFSET($BN$2,0,0,ROW()-1,60),ROW()-1,FALSE))</f>
        <v>105.70399999999999</v>
      </c>
      <c r="AK33">
        <f ca="1">IF(AND(ISNUMBER($AK$266),$B$183=1),$AK$266,HLOOKUP(INDIRECT(ADDRESS(2,COLUMN())),OFFSET($BN$2,0,0,ROW()-1,60),ROW()-1,FALSE))</f>
        <v>104.554</v>
      </c>
      <c r="AL33">
        <f ca="1">IF(AND(ISNUMBER($AL$266),$B$183=1),$AL$266,HLOOKUP(INDIRECT(ADDRESS(2,COLUMN())),OFFSET($BN$2,0,0,ROW()-1,60),ROW()-1,FALSE))</f>
        <v>83.706000000000003</v>
      </c>
      <c r="AM33">
        <f ca="1">IF(AND(ISNUMBER($AM$266),$B$183=1),$AM$266,HLOOKUP(INDIRECT(ADDRESS(2,COLUMN())),OFFSET($BN$2,0,0,ROW()-1,60),ROW()-1,FALSE))</f>
        <v>94.355999999999995</v>
      </c>
      <c r="AN33">
        <f ca="1">IF(AND(ISNUMBER($AN$266),$B$183=1),$AN$266,HLOOKUP(INDIRECT(ADDRESS(2,COLUMN())),OFFSET($BN$2,0,0,ROW()-1,60),ROW()-1,FALSE))</f>
        <v>89.66</v>
      </c>
      <c r="AO33">
        <f ca="1">IF(AND(ISNUMBER($AO$266),$B$183=1),$AO$266,HLOOKUP(INDIRECT(ADDRESS(2,COLUMN())),OFFSET($BN$2,0,0,ROW()-1,60),ROW()-1,FALSE))</f>
        <v>81.284000000000006</v>
      </c>
      <c r="AP33">
        <f ca="1">IF(AND(ISNUMBER($AP$266),$B$183=1),$AP$266,HLOOKUP(INDIRECT(ADDRESS(2,COLUMN())),OFFSET($BN$2,0,0,ROW()-1,60),ROW()-1,FALSE))</f>
        <v>88.293999999999997</v>
      </c>
      <c r="AQ33">
        <f ca="1">IF(AND(ISNUMBER($AQ$266),$B$183=1),$AQ$266,HLOOKUP(INDIRECT(ADDRESS(2,COLUMN())),OFFSET($BN$2,0,0,ROW()-1,60),ROW()-1,FALSE))</f>
        <v>82.876000000000005</v>
      </c>
      <c r="AR33">
        <f ca="1">IF(AND(ISNUMBER($AR$266),$B$183=1),$AR$266,HLOOKUP(INDIRECT(ADDRESS(2,COLUMN())),OFFSET($BN$2,0,0,ROW()-1,60),ROW()-1,FALSE))</f>
        <v>73.515000000000001</v>
      </c>
      <c r="AS33">
        <f ca="1">IF(AND(ISNUMBER($AS$266),$B$183=1),$AS$266,HLOOKUP(INDIRECT(ADDRESS(2,COLUMN())),OFFSET($BN$2,0,0,ROW()-1,60),ROW()-1,FALSE))</f>
        <v>69.712999999999994</v>
      </c>
      <c r="AT33">
        <f ca="1">IF(AND(ISNUMBER($AT$266),$B$183=1),$AT$266,HLOOKUP(INDIRECT(ADDRESS(2,COLUMN())),OFFSET($BN$2,0,0,ROW()-1,60),ROW()-1,FALSE))</f>
        <v>-138.79400000000001</v>
      </c>
      <c r="AU33">
        <f ca="1">IF(AND(ISNUMBER($AU$266),$B$183=1),$AU$266,HLOOKUP(INDIRECT(ADDRESS(2,COLUMN())),OFFSET($BN$2,0,0,ROW()-1,60),ROW()-1,FALSE))</f>
        <v>35.933999999999997</v>
      </c>
      <c r="AV33">
        <f ca="1">IF(AND(ISNUMBER($AV$266),$B$183=1),$AV$266,HLOOKUP(INDIRECT(ADDRESS(2,COLUMN())),OFFSET($BN$2,0,0,ROW()-1,60),ROW()-1,FALSE))</f>
        <v>35.619</v>
      </c>
      <c r="AW33">
        <f ca="1">IF(AND(ISNUMBER($AW$266),$B$183=1),$AW$266,HLOOKUP(INDIRECT(ADDRESS(2,COLUMN())),OFFSET($BN$2,0,0,ROW()-1,60),ROW()-1,FALSE))</f>
        <v>35.033000000000001</v>
      </c>
      <c r="AX33">
        <f ca="1">IF(AND(ISNUMBER($AX$266),$B$183=1),$AX$266,HLOOKUP(INDIRECT(ADDRESS(2,COLUMN())),OFFSET($BN$2,0,0,ROW()-1,60),ROW()-1,FALSE))</f>
        <v>33.024999999999999</v>
      </c>
      <c r="AY33">
        <f ca="1">IF(AND(ISNUMBER($AY$266),$B$183=1),$AY$266,HLOOKUP(INDIRECT(ADDRESS(2,COLUMN())),OFFSET($BN$2,0,0,ROW()-1,60),ROW()-1,FALSE))</f>
        <v>26.244</v>
      </c>
      <c r="AZ33">
        <f ca="1">IF(AND(ISNUMBER($AZ$266),$B$183=1),$AZ$266,HLOOKUP(INDIRECT(ADDRESS(2,COLUMN())),OFFSET($BN$2,0,0,ROW()-1,60),ROW()-1,FALSE))</f>
        <v>23.228000000000002</v>
      </c>
      <c r="BA33">
        <f ca="1">IF(AND(ISNUMBER($BA$266),$B$183=1),$BA$266,HLOOKUP(INDIRECT(ADDRESS(2,COLUMN())),OFFSET($BN$2,0,0,ROW()-1,60),ROW()-1,FALSE))</f>
        <v>21.672999999999998</v>
      </c>
      <c r="BB33">
        <f ca="1">IF(AND(ISNUMBER($BB$266),$B$183=1),$BB$266,HLOOKUP(INDIRECT(ADDRESS(2,COLUMN())),OFFSET($BN$2,0,0,ROW()-1,60),ROW()-1,FALSE))</f>
        <v>21.276</v>
      </c>
      <c r="BC33">
        <f ca="1">IF(AND(ISNUMBER($BC$266),$B$183=1),$BC$266,HLOOKUP(INDIRECT(ADDRESS(2,COLUMN())),OFFSET($BN$2,0,0,ROW()-1,60),ROW()-1,FALSE))</f>
        <v>19.882999999999999</v>
      </c>
      <c r="BD33">
        <f ca="1">IF(AND(ISNUMBER($BD$266),$B$183=1),$BD$266,HLOOKUP(INDIRECT(ADDRESS(2,COLUMN())),OFFSET($BN$2,0,0,ROW()-1,60),ROW()-1,FALSE))</f>
        <v>19.597000000000001</v>
      </c>
      <c r="BE33">
        <f ca="1">IF(AND(ISNUMBER($BE$266),$B$183=1),$BE$266,HLOOKUP(INDIRECT(ADDRESS(2,COLUMN())),OFFSET($BN$2,0,0,ROW()-1,60),ROW()-1,FALSE))</f>
        <v>15.77</v>
      </c>
      <c r="BF33">
        <f ca="1">IF(AND(ISNUMBER($BF$266),$B$183=1),$BF$266,HLOOKUP(INDIRECT(ADDRESS(2,COLUMN())),OFFSET($BN$2,0,0,ROW()-1,60),ROW()-1,FALSE))</f>
        <v>-9.0139999999999993</v>
      </c>
      <c r="BG33">
        <f ca="1">IF(AND(ISNUMBER($BG$266),$B$183=1),$BG$266,HLOOKUP(INDIRECT(ADDRESS(2,COLUMN())),OFFSET($BN$2,0,0,ROW()-1,60),ROW()-1,FALSE))</f>
        <v>0</v>
      </c>
      <c r="BH33">
        <f ca="1">IF(AND(ISNUMBER($BH$266),$B$183=1),$BH$266,HLOOKUP(INDIRECT(ADDRESS(2,COLUMN())),OFFSET($BN$2,0,0,ROW()-1,60),ROW()-1,FALSE))</f>
        <v>0</v>
      </c>
      <c r="BI33">
        <f ca="1">IF(AND(ISNUMBER($BI$266),$B$183=1),$BI$266,HLOOKUP(INDIRECT(ADDRESS(2,COLUMN())),OFFSET($BN$2,0,0,ROW()-1,60),ROW()-1,FALSE))</f>
        <v>0</v>
      </c>
      <c r="BJ33">
        <f ca="1">IF(AND(ISNUMBER($BJ$266),$B$183=1),$BJ$266,HLOOKUP(INDIRECT(ADDRESS(2,COLUMN())),OFFSET($BN$2,0,0,ROW()-1,60),ROW()-1,FALSE))</f>
        <v>0</v>
      </c>
      <c r="BK33">
        <f ca="1">IF(AND(ISNUMBER($BK$266),$B$183=1),$BK$266,HLOOKUP(INDIRECT(ADDRESS(2,COLUMN())),OFFSET($BN$2,0,0,ROW()-1,60),ROW()-1,FALSE))</f>
        <v>0</v>
      </c>
      <c r="BL33">
        <f ca="1">IF(AND(ISNUMBER($BL$266),$B$183=1),$BL$266,HLOOKUP(INDIRECT(ADDRESS(2,COLUMN())),OFFSET($BN$2,0,0,ROW()-1,60),ROW()-1,FALSE))</f>
        <v>0</v>
      </c>
      <c r="BM33">
        <f ca="1">IF(AND(ISNUMBER($BM$266),$B$183=1),$BM$266,HLOOKUP(INDIRECT(ADDRESS(2,COLUMN())),OFFSET($BN$2,0,0,ROW()-1,60),ROW()-1,FALSE))</f>
        <v>0</v>
      </c>
      <c r="BN33">
        <f>742.71</f>
        <v>742.71</v>
      </c>
      <c r="BO33">
        <f>655.091</f>
        <v>655.09100000000001</v>
      </c>
      <c r="BP33">
        <f>670.465</f>
        <v>670.46500000000003</v>
      </c>
      <c r="BQ33">
        <f>626.58</f>
        <v>626.58000000000004</v>
      </c>
      <c r="BR33">
        <f>681.21</f>
        <v>681.21</v>
      </c>
      <c r="BS33">
        <f>584.279</f>
        <v>584.279</v>
      </c>
      <c r="BT33">
        <f>596.251</f>
        <v>596.25099999999998</v>
      </c>
      <c r="BU33">
        <f>503.172</f>
        <v>503.17200000000003</v>
      </c>
      <c r="BV33">
        <f>409.117</f>
        <v>409.11700000000002</v>
      </c>
      <c r="BW33">
        <f>487.057</f>
        <v>487.05700000000002</v>
      </c>
      <c r="BX33">
        <f>479.938</f>
        <v>479.93799999999999</v>
      </c>
      <c r="BY33">
        <f>529.144</f>
        <v>529.14400000000001</v>
      </c>
      <c r="BZ33">
        <f>313.977</f>
        <v>313.97699999999998</v>
      </c>
      <c r="CA33">
        <f>293.967</f>
        <v>293.96699999999998</v>
      </c>
      <c r="CB33">
        <f>290.279</f>
        <v>290.279</v>
      </c>
      <c r="CC33">
        <f>288.084</f>
        <v>288.084</v>
      </c>
      <c r="CD33">
        <f>277.65</f>
        <v>277.64999999999998</v>
      </c>
      <c r="CE33">
        <f>208.483</f>
        <v>208.483</v>
      </c>
      <c r="CF33">
        <f>245.925</f>
        <v>245.92500000000001</v>
      </c>
      <c r="CG33">
        <f>212.965</f>
        <v>212.965</v>
      </c>
      <c r="CH33">
        <f>217.387</f>
        <v>217.387</v>
      </c>
      <c r="CI33">
        <f>211.86</f>
        <v>211.86</v>
      </c>
      <c r="CJ33">
        <f>191.856</f>
        <v>191.85599999999999</v>
      </c>
      <c r="CK33">
        <f>183.85</f>
        <v>183.85</v>
      </c>
      <c r="CL33">
        <f>178.037</f>
        <v>178.03700000000001</v>
      </c>
      <c r="CM33">
        <f>179.437</f>
        <v>179.43700000000001</v>
      </c>
      <c r="CN33">
        <f>173.672</f>
        <v>173.672</v>
      </c>
      <c r="CO33">
        <f>164.395</f>
        <v>164.39500000000001</v>
      </c>
      <c r="CP33">
        <f>155.069</f>
        <v>155.06899999999999</v>
      </c>
      <c r="CQ33">
        <f>122.002</f>
        <v>122.002</v>
      </c>
      <c r="CR33">
        <f>105.704</f>
        <v>105.70399999999999</v>
      </c>
      <c r="CS33">
        <f>104.554</f>
        <v>104.554</v>
      </c>
      <c r="CT33">
        <f>83.706</f>
        <v>83.706000000000003</v>
      </c>
      <c r="CU33">
        <f>94.356</f>
        <v>94.355999999999995</v>
      </c>
      <c r="CV33">
        <f>89.66</f>
        <v>89.66</v>
      </c>
      <c r="CW33">
        <f>81.284</f>
        <v>81.284000000000006</v>
      </c>
      <c r="CX33">
        <f>88.294</f>
        <v>88.293999999999997</v>
      </c>
      <c r="CY33">
        <f>82.876</f>
        <v>82.876000000000005</v>
      </c>
      <c r="CZ33">
        <f>73.515</f>
        <v>73.515000000000001</v>
      </c>
      <c r="DA33">
        <f>69.713</f>
        <v>69.712999999999994</v>
      </c>
      <c r="DB33">
        <f>-138.794</f>
        <v>-138.79400000000001</v>
      </c>
      <c r="DC33">
        <f>35.934</f>
        <v>35.933999999999997</v>
      </c>
      <c r="DD33">
        <f>35.619</f>
        <v>35.619</v>
      </c>
      <c r="DE33">
        <f>35.033</f>
        <v>35.033000000000001</v>
      </c>
      <c r="DF33">
        <f>33.025</f>
        <v>33.024999999999999</v>
      </c>
      <c r="DG33">
        <f>26.244</f>
        <v>26.244</v>
      </c>
      <c r="DH33">
        <f>23.228</f>
        <v>23.228000000000002</v>
      </c>
      <c r="DI33">
        <f>21.673</f>
        <v>21.672999999999998</v>
      </c>
      <c r="DJ33">
        <f>21.276</f>
        <v>21.276</v>
      </c>
      <c r="DK33">
        <f>19.883</f>
        <v>19.882999999999999</v>
      </c>
      <c r="DL33">
        <f>19.597</f>
        <v>19.597000000000001</v>
      </c>
      <c r="DM33">
        <f>15.77</f>
        <v>15.77</v>
      </c>
      <c r="DN33">
        <f>-9.014</f>
        <v>-9.0139999999999993</v>
      </c>
      <c r="DO33">
        <f>0</f>
        <v>0</v>
      </c>
      <c r="DP33">
        <f>0</f>
        <v>0</v>
      </c>
      <c r="DQ33">
        <f>0</f>
        <v>0</v>
      </c>
      <c r="DR33">
        <f>0</f>
        <v>0</v>
      </c>
      <c r="DS33">
        <f>0</f>
        <v>0</v>
      </c>
      <c r="DT33">
        <f>0</f>
        <v>0</v>
      </c>
      <c r="DU33">
        <f>0</f>
        <v>0</v>
      </c>
    </row>
    <row r="34" spans="1:125">
      <c r="A34" t="str">
        <f>"    Specialty REITs"</f>
        <v xml:space="preserve">    Specialty REITs</v>
      </c>
      <c r="B34" t="str">
        <f>"RECFFOSP Index"</f>
        <v>RECFFOSP Index</v>
      </c>
      <c r="C34" t="str">
        <f t="shared" si="0"/>
        <v>PR005</v>
      </c>
      <c r="D34" t="str">
        <f t="shared" si="1"/>
        <v>PX_LAST</v>
      </c>
      <c r="E34" t="str">
        <f t="shared" si="2"/>
        <v>动态</v>
      </c>
      <c r="F34">
        <f ca="1">IF(AND(ISNUMBER($F$267),$B$183=1),$F$267,HLOOKUP(INDIRECT(ADDRESS(2,COLUMN())),OFFSET($BN$2,0,0,ROW()-1,60),ROW()-1,FALSE))</f>
        <v>635.39370359999998</v>
      </c>
      <c r="G34">
        <f ca="1">IF(AND(ISNUMBER($G$267),$B$183=1),$G$267,HLOOKUP(INDIRECT(ADDRESS(2,COLUMN())),OFFSET($BN$2,0,0,ROW()-1,60),ROW()-1,FALSE))</f>
        <v>654.57799999999997</v>
      </c>
      <c r="H34">
        <f ca="1">IF(AND(ISNUMBER($H$267),$B$183=1),$H$267,HLOOKUP(INDIRECT(ADDRESS(2,COLUMN())),OFFSET($BN$2,0,0,ROW()-1,60),ROW()-1,FALSE))</f>
        <v>697.35299999999995</v>
      </c>
      <c r="I34">
        <f ca="1">IF(AND(ISNUMBER($I$267),$B$183=1),$I$267,HLOOKUP(INDIRECT(ADDRESS(2,COLUMN())),OFFSET($BN$2,0,0,ROW()-1,60),ROW()-1,FALSE))</f>
        <v>579.81799999999998</v>
      </c>
      <c r="J34">
        <f ca="1">IF(AND(ISNUMBER($J$267),$B$183=1),$J$267,HLOOKUP(INDIRECT(ADDRESS(2,COLUMN())),OFFSET($BN$2,0,0,ROW()-1,60),ROW()-1,FALSE))</f>
        <v>660.19399999999996</v>
      </c>
      <c r="K34">
        <f ca="1">IF(AND(ISNUMBER($K$267),$B$183=1),$K$267,HLOOKUP(INDIRECT(ADDRESS(2,COLUMN())),OFFSET($BN$2,0,0,ROW()-1,60),ROW()-1,FALSE))</f>
        <v>614.69399999999996</v>
      </c>
      <c r="L34">
        <f ca="1">IF(AND(ISNUMBER($L$267),$B$183=1),$L$267,HLOOKUP(INDIRECT(ADDRESS(2,COLUMN())),OFFSET($BN$2,0,0,ROW()-1,60),ROW()-1,FALSE))</f>
        <v>547.80600000000004</v>
      </c>
      <c r="M34">
        <f ca="1">IF(AND(ISNUMBER($M$267),$B$183=1),$M$267,HLOOKUP(INDIRECT(ADDRESS(2,COLUMN())),OFFSET($BN$2,0,0,ROW()-1,60),ROW()-1,FALSE))</f>
        <v>492.27699999999999</v>
      </c>
      <c r="N34">
        <f ca="1">IF(AND(ISNUMBER($N$267),$B$183=1),$N$267,HLOOKUP(INDIRECT(ADDRESS(2,COLUMN())),OFFSET($BN$2,0,0,ROW()-1,60),ROW()-1,FALSE))</f>
        <v>501.49700000000001</v>
      </c>
      <c r="O34">
        <f ca="1">IF(AND(ISNUMBER($O$267),$B$183=1),$O$267,HLOOKUP(INDIRECT(ADDRESS(2,COLUMN())),OFFSET($BN$2,0,0,ROW()-1,60),ROW()-1,FALSE))</f>
        <v>0</v>
      </c>
      <c r="P34">
        <f ca="1">IF(AND(ISNUMBER($P$267),$B$183=1),$P$267,HLOOKUP(INDIRECT(ADDRESS(2,COLUMN())),OFFSET($BN$2,0,0,ROW()-1,60),ROW()-1,FALSE))</f>
        <v>0</v>
      </c>
      <c r="Q34">
        <f ca="1">IF(AND(ISNUMBER($Q$267),$B$183=1),$Q$267,HLOOKUP(INDIRECT(ADDRESS(2,COLUMN())),OFFSET($BN$2,0,0,ROW()-1,60),ROW()-1,FALSE))</f>
        <v>0</v>
      </c>
      <c r="R34">
        <f ca="1">IF(AND(ISNUMBER($R$267),$B$183=1),$R$267,HLOOKUP(INDIRECT(ADDRESS(2,COLUMN())),OFFSET($BN$2,0,0,ROW()-1,60),ROW()-1,FALSE))</f>
        <v>0</v>
      </c>
      <c r="S34">
        <f ca="1">IF(AND(ISNUMBER($S$267),$B$183=1),$S$267,HLOOKUP(INDIRECT(ADDRESS(2,COLUMN())),OFFSET($BN$2,0,0,ROW()-1,60),ROW()-1,FALSE))</f>
        <v>0</v>
      </c>
      <c r="T34">
        <f ca="1">IF(AND(ISNUMBER($T$267),$B$183=1),$T$267,HLOOKUP(INDIRECT(ADDRESS(2,COLUMN())),OFFSET($BN$2,0,0,ROW()-1,60),ROW()-1,FALSE))</f>
        <v>0</v>
      </c>
      <c r="U34">
        <f ca="1">IF(AND(ISNUMBER($U$267),$B$183=1),$U$267,HLOOKUP(INDIRECT(ADDRESS(2,COLUMN())),OFFSET($BN$2,0,0,ROW()-1,60),ROW()-1,FALSE))</f>
        <v>0</v>
      </c>
      <c r="V34">
        <f ca="1">IF(AND(ISNUMBER($V$267),$B$183=1),$V$267,HLOOKUP(INDIRECT(ADDRESS(2,COLUMN())),OFFSET($BN$2,0,0,ROW()-1,60),ROW()-1,FALSE))</f>
        <v>0</v>
      </c>
      <c r="W34">
        <f ca="1">IF(AND(ISNUMBER($W$267),$B$183=1),$W$267,HLOOKUP(INDIRECT(ADDRESS(2,COLUMN())),OFFSET($BN$2,0,0,ROW()-1,60),ROW()-1,FALSE))</f>
        <v>0</v>
      </c>
      <c r="X34">
        <f ca="1">IF(AND(ISNUMBER($X$267),$B$183=1),$X$267,HLOOKUP(INDIRECT(ADDRESS(2,COLUMN())),OFFSET($BN$2,0,0,ROW()-1,60),ROW()-1,FALSE))</f>
        <v>0</v>
      </c>
      <c r="Y34">
        <f ca="1">IF(AND(ISNUMBER($Y$267),$B$183=1),$Y$267,HLOOKUP(INDIRECT(ADDRESS(2,COLUMN())),OFFSET($BN$2,0,0,ROW()-1,60),ROW()-1,FALSE))</f>
        <v>0</v>
      </c>
      <c r="Z34">
        <f ca="1">IF(AND(ISNUMBER($Z$267),$B$183=1),$Z$267,HLOOKUP(INDIRECT(ADDRESS(2,COLUMN())),OFFSET($BN$2,0,0,ROW()-1,60),ROW()-1,FALSE))</f>
        <v>0</v>
      </c>
      <c r="AA34">
        <f ca="1">IF(AND(ISNUMBER($AA$267),$B$183=1),$AA$267,HLOOKUP(INDIRECT(ADDRESS(2,COLUMN())),OFFSET($BN$2,0,0,ROW()-1,60),ROW()-1,FALSE))</f>
        <v>0</v>
      </c>
      <c r="AB34">
        <f ca="1">IF(AND(ISNUMBER($AB$267),$B$183=1),$AB$267,HLOOKUP(INDIRECT(ADDRESS(2,COLUMN())),OFFSET($BN$2,0,0,ROW()-1,60),ROW()-1,FALSE))</f>
        <v>0</v>
      </c>
      <c r="AC34">
        <f ca="1">IF(AND(ISNUMBER($AC$267),$B$183=1),$AC$267,HLOOKUP(INDIRECT(ADDRESS(2,COLUMN())),OFFSET($BN$2,0,0,ROW()-1,60),ROW()-1,FALSE))</f>
        <v>0</v>
      </c>
      <c r="AD34">
        <f ca="1">IF(AND(ISNUMBER($AD$267),$B$183=1),$AD$267,HLOOKUP(INDIRECT(ADDRESS(2,COLUMN())),OFFSET($BN$2,0,0,ROW()-1,60),ROW()-1,FALSE))</f>
        <v>0</v>
      </c>
      <c r="AE34">
        <f ca="1">IF(AND(ISNUMBER($AE$267),$B$183=1),$AE$267,HLOOKUP(INDIRECT(ADDRESS(2,COLUMN())),OFFSET($BN$2,0,0,ROW()-1,60),ROW()-1,FALSE))</f>
        <v>0</v>
      </c>
      <c r="AF34">
        <f ca="1">IF(AND(ISNUMBER($AF$267),$B$183=1),$AF$267,HLOOKUP(INDIRECT(ADDRESS(2,COLUMN())),OFFSET($BN$2,0,0,ROW()-1,60),ROW()-1,FALSE))</f>
        <v>0</v>
      </c>
      <c r="AG34">
        <f ca="1">IF(AND(ISNUMBER($AG$267),$B$183=1),$AG$267,HLOOKUP(INDIRECT(ADDRESS(2,COLUMN())),OFFSET($BN$2,0,0,ROW()-1,60),ROW()-1,FALSE))</f>
        <v>0</v>
      </c>
      <c r="AH34">
        <f ca="1">IF(AND(ISNUMBER($AH$267),$B$183=1),$AH$267,HLOOKUP(INDIRECT(ADDRESS(2,COLUMN())),OFFSET($BN$2,0,0,ROW()-1,60),ROW()-1,FALSE))</f>
        <v>0</v>
      </c>
      <c r="AI34">
        <f ca="1">IF(AND(ISNUMBER($AI$267),$B$183=1),$AI$267,HLOOKUP(INDIRECT(ADDRESS(2,COLUMN())),OFFSET($BN$2,0,0,ROW()-1,60),ROW()-1,FALSE))</f>
        <v>40.673999999999999</v>
      </c>
      <c r="AJ34">
        <f ca="1">IF(AND(ISNUMBER($AJ$267),$B$183=1),$AJ$267,HLOOKUP(INDIRECT(ADDRESS(2,COLUMN())),OFFSET($BN$2,0,0,ROW()-1,60),ROW()-1,FALSE))</f>
        <v>21.696999999999999</v>
      </c>
      <c r="AK34">
        <f ca="1">IF(AND(ISNUMBER($AK$267),$B$183=1),$AK$267,HLOOKUP(INDIRECT(ADDRESS(2,COLUMN())),OFFSET($BN$2,0,0,ROW()-1,60),ROW()-1,FALSE))</f>
        <v>33.828000000000003</v>
      </c>
      <c r="AL34">
        <f ca="1">IF(AND(ISNUMBER($AL$267),$B$183=1),$AL$267,HLOOKUP(INDIRECT(ADDRESS(2,COLUMN())),OFFSET($BN$2,0,0,ROW()-1,60),ROW()-1,FALSE))</f>
        <v>16.968</v>
      </c>
      <c r="AM34">
        <f ca="1">IF(AND(ISNUMBER($AM$267),$B$183=1),$AM$267,HLOOKUP(INDIRECT(ADDRESS(2,COLUMN())),OFFSET($BN$2,0,0,ROW()-1,60),ROW()-1,FALSE))</f>
        <v>-71.167000000000002</v>
      </c>
      <c r="AN34">
        <f ca="1">IF(AND(ISNUMBER($AN$267),$B$183=1),$AN$267,HLOOKUP(INDIRECT(ADDRESS(2,COLUMN())),OFFSET($BN$2,0,0,ROW()-1,60),ROW()-1,FALSE))</f>
        <v>30.114000000000001</v>
      </c>
      <c r="AO34">
        <f ca="1">IF(AND(ISNUMBER($AO$267),$B$183=1),$AO$267,HLOOKUP(INDIRECT(ADDRESS(2,COLUMN())),OFFSET($BN$2,0,0,ROW()-1,60),ROW()-1,FALSE))</f>
        <v>28.952999999999999</v>
      </c>
      <c r="AP34">
        <f ca="1">IF(AND(ISNUMBER($AP$267),$B$183=1),$AP$267,HLOOKUP(INDIRECT(ADDRESS(2,COLUMN())),OFFSET($BN$2,0,0,ROW()-1,60),ROW()-1,FALSE))</f>
        <v>40.335000000000001</v>
      </c>
      <c r="AQ34">
        <f ca="1">IF(AND(ISNUMBER($AQ$267),$B$183=1),$AQ$267,HLOOKUP(INDIRECT(ADDRESS(2,COLUMN())),OFFSET($BN$2,0,0,ROW()-1,60),ROW()-1,FALSE))</f>
        <v>40.865000000000002</v>
      </c>
      <c r="AR34">
        <f ca="1">IF(AND(ISNUMBER($AR$267),$B$183=1),$AR$267,HLOOKUP(INDIRECT(ADDRESS(2,COLUMN())),OFFSET($BN$2,0,0,ROW()-1,60),ROW()-1,FALSE))</f>
        <v>35.47</v>
      </c>
      <c r="AS34">
        <f ca="1">IF(AND(ISNUMBER($AS$267),$B$183=1),$AS$267,HLOOKUP(INDIRECT(ADDRESS(2,COLUMN())),OFFSET($BN$2,0,0,ROW()-1,60),ROW()-1,FALSE))</f>
        <v>33.734000000000002</v>
      </c>
      <c r="AT34">
        <f ca="1">IF(AND(ISNUMBER($AT$267),$B$183=1),$AT$267,HLOOKUP(INDIRECT(ADDRESS(2,COLUMN())),OFFSET($BN$2,0,0,ROW()-1,60),ROW()-1,FALSE))</f>
        <v>33.201999999999998</v>
      </c>
      <c r="AU34">
        <f ca="1">IF(AND(ISNUMBER($AU$267),$B$183=1),$AU$267,HLOOKUP(INDIRECT(ADDRESS(2,COLUMN())),OFFSET($BN$2,0,0,ROW()-1,60),ROW()-1,FALSE))</f>
        <v>29.562999999999999</v>
      </c>
      <c r="AV34">
        <f ca="1">IF(AND(ISNUMBER($AV$267),$B$183=1),$AV$267,HLOOKUP(INDIRECT(ADDRESS(2,COLUMN())),OFFSET($BN$2,0,0,ROW()-1,60),ROW()-1,FALSE))</f>
        <v>26.696000000000002</v>
      </c>
      <c r="AW34">
        <f ca="1">IF(AND(ISNUMBER($AW$267),$B$183=1),$AW$267,HLOOKUP(INDIRECT(ADDRESS(2,COLUMN())),OFFSET($BN$2,0,0,ROW()-1,60),ROW()-1,FALSE))</f>
        <v>26.199000000000002</v>
      </c>
      <c r="AX34">
        <f ca="1">IF(AND(ISNUMBER($AX$267),$B$183=1),$AX$267,HLOOKUP(INDIRECT(ADDRESS(2,COLUMN())),OFFSET($BN$2,0,0,ROW()-1,60),ROW()-1,FALSE))</f>
        <v>26.111000000000001</v>
      </c>
      <c r="AY34">
        <f ca="1">IF(AND(ISNUMBER($AY$267),$B$183=1),$AY$267,HLOOKUP(INDIRECT(ADDRESS(2,COLUMN())),OFFSET($BN$2,0,0,ROW()-1,60),ROW()-1,FALSE))</f>
        <v>64.007000000000005</v>
      </c>
      <c r="AZ34">
        <f ca="1">IF(AND(ISNUMBER($AZ$267),$B$183=1),$AZ$267,HLOOKUP(INDIRECT(ADDRESS(2,COLUMN())),OFFSET($BN$2,0,0,ROW()-1,60),ROW()-1,FALSE))</f>
        <v>56.734999999999999</v>
      </c>
      <c r="BA34">
        <f ca="1">IF(AND(ISNUMBER($BA$267),$B$183=1),$BA$267,HLOOKUP(INDIRECT(ADDRESS(2,COLUMN())),OFFSET($BN$2,0,0,ROW()-1,60),ROW()-1,FALSE))</f>
        <v>29.718</v>
      </c>
      <c r="BB34">
        <f ca="1">IF(AND(ISNUMBER($BB$267),$B$183=1),$BB$267,HLOOKUP(INDIRECT(ADDRESS(2,COLUMN())),OFFSET($BN$2,0,0,ROW()-1,60),ROW()-1,FALSE))</f>
        <v>28.251999999999999</v>
      </c>
      <c r="BC34">
        <f ca="1">IF(AND(ISNUMBER($BC$267),$B$183=1),$BC$267,HLOOKUP(INDIRECT(ADDRESS(2,COLUMN())),OFFSET($BN$2,0,0,ROW()-1,60),ROW()-1,FALSE))</f>
        <v>92.713999999999999</v>
      </c>
      <c r="BD34">
        <f ca="1">IF(AND(ISNUMBER($BD$267),$B$183=1),$BD$267,HLOOKUP(INDIRECT(ADDRESS(2,COLUMN())),OFFSET($BN$2,0,0,ROW()-1,60),ROW()-1,FALSE))</f>
        <v>83.757000000000005</v>
      </c>
      <c r="BE34">
        <f ca="1">IF(AND(ISNUMBER($BE$267),$B$183=1),$BE$267,HLOOKUP(INDIRECT(ADDRESS(2,COLUMN())),OFFSET($BN$2,0,0,ROW()-1,60),ROW()-1,FALSE))</f>
        <v>73.465000000000003</v>
      </c>
      <c r="BF34">
        <f ca="1">IF(AND(ISNUMBER($BF$267),$B$183=1),$BF$267,HLOOKUP(INDIRECT(ADDRESS(2,COLUMN())),OFFSET($BN$2,0,0,ROW()-1,60),ROW()-1,FALSE))</f>
        <v>73.543999999999997</v>
      </c>
      <c r="BG34">
        <f ca="1">IF(AND(ISNUMBER($BG$267),$B$183=1),$BG$267,HLOOKUP(INDIRECT(ADDRESS(2,COLUMN())),OFFSET($BN$2,0,0,ROW()-1,60),ROW()-1,FALSE))</f>
        <v>73.448999999999998</v>
      </c>
      <c r="BH34">
        <f ca="1">IF(AND(ISNUMBER($BH$267),$B$183=1),$BH$267,HLOOKUP(INDIRECT(ADDRESS(2,COLUMN())),OFFSET($BN$2,0,0,ROW()-1,60),ROW()-1,FALSE))</f>
        <v>62.411000000000001</v>
      </c>
      <c r="BI34">
        <f ca="1">IF(AND(ISNUMBER($BI$267),$B$183=1),$BI$267,HLOOKUP(INDIRECT(ADDRESS(2,COLUMN())),OFFSET($BN$2,0,0,ROW()-1,60),ROW()-1,FALSE))</f>
        <v>67.489999999999995</v>
      </c>
      <c r="BJ34">
        <f ca="1">IF(AND(ISNUMBER($BJ$267),$B$183=1),$BJ$267,HLOOKUP(INDIRECT(ADDRESS(2,COLUMN())),OFFSET($BN$2,0,0,ROW()-1,60),ROW()-1,FALSE))</f>
        <v>54.095999999999997</v>
      </c>
      <c r="BK34">
        <f ca="1">IF(AND(ISNUMBER($BK$267),$B$183=1),$BK$267,HLOOKUP(INDIRECT(ADDRESS(2,COLUMN())),OFFSET($BN$2,0,0,ROW()-1,60),ROW()-1,FALSE))</f>
        <v>58.670999999999999</v>
      </c>
      <c r="BL34">
        <f ca="1">IF(AND(ISNUMBER($BL$267),$B$183=1),$BL$267,HLOOKUP(INDIRECT(ADDRESS(2,COLUMN())),OFFSET($BN$2,0,0,ROW()-1,60),ROW()-1,FALSE))</f>
        <v>40.15</v>
      </c>
      <c r="BM34">
        <f ca="1">IF(AND(ISNUMBER($BM$267),$B$183=1),$BM$267,HLOOKUP(INDIRECT(ADDRESS(2,COLUMN())),OFFSET($BN$2,0,0,ROW()-1,60),ROW()-1,FALSE))</f>
        <v>38.628</v>
      </c>
      <c r="BN34">
        <f>635.3937036</f>
        <v>635.39370359999998</v>
      </c>
      <c r="BO34">
        <f>654.578</f>
        <v>654.57799999999997</v>
      </c>
      <c r="BP34">
        <f>697.353</f>
        <v>697.35299999999995</v>
      </c>
      <c r="BQ34">
        <f>579.818</f>
        <v>579.81799999999998</v>
      </c>
      <c r="BR34">
        <f>660.194</f>
        <v>660.19399999999996</v>
      </c>
      <c r="BS34">
        <f>614.694</f>
        <v>614.69399999999996</v>
      </c>
      <c r="BT34">
        <f>547.806</f>
        <v>547.80600000000004</v>
      </c>
      <c r="BU34">
        <f>492.277</f>
        <v>492.27699999999999</v>
      </c>
      <c r="BV34">
        <f>501.497</f>
        <v>501.49700000000001</v>
      </c>
      <c r="BW34">
        <f>0</f>
        <v>0</v>
      </c>
      <c r="BX34">
        <f>0</f>
        <v>0</v>
      </c>
      <c r="BY34">
        <f>0</f>
        <v>0</v>
      </c>
      <c r="BZ34">
        <f>0</f>
        <v>0</v>
      </c>
      <c r="CA34">
        <f>0</f>
        <v>0</v>
      </c>
      <c r="CB34">
        <f>0</f>
        <v>0</v>
      </c>
      <c r="CC34">
        <f>0</f>
        <v>0</v>
      </c>
      <c r="CD34">
        <f>0</f>
        <v>0</v>
      </c>
      <c r="CE34">
        <f>0</f>
        <v>0</v>
      </c>
      <c r="CF34">
        <f>0</f>
        <v>0</v>
      </c>
      <c r="CG34">
        <f>0</f>
        <v>0</v>
      </c>
      <c r="CH34">
        <f>0</f>
        <v>0</v>
      </c>
      <c r="CI34">
        <f>0</f>
        <v>0</v>
      </c>
      <c r="CJ34">
        <f>0</f>
        <v>0</v>
      </c>
      <c r="CK34">
        <f>0</f>
        <v>0</v>
      </c>
      <c r="CL34">
        <f>0</f>
        <v>0</v>
      </c>
      <c r="CM34">
        <f>0</f>
        <v>0</v>
      </c>
      <c r="CN34">
        <f>0</f>
        <v>0</v>
      </c>
      <c r="CO34">
        <f>0</f>
        <v>0</v>
      </c>
      <c r="CP34">
        <f>0</f>
        <v>0</v>
      </c>
      <c r="CQ34">
        <f>40.674</f>
        <v>40.673999999999999</v>
      </c>
      <c r="CR34">
        <f>21.697</f>
        <v>21.696999999999999</v>
      </c>
      <c r="CS34">
        <f>33.828</f>
        <v>33.828000000000003</v>
      </c>
      <c r="CT34">
        <f>16.968</f>
        <v>16.968</v>
      </c>
      <c r="CU34">
        <f>-71.167</f>
        <v>-71.167000000000002</v>
      </c>
      <c r="CV34">
        <f>30.114</f>
        <v>30.114000000000001</v>
      </c>
      <c r="CW34">
        <f>28.953</f>
        <v>28.952999999999999</v>
      </c>
      <c r="CX34">
        <f>40.335</f>
        <v>40.335000000000001</v>
      </c>
      <c r="CY34">
        <f>40.865</f>
        <v>40.865000000000002</v>
      </c>
      <c r="CZ34">
        <f>35.47</f>
        <v>35.47</v>
      </c>
      <c r="DA34">
        <f>33.734</f>
        <v>33.734000000000002</v>
      </c>
      <c r="DB34">
        <f>33.202</f>
        <v>33.201999999999998</v>
      </c>
      <c r="DC34">
        <f>29.563</f>
        <v>29.562999999999999</v>
      </c>
      <c r="DD34">
        <f>26.696</f>
        <v>26.696000000000002</v>
      </c>
      <c r="DE34">
        <f>26.199</f>
        <v>26.199000000000002</v>
      </c>
      <c r="DF34">
        <f>26.111</f>
        <v>26.111000000000001</v>
      </c>
      <c r="DG34">
        <f>64.007</f>
        <v>64.007000000000005</v>
      </c>
      <c r="DH34">
        <f>56.735</f>
        <v>56.734999999999999</v>
      </c>
      <c r="DI34">
        <f>29.718</f>
        <v>29.718</v>
      </c>
      <c r="DJ34">
        <f>28.252</f>
        <v>28.251999999999999</v>
      </c>
      <c r="DK34">
        <f>92.714</f>
        <v>92.713999999999999</v>
      </c>
      <c r="DL34">
        <f>83.757</f>
        <v>83.757000000000005</v>
      </c>
      <c r="DM34">
        <f>73.465</f>
        <v>73.465000000000003</v>
      </c>
      <c r="DN34">
        <f>73.544</f>
        <v>73.543999999999997</v>
      </c>
      <c r="DO34">
        <f>73.449</f>
        <v>73.448999999999998</v>
      </c>
      <c r="DP34">
        <f>62.411</f>
        <v>62.411000000000001</v>
      </c>
      <c r="DQ34">
        <f>67.49</f>
        <v>67.489999999999995</v>
      </c>
      <c r="DR34">
        <f>54.096</f>
        <v>54.095999999999997</v>
      </c>
      <c r="DS34">
        <f>58.671</f>
        <v>58.670999999999999</v>
      </c>
      <c r="DT34">
        <f>40.15</f>
        <v>40.15</v>
      </c>
      <c r="DU34">
        <f>38.628</f>
        <v>38.628</v>
      </c>
    </row>
    <row r="35" spans="1:125">
      <c r="A35" t="str">
        <f>"    "</f>
        <v xml:space="preserve">    </v>
      </c>
      <c r="B35" t="str">
        <f>""</f>
        <v/>
      </c>
      <c r="E35" t="str">
        <f>"静态"</f>
        <v>静态</v>
      </c>
      <c r="F35" t="str">
        <f t="shared" ref="F35:AK35" ca="1" si="3">HLOOKUP(INDIRECT(ADDRESS(2,COLUMN())),OFFSET($BN$2,0,0,ROW()-1,60),ROW()-1,FALSE)</f>
        <v/>
      </c>
      <c r="G35" t="str">
        <f t="shared" ca="1" si="3"/>
        <v/>
      </c>
      <c r="H35" t="str">
        <f t="shared" ca="1" si="3"/>
        <v/>
      </c>
      <c r="I35" t="str">
        <f t="shared" ca="1" si="3"/>
        <v/>
      </c>
      <c r="J35" t="str">
        <f t="shared" ca="1" si="3"/>
        <v/>
      </c>
      <c r="K35" t="str">
        <f t="shared" ca="1" si="3"/>
        <v/>
      </c>
      <c r="L35" t="str">
        <f t="shared" ca="1" si="3"/>
        <v/>
      </c>
      <c r="M35" t="str">
        <f t="shared" ca="1" si="3"/>
        <v/>
      </c>
      <c r="N35" t="str">
        <f t="shared" ca="1" si="3"/>
        <v/>
      </c>
      <c r="O35" t="str">
        <f t="shared" ca="1" si="3"/>
        <v/>
      </c>
      <c r="P35" t="str">
        <f t="shared" ca="1" si="3"/>
        <v/>
      </c>
      <c r="Q35" t="str">
        <f t="shared" ca="1" si="3"/>
        <v/>
      </c>
      <c r="R35" t="str">
        <f t="shared" ca="1" si="3"/>
        <v/>
      </c>
      <c r="S35" t="str">
        <f t="shared" ca="1" si="3"/>
        <v/>
      </c>
      <c r="T35" t="str">
        <f t="shared" ca="1" si="3"/>
        <v/>
      </c>
      <c r="U35" t="str">
        <f t="shared" ca="1" si="3"/>
        <v/>
      </c>
      <c r="V35" t="str">
        <f t="shared" ca="1" si="3"/>
        <v/>
      </c>
      <c r="W35" t="str">
        <f t="shared" ca="1" si="3"/>
        <v/>
      </c>
      <c r="X35" t="str">
        <f t="shared" ca="1" si="3"/>
        <v/>
      </c>
      <c r="Y35" t="str">
        <f t="shared" ca="1" si="3"/>
        <v/>
      </c>
      <c r="Z35" t="str">
        <f t="shared" ca="1" si="3"/>
        <v/>
      </c>
      <c r="AA35" t="str">
        <f t="shared" ca="1" si="3"/>
        <v/>
      </c>
      <c r="AB35" t="str">
        <f t="shared" ca="1" si="3"/>
        <v/>
      </c>
      <c r="AC35" t="str">
        <f t="shared" ca="1" si="3"/>
        <v/>
      </c>
      <c r="AD35" t="str">
        <f t="shared" ca="1" si="3"/>
        <v/>
      </c>
      <c r="AE35" t="str">
        <f t="shared" ca="1" si="3"/>
        <v/>
      </c>
      <c r="AF35" t="str">
        <f t="shared" ca="1" si="3"/>
        <v/>
      </c>
      <c r="AG35" t="str">
        <f t="shared" ca="1" si="3"/>
        <v/>
      </c>
      <c r="AH35" t="str">
        <f t="shared" ca="1" si="3"/>
        <v/>
      </c>
      <c r="AI35" t="str">
        <f t="shared" ca="1" si="3"/>
        <v/>
      </c>
      <c r="AJ35" t="str">
        <f t="shared" ca="1" si="3"/>
        <v/>
      </c>
      <c r="AK35" t="str">
        <f t="shared" ca="1" si="3"/>
        <v/>
      </c>
      <c r="AL35" t="str">
        <f t="shared" ref="AL35:BM35" ca="1" si="4">HLOOKUP(INDIRECT(ADDRESS(2,COLUMN())),OFFSET($BN$2,0,0,ROW()-1,60),ROW()-1,FALSE)</f>
        <v/>
      </c>
      <c r="AM35" t="str">
        <f t="shared" ca="1" si="4"/>
        <v/>
      </c>
      <c r="AN35" t="str">
        <f t="shared" ca="1" si="4"/>
        <v/>
      </c>
      <c r="AO35" t="str">
        <f t="shared" ca="1" si="4"/>
        <v/>
      </c>
      <c r="AP35" t="str">
        <f t="shared" ca="1" si="4"/>
        <v/>
      </c>
      <c r="AQ35" t="str">
        <f t="shared" ca="1" si="4"/>
        <v/>
      </c>
      <c r="AR35" t="str">
        <f t="shared" ca="1" si="4"/>
        <v/>
      </c>
      <c r="AS35" t="str">
        <f t="shared" ca="1" si="4"/>
        <v/>
      </c>
      <c r="AT35" t="str">
        <f t="shared" ca="1" si="4"/>
        <v/>
      </c>
      <c r="AU35" t="str">
        <f t="shared" ca="1" si="4"/>
        <v/>
      </c>
      <c r="AV35" t="str">
        <f t="shared" ca="1" si="4"/>
        <v/>
      </c>
      <c r="AW35" t="str">
        <f t="shared" ca="1" si="4"/>
        <v/>
      </c>
      <c r="AX35" t="str">
        <f t="shared" ca="1" si="4"/>
        <v/>
      </c>
      <c r="AY35" t="str">
        <f t="shared" ca="1" si="4"/>
        <v/>
      </c>
      <c r="AZ35" t="str">
        <f t="shared" ca="1" si="4"/>
        <v/>
      </c>
      <c r="BA35" t="str">
        <f t="shared" ca="1" si="4"/>
        <v/>
      </c>
      <c r="BB35" t="str">
        <f t="shared" ca="1" si="4"/>
        <v/>
      </c>
      <c r="BC35" t="str">
        <f t="shared" ca="1" si="4"/>
        <v/>
      </c>
      <c r="BD35" t="str">
        <f t="shared" ca="1" si="4"/>
        <v/>
      </c>
      <c r="BE35" t="str">
        <f t="shared" ca="1" si="4"/>
        <v/>
      </c>
      <c r="BF35" t="str">
        <f t="shared" ca="1" si="4"/>
        <v/>
      </c>
      <c r="BG35" t="str">
        <f t="shared" ca="1" si="4"/>
        <v/>
      </c>
      <c r="BH35" t="str">
        <f t="shared" ca="1" si="4"/>
        <v/>
      </c>
      <c r="BI35" t="str">
        <f t="shared" ca="1" si="4"/>
        <v/>
      </c>
      <c r="BJ35" t="str">
        <f t="shared" ca="1" si="4"/>
        <v/>
      </c>
      <c r="BK35" t="str">
        <f t="shared" ca="1" si="4"/>
        <v/>
      </c>
      <c r="BL35" t="str">
        <f t="shared" ca="1" si="4"/>
        <v/>
      </c>
      <c r="BM35" t="str">
        <f t="shared" ca="1" si="4"/>
        <v/>
      </c>
      <c r="BN35" t="str">
        <f>""</f>
        <v/>
      </c>
      <c r="BO35" t="str">
        <f>""</f>
        <v/>
      </c>
      <c r="BP35" t="str">
        <f>""</f>
        <v/>
      </c>
      <c r="BQ35" t="str">
        <f>""</f>
        <v/>
      </c>
      <c r="BR35" t="str">
        <f>""</f>
        <v/>
      </c>
      <c r="BS35" t="str">
        <f>""</f>
        <v/>
      </c>
      <c r="BT35" t="str">
        <f>""</f>
        <v/>
      </c>
      <c r="BU35" t="str">
        <f>""</f>
        <v/>
      </c>
      <c r="BV35" t="str">
        <f>""</f>
        <v/>
      </c>
      <c r="BW35" t="str">
        <f>""</f>
        <v/>
      </c>
      <c r="BX35" t="str">
        <f>""</f>
        <v/>
      </c>
      <c r="BY35" t="str">
        <f>""</f>
        <v/>
      </c>
      <c r="BZ35" t="str">
        <f>""</f>
        <v/>
      </c>
      <c r="CA35" t="str">
        <f>""</f>
        <v/>
      </c>
      <c r="CB35" t="str">
        <f>""</f>
        <v/>
      </c>
      <c r="CC35" t="str">
        <f>""</f>
        <v/>
      </c>
      <c r="CD35" t="str">
        <f>""</f>
        <v/>
      </c>
      <c r="CE35" t="str">
        <f>""</f>
        <v/>
      </c>
      <c r="CF35" t="str">
        <f>""</f>
        <v/>
      </c>
      <c r="CG35" t="str">
        <f>""</f>
        <v/>
      </c>
      <c r="CH35" t="str">
        <f>""</f>
        <v/>
      </c>
      <c r="CI35" t="str">
        <f>""</f>
        <v/>
      </c>
      <c r="CJ35" t="str">
        <f>""</f>
        <v/>
      </c>
      <c r="CK35" t="str">
        <f>""</f>
        <v/>
      </c>
      <c r="CL35" t="str">
        <f>""</f>
        <v/>
      </c>
      <c r="CM35" t="str">
        <f>""</f>
        <v/>
      </c>
      <c r="CN35" t="str">
        <f>""</f>
        <v/>
      </c>
      <c r="CO35" t="str">
        <f>""</f>
        <v/>
      </c>
      <c r="CP35" t="str">
        <f>""</f>
        <v/>
      </c>
      <c r="CQ35" t="str">
        <f>""</f>
        <v/>
      </c>
      <c r="CR35" t="str">
        <f>""</f>
        <v/>
      </c>
      <c r="CS35" t="str">
        <f>""</f>
        <v/>
      </c>
      <c r="CT35" t="str">
        <f>""</f>
        <v/>
      </c>
      <c r="CU35" t="str">
        <f>""</f>
        <v/>
      </c>
      <c r="CV35" t="str">
        <f>""</f>
        <v/>
      </c>
      <c r="CW35" t="str">
        <f>""</f>
        <v/>
      </c>
      <c r="CX35" t="str">
        <f>""</f>
        <v/>
      </c>
      <c r="CY35" t="str">
        <f>""</f>
        <v/>
      </c>
      <c r="CZ35" t="str">
        <f>""</f>
        <v/>
      </c>
      <c r="DA35" t="str">
        <f>""</f>
        <v/>
      </c>
      <c r="DB35" t="str">
        <f>""</f>
        <v/>
      </c>
      <c r="DC35" t="str">
        <f>""</f>
        <v/>
      </c>
      <c r="DD35" t="str">
        <f>""</f>
        <v/>
      </c>
      <c r="DE35" t="str">
        <f>""</f>
        <v/>
      </c>
      <c r="DF35" t="str">
        <f>""</f>
        <v/>
      </c>
      <c r="DG35" t="str">
        <f>""</f>
        <v/>
      </c>
      <c r="DH35" t="str">
        <f>""</f>
        <v/>
      </c>
      <c r="DI35" t="str">
        <f>""</f>
        <v/>
      </c>
      <c r="DJ35" t="str">
        <f>""</f>
        <v/>
      </c>
      <c r="DK35" t="str">
        <f>""</f>
        <v/>
      </c>
      <c r="DL35" t="str">
        <f>""</f>
        <v/>
      </c>
      <c r="DM35" t="str">
        <f>""</f>
        <v/>
      </c>
      <c r="DN35" t="str">
        <f>""</f>
        <v/>
      </c>
      <c r="DO35" t="str">
        <f>""</f>
        <v/>
      </c>
      <c r="DP35" t="str">
        <f>""</f>
        <v/>
      </c>
      <c r="DQ35" t="str">
        <f>""</f>
        <v/>
      </c>
      <c r="DR35" t="str">
        <f>""</f>
        <v/>
      </c>
      <c r="DS35" t="str">
        <f>""</f>
        <v/>
      </c>
      <c r="DT35" t="str">
        <f>""</f>
        <v/>
      </c>
      <c r="DU35" t="str">
        <f>""</f>
        <v/>
      </c>
    </row>
    <row r="36" spans="1:125">
      <c r="A36" t="str">
        <f>"    Sequential % Change in FFO for All Equity REITs"</f>
        <v xml:space="preserve">    Sequential % Change in FFO for All Equity REITs</v>
      </c>
      <c r="B36" t="str">
        <f>"RECFFOQQ Index"</f>
        <v>RECFFOQQ Index</v>
      </c>
      <c r="C36" t="str">
        <f>"PR005"</f>
        <v>PR005</v>
      </c>
      <c r="D36" t="str">
        <f>"PX_LAST"</f>
        <v>PX_LAST</v>
      </c>
      <c r="E36" t="str">
        <f>"动态"</f>
        <v>动态</v>
      </c>
      <c r="F36">
        <f ca="1">IF(AND(ISNUMBER($F$268),$B$183=1),$F$268,HLOOKUP(INDIRECT(ADDRESS(2,COLUMN())),OFFSET($BN$2,0,0,ROW()-1,60),ROW()-1,FALSE))</f>
        <v>3.164370243</v>
      </c>
      <c r="G36">
        <f ca="1">IF(AND(ISNUMBER($G$268),$B$183=1),$G$268,HLOOKUP(INDIRECT(ADDRESS(2,COLUMN())),OFFSET($BN$2,0,0,ROW()-1,60),ROW()-1,FALSE))</f>
        <v>-5.3116847109999998</v>
      </c>
      <c r="H36">
        <f ca="1">IF(AND(ISNUMBER($H$268),$B$183=1),$H$268,HLOOKUP(INDIRECT(ADDRESS(2,COLUMN())),OFFSET($BN$2,0,0,ROW()-1,60),ROW()-1,FALSE))</f>
        <v>7.3288858269999997</v>
      </c>
      <c r="I36">
        <f ca="1">IF(AND(ISNUMBER($I$268),$B$183=1),$I$268,HLOOKUP(INDIRECT(ADDRESS(2,COLUMN())),OFFSET($BN$2,0,0,ROW()-1,60),ROW()-1,FALSE))</f>
        <v>-3.2799330790000001</v>
      </c>
      <c r="J36">
        <f ca="1">IF(AND(ISNUMBER($J$268),$B$183=1),$J$268,HLOOKUP(INDIRECT(ADDRESS(2,COLUMN())),OFFSET($BN$2,0,0,ROW()-1,60),ROW()-1,FALSE))</f>
        <v>8.7021998509999996</v>
      </c>
      <c r="K36">
        <f ca="1">IF(AND(ISNUMBER($K$268),$B$183=1),$K$268,HLOOKUP(INDIRECT(ADDRESS(2,COLUMN())),OFFSET($BN$2,0,0,ROW()-1,60),ROW()-1,FALSE))</f>
        <v>-5.3536551689999996</v>
      </c>
      <c r="L36">
        <f ca="1">IF(AND(ISNUMBER($L$268),$B$183=1),$L$268,HLOOKUP(INDIRECT(ADDRESS(2,COLUMN())),OFFSET($BN$2,0,0,ROW()-1,60),ROW()-1,FALSE))</f>
        <v>9.3391756729999997</v>
      </c>
      <c r="M36">
        <f ca="1">IF(AND(ISNUMBER($M$268),$B$183=1),$M$268,HLOOKUP(INDIRECT(ADDRESS(2,COLUMN())),OFFSET($BN$2,0,0,ROW()-1,60),ROW()-1,FALSE))</f>
        <v>8.5266156189999993</v>
      </c>
      <c r="N36">
        <f ca="1">IF(AND(ISNUMBER($N$268),$B$183=1),$N$268,HLOOKUP(INDIRECT(ADDRESS(2,COLUMN())),OFFSET($BN$2,0,0,ROW()-1,60),ROW()-1,FALSE))</f>
        <v>-8.3492508539999992</v>
      </c>
      <c r="O36">
        <f ca="1">IF(AND(ISNUMBER($O$268),$B$183=1),$O$268,HLOOKUP(INDIRECT(ADDRESS(2,COLUMN())),OFFSET($BN$2,0,0,ROW()-1,60),ROW()-1,FALSE))</f>
        <v>1.901138564</v>
      </c>
      <c r="P36">
        <f ca="1">IF(AND(ISNUMBER($P$268),$B$183=1),$P$268,HLOOKUP(INDIRECT(ADDRESS(2,COLUMN())),OFFSET($BN$2,0,0,ROW()-1,60),ROW()-1,FALSE))</f>
        <v>16.290083410000001</v>
      </c>
      <c r="Q36">
        <f ca="1">IF(AND(ISNUMBER($Q$268),$B$183=1),$Q$268,HLOOKUP(INDIRECT(ADDRESS(2,COLUMN())),OFFSET($BN$2,0,0,ROW()-1,60),ROW()-1,FALSE))</f>
        <v>-1.7586424430000001</v>
      </c>
      <c r="R36">
        <f ca="1">IF(AND(ISNUMBER($R$268),$B$183=1),$R$268,HLOOKUP(INDIRECT(ADDRESS(2,COLUMN())),OFFSET($BN$2,0,0,ROW()-1,60),ROW()-1,FALSE))</f>
        <v>1.3032189670000001</v>
      </c>
      <c r="S36">
        <f ca="1">IF(AND(ISNUMBER($S$268),$B$183=1),$S$268,HLOOKUP(INDIRECT(ADDRESS(2,COLUMN())),OFFSET($BN$2,0,0,ROW()-1,60),ROW()-1,FALSE))</f>
        <v>6.6255357400000001</v>
      </c>
      <c r="T36">
        <f ca="1">IF(AND(ISNUMBER($T$268),$B$183=1),$T$268,HLOOKUP(INDIRECT(ADDRESS(2,COLUMN())),OFFSET($BN$2,0,0,ROW()-1,60),ROW()-1,FALSE))</f>
        <v>6.0671543000000003</v>
      </c>
      <c r="U36">
        <f ca="1">IF(AND(ISNUMBER($U$268),$B$183=1),$U$268,HLOOKUP(INDIRECT(ADDRESS(2,COLUMN())),OFFSET($BN$2,0,0,ROW()-1,60),ROW()-1,FALSE))</f>
        <v>4.7792886040000004</v>
      </c>
      <c r="V36">
        <f ca="1">IF(AND(ISNUMBER($V$268),$B$183=1),$V$268,HLOOKUP(INDIRECT(ADDRESS(2,COLUMN())),OFFSET($BN$2,0,0,ROW()-1,60),ROW()-1,FALSE))</f>
        <v>7.7894640539999997</v>
      </c>
      <c r="W36">
        <f ca="1">IF(AND(ISNUMBER($W$268),$B$183=1),$W$268,HLOOKUP(INDIRECT(ADDRESS(2,COLUMN())),OFFSET($BN$2,0,0,ROW()-1,60),ROW()-1,FALSE))</f>
        <v>1.08895363</v>
      </c>
      <c r="X36">
        <f ca="1">IF(AND(ISNUMBER($X$268),$B$183=1),$X$268,HLOOKUP(INDIRECT(ADDRESS(2,COLUMN())),OFFSET($BN$2,0,0,ROW()-1,60),ROW()-1,FALSE))</f>
        <v>11.725484140000001</v>
      </c>
      <c r="Y36">
        <f ca="1">IF(AND(ISNUMBER($Y$268),$B$183=1),$Y$268,HLOOKUP(INDIRECT(ADDRESS(2,COLUMN())),OFFSET($BN$2,0,0,ROW()-1,60),ROW()-1,FALSE))</f>
        <v>1.761550913</v>
      </c>
      <c r="Z36">
        <f ca="1">IF(AND(ISNUMBER($Z$268),$B$183=1),$Z$268,HLOOKUP(INDIRECT(ADDRESS(2,COLUMN())),OFFSET($BN$2,0,0,ROW()-1,60),ROW()-1,FALSE))</f>
        <v>1.0215141400000001</v>
      </c>
      <c r="AA36">
        <f ca="1">IF(AND(ISNUMBER($AA$268),$B$183=1),$AA$268,HLOOKUP(INDIRECT(ADDRESS(2,COLUMN())),OFFSET($BN$2,0,0,ROW()-1,60),ROW()-1,FALSE))</f>
        <v>3.29255611</v>
      </c>
      <c r="AB36">
        <f ca="1">IF(AND(ISNUMBER($AB$268),$B$183=1),$AB$268,HLOOKUP(INDIRECT(ADDRESS(2,COLUMN())),OFFSET($BN$2,0,0,ROW()-1,60),ROW()-1,FALSE))</f>
        <v>8.5001074350000003</v>
      </c>
      <c r="AC36">
        <f ca="1">IF(AND(ISNUMBER($AC$268),$B$183=1),$AC$268,HLOOKUP(INDIRECT(ADDRESS(2,COLUMN())),OFFSET($BN$2,0,0,ROW()-1,60),ROW()-1,FALSE))</f>
        <v>8.0907184290000007</v>
      </c>
      <c r="AD36">
        <f ca="1">IF(AND(ISNUMBER($AD$268),$B$183=1),$AD$268,HLOOKUP(INDIRECT(ADDRESS(2,COLUMN())),OFFSET($BN$2,0,0,ROW()-1,60),ROW()-1,FALSE))</f>
        <v>-5.6947627990000003</v>
      </c>
      <c r="AE36">
        <f ca="1">IF(AND(ISNUMBER($AE$268),$B$183=1),$AE$268,HLOOKUP(INDIRECT(ADDRESS(2,COLUMN())),OFFSET($BN$2,0,0,ROW()-1,60),ROW()-1,FALSE))</f>
        <v>14.617828100000001</v>
      </c>
      <c r="AF36">
        <f ca="1">IF(AND(ISNUMBER($AF$268),$B$183=1),$AF$268,HLOOKUP(INDIRECT(ADDRESS(2,COLUMN())),OFFSET($BN$2,0,0,ROW()-1,60),ROW()-1,FALSE))</f>
        <v>-3.1133532289999999</v>
      </c>
      <c r="AG36">
        <f ca="1">IF(AND(ISNUMBER($AG$268),$B$183=1),$AG$268,HLOOKUP(INDIRECT(ADDRESS(2,COLUMN())),OFFSET($BN$2,0,0,ROW()-1,60),ROW()-1,FALSE))</f>
        <v>41.039463359999999</v>
      </c>
      <c r="AH36">
        <f ca="1">IF(AND(ISNUMBER($AH$268),$B$183=1),$AH$268,HLOOKUP(INDIRECT(ADDRESS(2,COLUMN())),OFFSET($BN$2,0,0,ROW()-1,60),ROW()-1,FALSE))</f>
        <v>-9.0810549159999994</v>
      </c>
      <c r="AI36">
        <f ca="1">IF(AND(ISNUMBER($AI$268),$B$183=1),$AI$268,HLOOKUP(INDIRECT(ADDRESS(2,COLUMN())),OFFSET($BN$2,0,0,ROW()-1,60),ROW()-1,FALSE))</f>
        <v>2.4801579710000001</v>
      </c>
      <c r="AJ36">
        <f ca="1">IF(AND(ISNUMBER($AJ$268),$B$183=1),$AJ$268,HLOOKUP(INDIRECT(ADDRESS(2,COLUMN())),OFFSET($BN$2,0,0,ROW()-1,60),ROW()-1,FALSE))</f>
        <v>2.0313231940000001</v>
      </c>
      <c r="AK36">
        <f ca="1">IF(AND(ISNUMBER($AK$268),$B$183=1),$AK$268,HLOOKUP(INDIRECT(ADDRESS(2,COLUMN())),OFFSET($BN$2,0,0,ROW()-1,60),ROW()-1,FALSE))</f>
        <v>37.534633390000003</v>
      </c>
      <c r="AL36">
        <f ca="1">IF(AND(ISNUMBER($AL$268),$B$183=1),$AL$268,HLOOKUP(INDIRECT(ADDRESS(2,COLUMN())),OFFSET($BN$2,0,0,ROW()-1,60),ROW()-1,FALSE))</f>
        <v>-15.899067499999999</v>
      </c>
      <c r="AM36">
        <f ca="1">IF(AND(ISNUMBER($AM$268),$B$183=1),$AM$268,HLOOKUP(INDIRECT(ADDRESS(2,COLUMN())),OFFSET($BN$2,0,0,ROW()-1,60),ROW()-1,FALSE))</f>
        <v>19.228431239999999</v>
      </c>
      <c r="AN36">
        <f ca="1">IF(AND(ISNUMBER($AN$268),$B$183=1),$AN$268,HLOOKUP(INDIRECT(ADDRESS(2,COLUMN())),OFFSET($BN$2,0,0,ROW()-1,60),ROW()-1,FALSE))</f>
        <v>-35.061237990000002</v>
      </c>
      <c r="AO36">
        <f ca="1">IF(AND(ISNUMBER($AO$268),$B$183=1),$AO$268,HLOOKUP(INDIRECT(ADDRESS(2,COLUMN())),OFFSET($BN$2,0,0,ROW()-1,60),ROW()-1,FALSE))</f>
        <v>115.0567144</v>
      </c>
      <c r="AP36">
        <f ca="1">IF(AND(ISNUMBER($AP$268),$B$183=1),$AP$268,HLOOKUP(INDIRECT(ADDRESS(2,COLUMN())),OFFSET($BN$2,0,0,ROW()-1,60),ROW()-1,FALSE))</f>
        <v>-55.774737160000001</v>
      </c>
      <c r="AQ36">
        <f ca="1">IF(AND(ISNUMBER($AQ$268),$B$183=1),$AQ$268,HLOOKUP(INDIRECT(ADDRESS(2,COLUMN())),OFFSET($BN$2,0,0,ROW()-1,60),ROW()-1,FALSE))</f>
        <v>-7.1399749430000004</v>
      </c>
      <c r="AR36">
        <f ca="1">IF(AND(ISNUMBER($AR$268),$B$183=1),$AR$268,HLOOKUP(INDIRECT(ADDRESS(2,COLUMN())),OFFSET($BN$2,0,0,ROW()-1,60),ROW()-1,FALSE))</f>
        <v>-1.8949947309999999</v>
      </c>
      <c r="AS36">
        <f ca="1">IF(AND(ISNUMBER($AS$268),$B$183=1),$AS$268,HLOOKUP(INDIRECT(ADDRESS(2,COLUMN())),OFFSET($BN$2,0,0,ROW()-1,60),ROW()-1,FALSE))</f>
        <v>3.0710865319999998</v>
      </c>
      <c r="AT36">
        <f ca="1">IF(AND(ISNUMBER($AT$268),$B$183=1),$AT$268,HLOOKUP(INDIRECT(ADDRESS(2,COLUMN())),OFFSET($BN$2,0,0,ROW()-1,60),ROW()-1,FALSE))</f>
        <v>-2.3857282799999999</v>
      </c>
      <c r="AU36">
        <f ca="1">IF(AND(ISNUMBER($AU$268),$B$183=1),$AU$268,HLOOKUP(INDIRECT(ADDRESS(2,COLUMN())),OFFSET($BN$2,0,0,ROW()-1,60),ROW()-1,FALSE))</f>
        <v>-4.094437031</v>
      </c>
      <c r="AV36">
        <f ca="1">IF(AND(ISNUMBER($AV$268),$B$183=1),$AV$268,HLOOKUP(INDIRECT(ADDRESS(2,COLUMN())),OFFSET($BN$2,0,0,ROW()-1,60),ROW()-1,FALSE))</f>
        <v>-0.34608492000000002</v>
      </c>
      <c r="AW36">
        <f ca="1">IF(AND(ISNUMBER($AW$268),$B$183=1),$AW$268,HLOOKUP(INDIRECT(ADDRESS(2,COLUMN())),OFFSET($BN$2,0,0,ROW()-1,60),ROW()-1,FALSE))</f>
        <v>3.7351066880000001</v>
      </c>
      <c r="AX36">
        <f ca="1">IF(AND(ISNUMBER($AX$268),$B$183=1),$AX$268,HLOOKUP(INDIRECT(ADDRESS(2,COLUMN())),OFFSET($BN$2,0,0,ROW()-1,60),ROW()-1,FALSE))</f>
        <v>12.052988859999999</v>
      </c>
      <c r="AY36">
        <f ca="1">IF(AND(ISNUMBER($AY$268),$B$183=1),$AY$268,HLOOKUP(INDIRECT(ADDRESS(2,COLUMN())),OFFSET($BN$2,0,0,ROW()-1,60),ROW()-1,FALSE))</f>
        <v>-9.4259772139999995</v>
      </c>
      <c r="AZ36">
        <f ca="1">IF(AND(ISNUMBER($AZ$268),$B$183=1),$AZ$268,HLOOKUP(INDIRECT(ADDRESS(2,COLUMN())),OFFSET($BN$2,0,0,ROW()-1,60),ROW()-1,FALSE))</f>
        <v>5.0486986390000004</v>
      </c>
      <c r="BA36">
        <f ca="1">IF(AND(ISNUMBER($BA$268),$B$183=1),$BA$268,HLOOKUP(INDIRECT(ADDRESS(2,COLUMN())),OFFSET($BN$2,0,0,ROW()-1,60),ROW()-1,FALSE))</f>
        <v>9.1136717330000003</v>
      </c>
      <c r="BB36">
        <f ca="1">IF(AND(ISNUMBER($BB$268),$B$183=1),$BB$268,HLOOKUP(INDIRECT(ADDRESS(2,COLUMN())),OFFSET($BN$2,0,0,ROW()-1,60),ROW()-1,FALSE))</f>
        <v>0.94741891899999997</v>
      </c>
      <c r="BC36">
        <f ca="1">IF(AND(ISNUMBER($BC$268),$B$183=1),$BC$268,HLOOKUP(INDIRECT(ADDRESS(2,COLUMN())),OFFSET($BN$2,0,0,ROW()-1,60),ROW()-1,FALSE))</f>
        <v>-2.821815451</v>
      </c>
      <c r="BD36">
        <f ca="1">IF(AND(ISNUMBER($BD$268),$B$183=1),$BD$268,HLOOKUP(INDIRECT(ADDRESS(2,COLUMN())),OFFSET($BN$2,0,0,ROW()-1,60),ROW()-1,FALSE))</f>
        <v>-2.5620216789999999</v>
      </c>
      <c r="BE36">
        <f ca="1">IF(AND(ISNUMBER($BE$268),$B$183=1),$BE$268,HLOOKUP(INDIRECT(ADDRESS(2,COLUMN())),OFFSET($BN$2,0,0,ROW()-1,60),ROW()-1,FALSE))</f>
        <v>1.634120585</v>
      </c>
      <c r="BF36">
        <f ca="1">IF(AND(ISNUMBER($BF$268),$B$183=1),$BF$268,HLOOKUP(INDIRECT(ADDRESS(2,COLUMN())),OFFSET($BN$2,0,0,ROW()-1,60),ROW()-1,FALSE))</f>
        <v>11.76212421</v>
      </c>
      <c r="BG36">
        <f ca="1">IF(AND(ISNUMBER($BG$268),$B$183=1),$BG$268,HLOOKUP(INDIRECT(ADDRESS(2,COLUMN())),OFFSET($BN$2,0,0,ROW()-1,60),ROW()-1,FALSE))</f>
        <v>-1.196835358</v>
      </c>
      <c r="BH36">
        <f ca="1">IF(AND(ISNUMBER($BH$268),$B$183=1),$BH$268,HLOOKUP(INDIRECT(ADDRESS(2,COLUMN())),OFFSET($BN$2,0,0,ROW()-1,60),ROW()-1,FALSE))</f>
        <v>4.3459423729999997</v>
      </c>
      <c r="BI36">
        <f ca="1">IF(AND(ISNUMBER($BI$268),$B$183=1),$BI$268,HLOOKUP(INDIRECT(ADDRESS(2,COLUMN())),OFFSET($BN$2,0,0,ROW()-1,60),ROW()-1,FALSE))</f>
        <v>-2.0967037550000001</v>
      </c>
      <c r="BJ36">
        <f ca="1">IF(AND(ISNUMBER($BJ$268),$B$183=1),$BJ$268,HLOOKUP(INDIRECT(ADDRESS(2,COLUMN())),OFFSET($BN$2,0,0,ROW()-1,60),ROW()-1,FALSE))</f>
        <v>5.7620322379999998</v>
      </c>
      <c r="BK36">
        <f ca="1">IF(AND(ISNUMBER($BK$268),$B$183=1),$BK$268,HLOOKUP(INDIRECT(ADDRESS(2,COLUMN())),OFFSET($BN$2,0,0,ROW()-1,60),ROW()-1,FALSE))</f>
        <v>4.9428278329999999</v>
      </c>
      <c r="BL36">
        <f ca="1">IF(AND(ISNUMBER($BL$268),$B$183=1),$BL$268,HLOOKUP(INDIRECT(ADDRESS(2,COLUMN())),OFFSET($BN$2,0,0,ROW()-1,60),ROW()-1,FALSE))</f>
        <v>-4.9519391309999996</v>
      </c>
      <c r="BM36">
        <f ca="1">IF(AND(ISNUMBER($BM$268),$B$183=1),$BM$268,HLOOKUP(INDIRECT(ADDRESS(2,COLUMN())),OFFSET($BN$2,0,0,ROW()-1,60),ROW()-1,FALSE))</f>
        <v>4.2741512129999997</v>
      </c>
      <c r="BN36">
        <f>3.164370243</f>
        <v>3.164370243</v>
      </c>
      <c r="BO36">
        <f>-5.311684711</f>
        <v>-5.3116847109999998</v>
      </c>
      <c r="BP36">
        <f>7.328885827</f>
        <v>7.3288858269999997</v>
      </c>
      <c r="BQ36">
        <f>-3.279933079</f>
        <v>-3.2799330790000001</v>
      </c>
      <c r="BR36">
        <f>8.702199851</f>
        <v>8.7021998509999996</v>
      </c>
      <c r="BS36">
        <f>-5.353655169</f>
        <v>-5.3536551689999996</v>
      </c>
      <c r="BT36">
        <f>9.339175673</f>
        <v>9.3391756729999997</v>
      </c>
      <c r="BU36">
        <f>8.526615619</f>
        <v>8.5266156189999993</v>
      </c>
      <c r="BV36">
        <f>-8.349250854</f>
        <v>-8.3492508539999992</v>
      </c>
      <c r="BW36">
        <f>1.901138564</f>
        <v>1.901138564</v>
      </c>
      <c r="BX36">
        <f>16.29008341</f>
        <v>16.290083410000001</v>
      </c>
      <c r="BY36">
        <f>-1.758642443</f>
        <v>-1.7586424430000001</v>
      </c>
      <c r="BZ36">
        <f>1.303218967</f>
        <v>1.3032189670000001</v>
      </c>
      <c r="CA36">
        <f>6.62553574</f>
        <v>6.6255357400000001</v>
      </c>
      <c r="CB36">
        <f>6.0671543</f>
        <v>6.0671543000000003</v>
      </c>
      <c r="CC36">
        <f>4.779288604</f>
        <v>4.7792886040000004</v>
      </c>
      <c r="CD36">
        <f>7.789464054</f>
        <v>7.7894640539999997</v>
      </c>
      <c r="CE36">
        <f>1.08895363</f>
        <v>1.08895363</v>
      </c>
      <c r="CF36">
        <f>11.72548414</f>
        <v>11.725484140000001</v>
      </c>
      <c r="CG36">
        <f>1.761550913</f>
        <v>1.761550913</v>
      </c>
      <c r="CH36">
        <f>1.02151414</f>
        <v>1.0215141400000001</v>
      </c>
      <c r="CI36">
        <f>3.29255611</f>
        <v>3.29255611</v>
      </c>
      <c r="CJ36">
        <f>8.500107435</f>
        <v>8.5001074350000003</v>
      </c>
      <c r="CK36">
        <f>8.090718429</f>
        <v>8.0907184290000007</v>
      </c>
      <c r="CL36">
        <f>-5.694762799</f>
        <v>-5.6947627990000003</v>
      </c>
      <c r="CM36">
        <f>14.6178281</f>
        <v>14.617828100000001</v>
      </c>
      <c r="CN36">
        <f>-3.113353229</f>
        <v>-3.1133532289999999</v>
      </c>
      <c r="CO36">
        <f>41.03946336</f>
        <v>41.039463359999999</v>
      </c>
      <c r="CP36">
        <f>-9.081054916</f>
        <v>-9.0810549159999994</v>
      </c>
      <c r="CQ36">
        <f>2.480157971</f>
        <v>2.4801579710000001</v>
      </c>
      <c r="CR36">
        <f>2.031323194</f>
        <v>2.0313231940000001</v>
      </c>
      <c r="CS36">
        <f>37.53463339</f>
        <v>37.534633390000003</v>
      </c>
      <c r="CT36">
        <f>-15.8990675</f>
        <v>-15.899067499999999</v>
      </c>
      <c r="CU36">
        <f>19.22843124</f>
        <v>19.228431239999999</v>
      </c>
      <c r="CV36">
        <f>-35.06123799</f>
        <v>-35.061237990000002</v>
      </c>
      <c r="CW36">
        <f>115.0567144</f>
        <v>115.0567144</v>
      </c>
      <c r="CX36">
        <f>-55.77473716</f>
        <v>-55.774737160000001</v>
      </c>
      <c r="CY36">
        <f>-7.139974943</f>
        <v>-7.1399749430000004</v>
      </c>
      <c r="CZ36">
        <f>-1.894994731</f>
        <v>-1.8949947309999999</v>
      </c>
      <c r="DA36">
        <f>3.071086532</f>
        <v>3.0710865319999998</v>
      </c>
      <c r="DB36">
        <f>-2.38572828</f>
        <v>-2.3857282799999999</v>
      </c>
      <c r="DC36">
        <f>-4.094437031</f>
        <v>-4.094437031</v>
      </c>
      <c r="DD36">
        <f>-0.34608492</f>
        <v>-0.34608492000000002</v>
      </c>
      <c r="DE36">
        <f>3.735106688</f>
        <v>3.7351066880000001</v>
      </c>
      <c r="DF36">
        <f>12.05298886</f>
        <v>12.052988859999999</v>
      </c>
      <c r="DG36">
        <f>-9.425977214</f>
        <v>-9.4259772139999995</v>
      </c>
      <c r="DH36">
        <f>5.048698639</f>
        <v>5.0486986390000004</v>
      </c>
      <c r="DI36">
        <f>9.113671733</f>
        <v>9.1136717330000003</v>
      </c>
      <c r="DJ36">
        <f>0.947418919</f>
        <v>0.94741891899999997</v>
      </c>
      <c r="DK36">
        <f>-2.821815451</f>
        <v>-2.821815451</v>
      </c>
      <c r="DL36">
        <f>-2.562021679</f>
        <v>-2.5620216789999999</v>
      </c>
      <c r="DM36">
        <f>1.634120585</f>
        <v>1.634120585</v>
      </c>
      <c r="DN36">
        <f>11.76212421</f>
        <v>11.76212421</v>
      </c>
      <c r="DO36">
        <f>-1.196835358</f>
        <v>-1.196835358</v>
      </c>
      <c r="DP36">
        <f>4.345942373</f>
        <v>4.3459423729999997</v>
      </c>
      <c r="DQ36">
        <f>-2.096703755</f>
        <v>-2.0967037550000001</v>
      </c>
      <c r="DR36">
        <f>5.762032238</f>
        <v>5.7620322379999998</v>
      </c>
      <c r="DS36">
        <f>4.942827833</f>
        <v>4.9428278329999999</v>
      </c>
      <c r="DT36">
        <f>-4.951939131</f>
        <v>-4.9519391309999996</v>
      </c>
      <c r="DU36">
        <f>4.274151213</f>
        <v>4.2741512129999997</v>
      </c>
    </row>
    <row r="37" spans="1:125">
      <c r="A37" t="str">
        <f>"    YoY % Change in FFO for All Equity REITs"</f>
        <v xml:space="preserve">    YoY % Change in FFO for All Equity REITs</v>
      </c>
      <c r="B37" t="str">
        <f>"RECFFOYY Index"</f>
        <v>RECFFOYY Index</v>
      </c>
      <c r="C37" t="str">
        <f>"PR005"</f>
        <v>PR005</v>
      </c>
      <c r="D37" t="str">
        <f>"PX_LAST"</f>
        <v>PX_LAST</v>
      </c>
      <c r="E37" t="str">
        <f>"动态"</f>
        <v>动态</v>
      </c>
      <c r="F37">
        <f ca="1">IF(AND(ISNUMBER($F$269),$B$183=1),$F$269,HLOOKUP(INDIRECT(ADDRESS(2,COLUMN())),OFFSET($BN$2,0,0,ROW()-1,60),ROW()-1,FALSE))</f>
        <v>1.404990883</v>
      </c>
      <c r="G37">
        <f ca="1">IF(AND(ISNUMBER($G$269),$B$183=1),$G$269,HLOOKUP(INDIRECT(ADDRESS(2,COLUMN())),OFFSET($BN$2,0,0,ROW()-1,60),ROW()-1,FALSE))</f>
        <v>6.8483775830000004</v>
      </c>
      <c r="H37">
        <f ca="1">IF(AND(ISNUMBER($H$269),$B$183=1),$H$269,HLOOKUP(INDIRECT(ADDRESS(2,COLUMN())),OFFSET($BN$2,0,0,ROW()-1,60),ROW()-1,FALSE))</f>
        <v>6.801017195</v>
      </c>
      <c r="I37">
        <f ca="1">IF(AND(ISNUMBER($I$269),$B$183=1),$I$269,HLOOKUP(INDIRECT(ADDRESS(2,COLUMN())),OFFSET($BN$2,0,0,ROW()-1,60),ROW()-1,FALSE))</f>
        <v>8.8014199640000008</v>
      </c>
      <c r="J37">
        <f ca="1">IF(AND(ISNUMBER($J$269),$B$183=1),$J$269,HLOOKUP(INDIRECT(ADDRESS(2,COLUMN())),OFFSET($BN$2,0,0,ROW()-1,60),ROW()-1,FALSE))</f>
        <v>22.082730699999999</v>
      </c>
      <c r="K37">
        <f ca="1">IF(AND(ISNUMBER($K$269),$B$183=1),$K$269,HLOOKUP(INDIRECT(ADDRESS(2,COLUMN())),OFFSET($BN$2,0,0,ROW()-1,60),ROW()-1,FALSE))</f>
        <v>2.9323577799999998</v>
      </c>
      <c r="L37">
        <f ca="1">IF(AND(ISNUMBER($L$269),$B$183=1),$L$269,HLOOKUP(INDIRECT(ADDRESS(2,COLUMN())),OFFSET($BN$2,0,0,ROW()-1,60),ROW()-1,FALSE))</f>
        <v>10.822287660000001</v>
      </c>
      <c r="M37">
        <f ca="1">IF(AND(ISNUMBER($M$269),$B$183=1),$M$269,HLOOKUP(INDIRECT(ADDRESS(2,COLUMN())),OFFSET($BN$2,0,0,ROW()-1,60),ROW()-1,FALSE))</f>
        <v>17.867479759999998</v>
      </c>
      <c r="N37">
        <f ca="1">IF(AND(ISNUMBER($N$269),$B$183=1),$N$269,HLOOKUP(INDIRECT(ADDRESS(2,COLUMN())),OFFSET($BN$2,0,0,ROW()-1,60),ROW()-1,FALSE))</f>
        <v>6.6969715939999999</v>
      </c>
      <c r="O37">
        <f ca="1">IF(AND(ISNUMBER($O$269),$B$183=1),$O$269,HLOOKUP(INDIRECT(ADDRESS(2,COLUMN())),OFFSET($BN$2,0,0,ROW()-1,60),ROW()-1,FALSE))</f>
        <v>17.934078849999999</v>
      </c>
      <c r="P37">
        <f ca="1">IF(AND(ISNUMBER($P$269),$B$183=1),$P$269,HLOOKUP(INDIRECT(ADDRESS(2,COLUMN())),OFFSET($BN$2,0,0,ROW()-1,60),ROW()-1,FALSE))</f>
        <v>23.40180411</v>
      </c>
      <c r="Q37">
        <f ca="1">IF(AND(ISNUMBER($Q$269),$B$183=1),$Q$269,HLOOKUP(INDIRECT(ADDRESS(2,COLUMN())),OFFSET($BN$2,0,0,ROW()-1,60),ROW()-1,FALSE))</f>
        <v>12.553691710000001</v>
      </c>
      <c r="R37">
        <f ca="1">IF(AND(ISNUMBER($R$269),$B$183=1),$R$269,HLOOKUP(INDIRECT(ADDRESS(2,COLUMN())),OFFSET($BN$2,0,0,ROW()-1,60),ROW()-1,FALSE))</f>
        <v>20.04410403</v>
      </c>
      <c r="S37">
        <f ca="1">IF(AND(ISNUMBER($S$269),$B$183=1),$S$269,HLOOKUP(INDIRECT(ADDRESS(2,COLUMN())),OFFSET($BN$2,0,0,ROW()-1,60),ROW()-1,FALSE))</f>
        <v>27.73029099</v>
      </c>
      <c r="T37">
        <f ca="1">IF(AND(ISNUMBER($T$269),$B$183=1),$T$269,HLOOKUP(INDIRECT(ADDRESS(2,COLUMN())),OFFSET($BN$2,0,0,ROW()-1,60),ROW()-1,FALSE))</f>
        <v>21.097834330000001</v>
      </c>
      <c r="U37">
        <f ca="1">IF(AND(ISNUMBER($U$269),$B$183=1),$U$269,HLOOKUP(INDIRECT(ADDRESS(2,COLUMN())),OFFSET($BN$2,0,0,ROW()-1,60),ROW()-1,FALSE))</f>
        <v>27.55800095</v>
      </c>
      <c r="V37">
        <f ca="1">IF(AND(ISNUMBER($V$269),$B$183=1),$V$269,HLOOKUP(INDIRECT(ADDRESS(2,COLUMN())),OFFSET($BN$2,0,0,ROW()-1,60),ROW()-1,FALSE))</f>
        <v>23.884215869999998</v>
      </c>
      <c r="W37">
        <f ca="1">IF(AND(ISNUMBER($W$269),$B$183=1),$W$269,HLOOKUP(INDIRECT(ADDRESS(2,COLUMN())),OFFSET($BN$2,0,0,ROW()-1,60),ROW()-1,FALSE))</f>
        <v>16.105698960000002</v>
      </c>
      <c r="X37">
        <f ca="1">IF(AND(ISNUMBER($X$269),$B$183=1),$X$269,HLOOKUP(INDIRECT(ADDRESS(2,COLUMN())),OFFSET($BN$2,0,0,ROW()-1,60),ROW()-1,FALSE))</f>
        <v>18.63664619</v>
      </c>
      <c r="Y37">
        <f ca="1">IF(AND(ISNUMBER($Y$269),$B$183=1),$Y$269,HLOOKUP(INDIRECT(ADDRESS(2,COLUMN())),OFFSET($BN$2,0,0,ROW()-1,60),ROW()-1,FALSE))</f>
        <v>15.21175277</v>
      </c>
      <c r="Z37">
        <f ca="1">IF(AND(ISNUMBER($Z$269),$B$183=1),$Z$269,HLOOKUP(INDIRECT(ADDRESS(2,COLUMN())),OFFSET($BN$2,0,0,ROW()-1,60),ROW()-1,FALSE))</f>
        <v>22.377469850000001</v>
      </c>
      <c r="AA37">
        <f ca="1">IF(AND(ISNUMBER($AA$269),$B$183=1),$AA$269,HLOOKUP(INDIRECT(ADDRESS(2,COLUMN())),OFFSET($BN$2,0,0,ROW()-1,60),ROW()-1,FALSE))</f>
        <v>14.24137146</v>
      </c>
      <c r="AB37">
        <f ca="1">IF(AND(ISNUMBER($AB$269),$B$183=1),$AB$269,HLOOKUP(INDIRECT(ADDRESS(2,COLUMN())),OFFSET($BN$2,0,0,ROW()-1,60),ROW()-1,FALSE))</f>
        <v>26.76710083</v>
      </c>
      <c r="AC37">
        <f ca="1">IF(AND(ISNUMBER($AC$269),$B$183=1),$AC$269,HLOOKUP(INDIRECT(ADDRESS(2,COLUMN())),OFFSET($BN$2,0,0,ROW()-1,60),ROW()-1,FALSE))</f>
        <v>13.198407</v>
      </c>
      <c r="AD37">
        <f ca="1">IF(AND(ISNUMBER($AD$269),$B$183=1),$AD$269,HLOOKUP(INDIRECT(ADDRESS(2,COLUMN())),OFFSET($BN$2,0,0,ROW()-1,60),ROW()-1,FALSE))</f>
        <v>47.7041027</v>
      </c>
      <c r="AE37">
        <f ca="1">IF(AND(ISNUMBER($AE$269),$B$183=1),$AE$269,HLOOKUP(INDIRECT(ADDRESS(2,COLUMN())),OFFSET($BN$2,0,0,ROW()-1,60),ROW()-1,FALSE))</f>
        <v>42.40037564</v>
      </c>
      <c r="AF37">
        <f ca="1">IF(AND(ISNUMBER($AF$269),$B$183=1),$AF$269,HLOOKUP(INDIRECT(ADDRESS(2,COLUMN())),OFFSET($BN$2,0,0,ROW()-1,60),ROW()-1,FALSE))</f>
        <v>27.320620470000001</v>
      </c>
      <c r="AG37">
        <f ca="1">IF(AND(ISNUMBER($AG$269),$B$183=1),$AG$269,HLOOKUP(INDIRECT(ADDRESS(2,COLUMN())),OFFSET($BN$2,0,0,ROW()-1,60),ROW()-1,FALSE))</f>
        <v>34.081339479999997</v>
      </c>
      <c r="AH37">
        <f ca="1">IF(AND(ISNUMBER($AH$269),$B$183=1),$AH$269,HLOOKUP(INDIRECT(ADDRESS(2,COLUMN())),OFFSET($BN$2,0,0,ROW()-1,60),ROW()-1,FALSE))</f>
        <v>30.749418850000001</v>
      </c>
      <c r="AI37">
        <f ca="1">IF(AND(ISNUMBER($AI$269),$B$183=1),$AI$269,HLOOKUP(INDIRECT(ADDRESS(2,COLUMN())),OFFSET($BN$2,0,0,ROW()-1,60),ROW()-1,FALSE))</f>
        <v>20.944518649999999</v>
      </c>
      <c r="AJ37">
        <f ca="1">IF(AND(ISNUMBER($AJ$269),$B$183=1),$AJ$269,HLOOKUP(INDIRECT(ADDRESS(2,COLUMN())),OFFSET($BN$2,0,0,ROW()-1,60),ROW()-1,FALSE))</f>
        <v>40.71041176</v>
      </c>
      <c r="AK37">
        <f ca="1">IF(AND(ISNUMBER($AK$269),$B$183=1),$AK$269,HLOOKUP(INDIRECT(ADDRESS(2,COLUMN())),OFFSET($BN$2,0,0,ROW()-1,60),ROW()-1,FALSE))</f>
        <v>-10.443580900000001</v>
      </c>
      <c r="AL37">
        <f ca="1">IF(AND(ISNUMBER($AL$269),$B$183=1),$AL$269,HLOOKUP(INDIRECT(ADDRESS(2,COLUMN())),OFFSET($BN$2,0,0,ROW()-1,60),ROW()-1,FALSE))</f>
        <v>40.035340730000001</v>
      </c>
      <c r="AM37">
        <f ca="1">IF(AND(ISNUMBER($AM$269),$B$183=1),$AM$269,HLOOKUP(INDIRECT(ADDRESS(2,COLUMN())),OFFSET($BN$2,0,0,ROW()-1,60),ROW()-1,FALSE))</f>
        <v>-26.36110485</v>
      </c>
      <c r="AN37">
        <f ca="1">IF(AND(ISNUMBER($AN$269),$B$183=1),$AN$269,HLOOKUP(INDIRECT(ADDRESS(2,COLUMN())),OFFSET($BN$2,0,0,ROW()-1,60),ROW()-1,FALSE))</f>
        <v>-42.64698799</v>
      </c>
      <c r="AO37">
        <f ca="1">IF(AND(ISNUMBER($AO$269),$B$183=1),$AO$269,HLOOKUP(INDIRECT(ADDRESS(2,COLUMN())),OFFSET($BN$2,0,0,ROW()-1,60),ROW()-1,FALSE))</f>
        <v>-13.35502292</v>
      </c>
      <c r="AP37">
        <f ca="1">IF(AND(ISNUMBER($AP$269),$B$183=1),$AP$269,HLOOKUP(INDIRECT(ADDRESS(2,COLUMN())),OFFSET($BN$2,0,0,ROW()-1,60),ROW()-1,FALSE))</f>
        <v>-58.473317360000003</v>
      </c>
      <c r="AQ37">
        <f ca="1">IF(AND(ISNUMBER($AQ$269),$B$183=1),$AQ$269,HLOOKUP(INDIRECT(ADDRESS(2,COLUMN())),OFFSET($BN$2,0,0,ROW()-1,60),ROW()-1,FALSE))</f>
        <v>-8.3420510700000001</v>
      </c>
      <c r="AR37">
        <f ca="1">IF(AND(ISNUMBER($AR$269),$B$183=1),$AR$269,HLOOKUP(INDIRECT(ADDRESS(2,COLUMN())),OFFSET($BN$2,0,0,ROW()-1,60),ROW()-1,FALSE))</f>
        <v>-5.3359377480000001</v>
      </c>
      <c r="AS37">
        <f ca="1">IF(AND(ISNUMBER($AS$269),$B$183=1),$AS$269,HLOOKUP(INDIRECT(ADDRESS(2,COLUMN())),OFFSET($BN$2,0,0,ROW()-1,60),ROW()-1,FALSE))</f>
        <v>-3.8413545259999999</v>
      </c>
      <c r="AT37">
        <f ca="1">IF(AND(ISNUMBER($AT$269),$B$183=1),$AT$269,HLOOKUP(INDIRECT(ADDRESS(2,COLUMN())),OFFSET($BN$2,0,0,ROW()-1,60),ROW()-1,FALSE))</f>
        <v>-3.2218667440000002</v>
      </c>
      <c r="AU37">
        <f ca="1">IF(AND(ISNUMBER($AU$269),$B$183=1),$AU$269,HLOOKUP(INDIRECT(ADDRESS(2,COLUMN())),OFFSET($BN$2,0,0,ROW()-1,60),ROW()-1,FALSE))</f>
        <v>11.0931721</v>
      </c>
      <c r="AV37">
        <f ca="1">IF(AND(ISNUMBER($AV$269),$B$183=1),$AV$269,HLOOKUP(INDIRECT(ADDRESS(2,COLUMN())),OFFSET($BN$2,0,0,ROW()-1,60),ROW()-1,FALSE))</f>
        <v>4.9173289779999996</v>
      </c>
      <c r="AW37">
        <f ca="1">IF(AND(ISNUMBER($AW$269),$B$183=1),$AW$269,HLOOKUP(INDIRECT(ADDRESS(2,COLUMN())),OFFSET($BN$2,0,0,ROW()-1,60),ROW()-1,FALSE))</f>
        <v>10.59704844</v>
      </c>
      <c r="AX37">
        <f ca="1">IF(AND(ISNUMBER($AX$269),$B$183=1),$AX$269,HLOOKUP(INDIRECT(ADDRESS(2,COLUMN())),OFFSET($BN$2,0,0,ROW()-1,60),ROW()-1,FALSE))</f>
        <v>16.331398539999999</v>
      </c>
      <c r="AY37">
        <f ca="1">IF(AND(ISNUMBER($AY$269),$B$183=1),$AY$269,HLOOKUP(INDIRECT(ADDRESS(2,COLUMN())),OFFSET($BN$2,0,0,ROW()-1,60),ROW()-1,FALSE))</f>
        <v>4.8017954850000004</v>
      </c>
      <c r="AZ37">
        <f ca="1">IF(AND(ISNUMBER($AZ$269),$B$183=1),$AZ$269,HLOOKUP(INDIRECT(ADDRESS(2,COLUMN())),OFFSET($BN$2,0,0,ROW()-1,60),ROW()-1,FALSE))</f>
        <v>12.44336852</v>
      </c>
      <c r="BA37">
        <f ca="1">IF(AND(ISNUMBER($BA$269),$B$183=1),$BA$269,HLOOKUP(INDIRECT(ADDRESS(2,COLUMN())),OFFSET($BN$2,0,0,ROW()-1,60),ROW()-1,FALSE))</f>
        <v>4.2969084479999999</v>
      </c>
      <c r="BB37">
        <f ca="1">IF(AND(ISNUMBER($BB$269),$B$183=1),$BB$269,HLOOKUP(INDIRECT(ADDRESS(2,COLUMN())),OFFSET($BN$2,0,0,ROW()-1,60),ROW()-1,FALSE))</f>
        <v>-2.8524620110000001</v>
      </c>
      <c r="BC37">
        <f ca="1">IF(AND(ISNUMBER($BC$269),$B$183=1),$BC$269,HLOOKUP(INDIRECT(ADDRESS(2,COLUMN())),OFFSET($BN$2,0,0,ROW()-1,60),ROW()-1,FALSE))</f>
        <v>7.5551541929999999</v>
      </c>
      <c r="BD37">
        <f ca="1">IF(AND(ISNUMBER($BD$269),$B$183=1),$BD$269,HLOOKUP(INDIRECT(ADDRESS(2,COLUMN())),OFFSET($BN$2,0,0,ROW()-1,60),ROW()-1,FALSE))</f>
        <v>9.3536543929999993</v>
      </c>
      <c r="BE37">
        <f ca="1">IF(AND(ISNUMBER($BE$269),$B$183=1),$BE$269,HLOOKUP(INDIRECT(ADDRESS(2,COLUMN())),OFFSET($BN$2,0,0,ROW()-1,60),ROW()-1,FALSE))</f>
        <v>17.10639235</v>
      </c>
      <c r="BF37">
        <f ca="1">IF(AND(ISNUMBER($BF$269),$B$183=1),$BF$269,HLOOKUP(INDIRECT(ADDRESS(2,COLUMN())),OFFSET($BN$2,0,0,ROW()-1,60),ROW()-1,FALSE))</f>
        <v>12.80760592</v>
      </c>
      <c r="BG37">
        <f ca="1">IF(AND(ISNUMBER($BG$269),$B$183=1),$BG$269,HLOOKUP(INDIRECT(ADDRESS(2,COLUMN())),OFFSET($BN$2,0,0,ROW()-1,60),ROW()-1,FALSE))</f>
        <v>6.7513859329999999</v>
      </c>
      <c r="BH37">
        <f ca="1">IF(AND(ISNUMBER($BH$269),$B$183=1),$BH$269,HLOOKUP(INDIRECT(ADDRESS(2,COLUMN())),OFFSET($BN$2,0,0,ROW()-1,60),ROW()-1,FALSE))</f>
        <v>13.384954370000001</v>
      </c>
      <c r="BI37">
        <f ca="1">IF(AND(ISNUMBER($BI$269),$B$183=1),$BI$269,HLOOKUP(INDIRECT(ADDRESS(2,COLUMN())),OFFSET($BN$2,0,0,ROW()-1,60),ROW()-1,FALSE))</f>
        <v>3.2816398979999999</v>
      </c>
      <c r="BJ37">
        <f ca="1">IF(AND(ISNUMBER($BJ$269),$B$183=1),$BJ$269,HLOOKUP(INDIRECT(ADDRESS(2,COLUMN())),OFFSET($BN$2,0,0,ROW()-1,60),ROW()-1,FALSE))</f>
        <v>10.00247948</v>
      </c>
      <c r="BK37">
        <f ca="1">IF(AND(ISNUMBER($BK$269),$B$183=1),$BK$269,HLOOKUP(INDIRECT(ADDRESS(2,COLUMN())),OFFSET($BN$2,0,0,ROW()-1,60),ROW()-1,FALSE))</f>
        <v>-4.5907691079999999</v>
      </c>
      <c r="BL37">
        <f ca="1">IF(AND(ISNUMBER($BL$269),$B$183=1),$BL$269,HLOOKUP(INDIRECT(ADDRESS(2,COLUMN())),OFFSET($BN$2,0,0,ROW()-1,60),ROW()-1,FALSE))</f>
        <v>-11.71310944</v>
      </c>
      <c r="BM37">
        <f ca="1">IF(AND(ISNUMBER($BM$269),$B$183=1),$BM$269,HLOOKUP(INDIRECT(ADDRESS(2,COLUMN())),OFFSET($BN$2,0,0,ROW()-1,60),ROW()-1,FALSE))</f>
        <v>0.142455575</v>
      </c>
      <c r="BN37">
        <f>1.404990883</f>
        <v>1.404990883</v>
      </c>
      <c r="BO37">
        <f>6.848377583</f>
        <v>6.8483775830000004</v>
      </c>
      <c r="BP37">
        <f>6.801017195</f>
        <v>6.801017195</v>
      </c>
      <c r="BQ37">
        <f>8.801419964</f>
        <v>8.8014199640000008</v>
      </c>
      <c r="BR37">
        <f>22.0827307</f>
        <v>22.082730699999999</v>
      </c>
      <c r="BS37">
        <f>2.93235778</f>
        <v>2.9323577799999998</v>
      </c>
      <c r="BT37">
        <f>10.82228766</f>
        <v>10.822287660000001</v>
      </c>
      <c r="BU37">
        <f>17.86747976</f>
        <v>17.867479759999998</v>
      </c>
      <c r="BV37">
        <f>6.696971594</f>
        <v>6.6969715939999999</v>
      </c>
      <c r="BW37">
        <f>17.93407885</f>
        <v>17.934078849999999</v>
      </c>
      <c r="BX37">
        <f>23.40180411</f>
        <v>23.40180411</v>
      </c>
      <c r="BY37">
        <f>12.55369171</f>
        <v>12.553691710000001</v>
      </c>
      <c r="BZ37">
        <f>20.04410403</f>
        <v>20.04410403</v>
      </c>
      <c r="CA37">
        <f>27.73029099</f>
        <v>27.73029099</v>
      </c>
      <c r="CB37">
        <f>21.09783433</f>
        <v>21.097834330000001</v>
      </c>
      <c r="CC37">
        <f>27.55800095</f>
        <v>27.55800095</v>
      </c>
      <c r="CD37">
        <f>23.88421587</f>
        <v>23.884215869999998</v>
      </c>
      <c r="CE37">
        <f>16.10569896</f>
        <v>16.105698960000002</v>
      </c>
      <c r="CF37">
        <f>18.63664619</f>
        <v>18.63664619</v>
      </c>
      <c r="CG37">
        <f>15.21175277</f>
        <v>15.21175277</v>
      </c>
      <c r="CH37">
        <f>22.37746985</f>
        <v>22.377469850000001</v>
      </c>
      <c r="CI37">
        <f>14.24137146</f>
        <v>14.24137146</v>
      </c>
      <c r="CJ37">
        <f>26.76710083</f>
        <v>26.76710083</v>
      </c>
      <c r="CK37">
        <f>13.198407</f>
        <v>13.198407</v>
      </c>
      <c r="CL37">
        <f>47.7041027</f>
        <v>47.7041027</v>
      </c>
      <c r="CM37">
        <f>42.40037564</f>
        <v>42.40037564</v>
      </c>
      <c r="CN37">
        <f>27.32062047</f>
        <v>27.320620470000001</v>
      </c>
      <c r="CO37">
        <f>34.08133948</f>
        <v>34.081339479999997</v>
      </c>
      <c r="CP37">
        <f>30.74941885</f>
        <v>30.749418850000001</v>
      </c>
      <c r="CQ37">
        <f>20.94451865</f>
        <v>20.944518649999999</v>
      </c>
      <c r="CR37">
        <f>40.71041176</f>
        <v>40.71041176</v>
      </c>
      <c r="CS37">
        <f>-10.4435809</f>
        <v>-10.443580900000001</v>
      </c>
      <c r="CT37">
        <f>40.03534073</f>
        <v>40.035340730000001</v>
      </c>
      <c r="CU37">
        <f>-26.36110485</f>
        <v>-26.36110485</v>
      </c>
      <c r="CV37">
        <f>-42.64698799</f>
        <v>-42.64698799</v>
      </c>
      <c r="CW37">
        <f>-13.35502292</f>
        <v>-13.35502292</v>
      </c>
      <c r="CX37">
        <f>-58.47331736</f>
        <v>-58.473317360000003</v>
      </c>
      <c r="CY37">
        <f>-8.34205107</f>
        <v>-8.3420510700000001</v>
      </c>
      <c r="CZ37">
        <f>-5.335937748</f>
        <v>-5.3359377480000001</v>
      </c>
      <c r="DA37">
        <f>-3.841354526</f>
        <v>-3.8413545259999999</v>
      </c>
      <c r="DB37">
        <f>-3.221866744</f>
        <v>-3.2218667440000002</v>
      </c>
      <c r="DC37">
        <f>11.0931721</f>
        <v>11.0931721</v>
      </c>
      <c r="DD37">
        <f>4.917328978</f>
        <v>4.9173289779999996</v>
      </c>
      <c r="DE37">
        <f>10.59704844</f>
        <v>10.59704844</v>
      </c>
      <c r="DF37">
        <f>16.33139854</f>
        <v>16.331398539999999</v>
      </c>
      <c r="DG37">
        <f>4.801795485</f>
        <v>4.8017954850000004</v>
      </c>
      <c r="DH37">
        <f>12.44336852</f>
        <v>12.44336852</v>
      </c>
      <c r="DI37">
        <f>4.296908448</f>
        <v>4.2969084479999999</v>
      </c>
      <c r="DJ37">
        <f>-2.852462011</f>
        <v>-2.8524620110000001</v>
      </c>
      <c r="DK37">
        <f>7.555154193</f>
        <v>7.5551541929999999</v>
      </c>
      <c r="DL37">
        <f>9.353654393</f>
        <v>9.3536543929999993</v>
      </c>
      <c r="DM37">
        <f>17.10639235</f>
        <v>17.10639235</v>
      </c>
      <c r="DN37">
        <f>12.80760592</f>
        <v>12.80760592</v>
      </c>
      <c r="DO37">
        <f>6.751385933</f>
        <v>6.7513859329999999</v>
      </c>
      <c r="DP37">
        <f>13.38495437</f>
        <v>13.384954370000001</v>
      </c>
      <c r="DQ37">
        <f>3.281639898</f>
        <v>3.2816398979999999</v>
      </c>
      <c r="DR37">
        <f>10.00247948</f>
        <v>10.00247948</v>
      </c>
      <c r="DS37">
        <f>-4.590769108</f>
        <v>-4.5907691079999999</v>
      </c>
      <c r="DT37">
        <f>-11.71310944</f>
        <v>-11.71310944</v>
      </c>
      <c r="DU37">
        <f>0.142455575</f>
        <v>0.142455575</v>
      </c>
    </row>
    <row r="38" spans="1:125">
      <c r="A38" t="str">
        <f>"    "</f>
        <v xml:space="preserve">    </v>
      </c>
      <c r="B38" t="str">
        <f>""</f>
        <v/>
      </c>
      <c r="E38" t="str">
        <f>"静态"</f>
        <v>静态</v>
      </c>
      <c r="F38" t="str">
        <f t="shared" ref="F38:AK38" ca="1" si="5">HLOOKUP(INDIRECT(ADDRESS(2,COLUMN())),OFFSET($BN$2,0,0,ROW()-1,60),ROW()-1,FALSE)</f>
        <v/>
      </c>
      <c r="G38" t="str">
        <f t="shared" ca="1" si="5"/>
        <v/>
      </c>
      <c r="H38" t="str">
        <f t="shared" ca="1" si="5"/>
        <v/>
      </c>
      <c r="I38" t="str">
        <f t="shared" ca="1" si="5"/>
        <v/>
      </c>
      <c r="J38" t="str">
        <f t="shared" ca="1" si="5"/>
        <v/>
      </c>
      <c r="K38" t="str">
        <f t="shared" ca="1" si="5"/>
        <v/>
      </c>
      <c r="L38" t="str">
        <f t="shared" ca="1" si="5"/>
        <v/>
      </c>
      <c r="M38" t="str">
        <f t="shared" ca="1" si="5"/>
        <v/>
      </c>
      <c r="N38" t="str">
        <f t="shared" ca="1" si="5"/>
        <v/>
      </c>
      <c r="O38" t="str">
        <f t="shared" ca="1" si="5"/>
        <v/>
      </c>
      <c r="P38" t="str">
        <f t="shared" ca="1" si="5"/>
        <v/>
      </c>
      <c r="Q38" t="str">
        <f t="shared" ca="1" si="5"/>
        <v/>
      </c>
      <c r="R38" t="str">
        <f t="shared" ca="1" si="5"/>
        <v/>
      </c>
      <c r="S38" t="str">
        <f t="shared" ca="1" si="5"/>
        <v/>
      </c>
      <c r="T38" t="str">
        <f t="shared" ca="1" si="5"/>
        <v/>
      </c>
      <c r="U38" t="str">
        <f t="shared" ca="1" si="5"/>
        <v/>
      </c>
      <c r="V38" t="str">
        <f t="shared" ca="1" si="5"/>
        <v/>
      </c>
      <c r="W38" t="str">
        <f t="shared" ca="1" si="5"/>
        <v/>
      </c>
      <c r="X38" t="str">
        <f t="shared" ca="1" si="5"/>
        <v/>
      </c>
      <c r="Y38" t="str">
        <f t="shared" ca="1" si="5"/>
        <v/>
      </c>
      <c r="Z38" t="str">
        <f t="shared" ca="1" si="5"/>
        <v/>
      </c>
      <c r="AA38" t="str">
        <f t="shared" ca="1" si="5"/>
        <v/>
      </c>
      <c r="AB38" t="str">
        <f t="shared" ca="1" si="5"/>
        <v/>
      </c>
      <c r="AC38" t="str">
        <f t="shared" ca="1" si="5"/>
        <v/>
      </c>
      <c r="AD38" t="str">
        <f t="shared" ca="1" si="5"/>
        <v/>
      </c>
      <c r="AE38" t="str">
        <f t="shared" ca="1" si="5"/>
        <v/>
      </c>
      <c r="AF38" t="str">
        <f t="shared" ca="1" si="5"/>
        <v/>
      </c>
      <c r="AG38" t="str">
        <f t="shared" ca="1" si="5"/>
        <v/>
      </c>
      <c r="AH38" t="str">
        <f t="shared" ca="1" si="5"/>
        <v/>
      </c>
      <c r="AI38" t="str">
        <f t="shared" ca="1" si="5"/>
        <v/>
      </c>
      <c r="AJ38" t="str">
        <f t="shared" ca="1" si="5"/>
        <v/>
      </c>
      <c r="AK38" t="str">
        <f t="shared" ca="1" si="5"/>
        <v/>
      </c>
      <c r="AL38" t="str">
        <f t="shared" ref="AL38:BM38" ca="1" si="6">HLOOKUP(INDIRECT(ADDRESS(2,COLUMN())),OFFSET($BN$2,0,0,ROW()-1,60),ROW()-1,FALSE)</f>
        <v/>
      </c>
      <c r="AM38" t="str">
        <f t="shared" ca="1" si="6"/>
        <v/>
      </c>
      <c r="AN38" t="str">
        <f t="shared" ca="1" si="6"/>
        <v/>
      </c>
      <c r="AO38" t="str">
        <f t="shared" ca="1" si="6"/>
        <v/>
      </c>
      <c r="AP38" t="str">
        <f t="shared" ca="1" si="6"/>
        <v/>
      </c>
      <c r="AQ38" t="str">
        <f t="shared" ca="1" si="6"/>
        <v/>
      </c>
      <c r="AR38" t="str">
        <f t="shared" ca="1" si="6"/>
        <v/>
      </c>
      <c r="AS38" t="str">
        <f t="shared" ca="1" si="6"/>
        <v/>
      </c>
      <c r="AT38" t="str">
        <f t="shared" ca="1" si="6"/>
        <v/>
      </c>
      <c r="AU38" t="str">
        <f t="shared" ca="1" si="6"/>
        <v/>
      </c>
      <c r="AV38" t="str">
        <f t="shared" ca="1" si="6"/>
        <v/>
      </c>
      <c r="AW38" t="str">
        <f t="shared" ca="1" si="6"/>
        <v/>
      </c>
      <c r="AX38" t="str">
        <f t="shared" ca="1" si="6"/>
        <v/>
      </c>
      <c r="AY38" t="str">
        <f t="shared" ca="1" si="6"/>
        <v/>
      </c>
      <c r="AZ38" t="str">
        <f t="shared" ca="1" si="6"/>
        <v/>
      </c>
      <c r="BA38" t="str">
        <f t="shared" ca="1" si="6"/>
        <v/>
      </c>
      <c r="BB38" t="str">
        <f t="shared" ca="1" si="6"/>
        <v/>
      </c>
      <c r="BC38" t="str">
        <f t="shared" ca="1" si="6"/>
        <v/>
      </c>
      <c r="BD38" t="str">
        <f t="shared" ca="1" si="6"/>
        <v/>
      </c>
      <c r="BE38" t="str">
        <f t="shared" ca="1" si="6"/>
        <v/>
      </c>
      <c r="BF38" t="str">
        <f t="shared" ca="1" si="6"/>
        <v/>
      </c>
      <c r="BG38" t="str">
        <f t="shared" ca="1" si="6"/>
        <v/>
      </c>
      <c r="BH38" t="str">
        <f t="shared" ca="1" si="6"/>
        <v/>
      </c>
      <c r="BI38" t="str">
        <f t="shared" ca="1" si="6"/>
        <v/>
      </c>
      <c r="BJ38" t="str">
        <f t="shared" ca="1" si="6"/>
        <v/>
      </c>
      <c r="BK38" t="str">
        <f t="shared" ca="1" si="6"/>
        <v/>
      </c>
      <c r="BL38" t="str">
        <f t="shared" ca="1" si="6"/>
        <v/>
      </c>
      <c r="BM38" t="str">
        <f t="shared" ca="1" si="6"/>
        <v/>
      </c>
      <c r="BN38" t="str">
        <f>""</f>
        <v/>
      </c>
      <c r="BO38" t="str">
        <f>""</f>
        <v/>
      </c>
      <c r="BP38" t="str">
        <f>""</f>
        <v/>
      </c>
      <c r="BQ38" t="str">
        <f>""</f>
        <v/>
      </c>
      <c r="BR38" t="str">
        <f>""</f>
        <v/>
      </c>
      <c r="BS38" t="str">
        <f>""</f>
        <v/>
      </c>
      <c r="BT38" t="str">
        <f>""</f>
        <v/>
      </c>
      <c r="BU38" t="str">
        <f>""</f>
        <v/>
      </c>
      <c r="BV38" t="str">
        <f>""</f>
        <v/>
      </c>
      <c r="BW38" t="str">
        <f>""</f>
        <v/>
      </c>
      <c r="BX38" t="str">
        <f>""</f>
        <v/>
      </c>
      <c r="BY38" t="str">
        <f>""</f>
        <v/>
      </c>
      <c r="BZ38" t="str">
        <f>""</f>
        <v/>
      </c>
      <c r="CA38" t="str">
        <f>""</f>
        <v/>
      </c>
      <c r="CB38" t="str">
        <f>""</f>
        <v/>
      </c>
      <c r="CC38" t="str">
        <f>""</f>
        <v/>
      </c>
      <c r="CD38" t="str">
        <f>""</f>
        <v/>
      </c>
      <c r="CE38" t="str">
        <f>""</f>
        <v/>
      </c>
      <c r="CF38" t="str">
        <f>""</f>
        <v/>
      </c>
      <c r="CG38" t="str">
        <f>""</f>
        <v/>
      </c>
      <c r="CH38" t="str">
        <f>""</f>
        <v/>
      </c>
      <c r="CI38" t="str">
        <f>""</f>
        <v/>
      </c>
      <c r="CJ38" t="str">
        <f>""</f>
        <v/>
      </c>
      <c r="CK38" t="str">
        <f>""</f>
        <v/>
      </c>
      <c r="CL38" t="str">
        <f>""</f>
        <v/>
      </c>
      <c r="CM38" t="str">
        <f>""</f>
        <v/>
      </c>
      <c r="CN38" t="str">
        <f>""</f>
        <v/>
      </c>
      <c r="CO38" t="str">
        <f>""</f>
        <v/>
      </c>
      <c r="CP38" t="str">
        <f>""</f>
        <v/>
      </c>
      <c r="CQ38" t="str">
        <f>""</f>
        <v/>
      </c>
      <c r="CR38" t="str">
        <f>""</f>
        <v/>
      </c>
      <c r="CS38" t="str">
        <f>""</f>
        <v/>
      </c>
      <c r="CT38" t="str">
        <f>""</f>
        <v/>
      </c>
      <c r="CU38" t="str">
        <f>""</f>
        <v/>
      </c>
      <c r="CV38" t="str">
        <f>""</f>
        <v/>
      </c>
      <c r="CW38" t="str">
        <f>""</f>
        <v/>
      </c>
      <c r="CX38" t="str">
        <f>""</f>
        <v/>
      </c>
      <c r="CY38" t="str">
        <f>""</f>
        <v/>
      </c>
      <c r="CZ38" t="str">
        <f>""</f>
        <v/>
      </c>
      <c r="DA38" t="str">
        <f>""</f>
        <v/>
      </c>
      <c r="DB38" t="str">
        <f>""</f>
        <v/>
      </c>
      <c r="DC38" t="str">
        <f>""</f>
        <v/>
      </c>
      <c r="DD38" t="str">
        <f>""</f>
        <v/>
      </c>
      <c r="DE38" t="str">
        <f>""</f>
        <v/>
      </c>
      <c r="DF38" t="str">
        <f>""</f>
        <v/>
      </c>
      <c r="DG38" t="str">
        <f>""</f>
        <v/>
      </c>
      <c r="DH38" t="str">
        <f>""</f>
        <v/>
      </c>
      <c r="DI38" t="str">
        <f>""</f>
        <v/>
      </c>
      <c r="DJ38" t="str">
        <f>""</f>
        <v/>
      </c>
      <c r="DK38" t="str">
        <f>""</f>
        <v/>
      </c>
      <c r="DL38" t="str">
        <f>""</f>
        <v/>
      </c>
      <c r="DM38" t="str">
        <f>""</f>
        <v/>
      </c>
      <c r="DN38" t="str">
        <f>""</f>
        <v/>
      </c>
      <c r="DO38" t="str">
        <f>""</f>
        <v/>
      </c>
      <c r="DP38" t="str">
        <f>""</f>
        <v/>
      </c>
      <c r="DQ38" t="str">
        <f>""</f>
        <v/>
      </c>
      <c r="DR38" t="str">
        <f>""</f>
        <v/>
      </c>
      <c r="DS38" t="str">
        <f>""</f>
        <v/>
      </c>
      <c r="DT38" t="str">
        <f>""</f>
        <v/>
      </c>
      <c r="DU38" t="str">
        <f>""</f>
        <v/>
      </c>
    </row>
    <row r="39" spans="1:125">
      <c r="A39" t="str">
        <f>"净营业利润总额-所有房地产投资信托"</f>
        <v>净营业利润总额-所有房地产投资信托</v>
      </c>
      <c r="B39" t="str">
        <f>"RECFNOEQ Index"</f>
        <v>RECFNOEQ Index</v>
      </c>
      <c r="C39" t="str">
        <f t="shared" ref="C39:C56" si="7">"PR005"</f>
        <v>PR005</v>
      </c>
      <c r="D39" t="str">
        <f t="shared" ref="D39:D56" si="8">"PX_LAST"</f>
        <v>PX_LAST</v>
      </c>
      <c r="E39" t="str">
        <f t="shared" ref="E39:E56" si="9">"动态"</f>
        <v>动态</v>
      </c>
      <c r="F39">
        <f ca="1">IF(AND(ISNUMBER($F$270),$B$183=1),$F$270,HLOOKUP(INDIRECT(ADDRESS(2,COLUMN())),OFFSET($BN$2,0,0,ROW()-1,60),ROW()-1,FALSE))</f>
        <v>23930.773529999999</v>
      </c>
      <c r="G39">
        <f ca="1">IF(AND(ISNUMBER($G$270),$B$183=1),$G$270,HLOOKUP(INDIRECT(ADDRESS(2,COLUMN())),OFFSET($BN$2,0,0,ROW()-1,60),ROW()-1,FALSE))</f>
        <v>23220.32</v>
      </c>
      <c r="H39">
        <f ca="1">IF(AND(ISNUMBER($H$270),$B$183=1),$H$270,HLOOKUP(INDIRECT(ADDRESS(2,COLUMN())),OFFSET($BN$2,0,0,ROW()-1,60),ROW()-1,FALSE))</f>
        <v>23498.311000000002</v>
      </c>
      <c r="I39">
        <f ca="1">IF(AND(ISNUMBER($I$270),$B$183=1),$I$270,HLOOKUP(INDIRECT(ADDRESS(2,COLUMN())),OFFSET($BN$2,0,0,ROW()-1,60),ROW()-1,FALSE))</f>
        <v>22492.932000000001</v>
      </c>
      <c r="J39">
        <f ca="1">IF(AND(ISNUMBER($J$270),$B$183=1),$J$270,HLOOKUP(INDIRECT(ADDRESS(2,COLUMN())),OFFSET($BN$2,0,0,ROW()-1,60),ROW()-1,FALSE))</f>
        <v>21785.314999999999</v>
      </c>
      <c r="K39">
        <f ca="1">IF(AND(ISNUMBER($K$270),$B$183=1),$K$270,HLOOKUP(INDIRECT(ADDRESS(2,COLUMN())),OFFSET($BN$2,0,0,ROW()-1,60),ROW()-1,FALSE))</f>
        <v>21643.241000000002</v>
      </c>
      <c r="L39">
        <f ca="1">IF(AND(ISNUMBER($L$270),$B$183=1),$L$270,HLOOKUP(INDIRECT(ADDRESS(2,COLUMN())),OFFSET($BN$2,0,0,ROW()-1,60),ROW()-1,FALSE))</f>
        <v>21641.659</v>
      </c>
      <c r="M39">
        <f ca="1">IF(AND(ISNUMBER($M$270),$B$183=1),$M$270,HLOOKUP(INDIRECT(ADDRESS(2,COLUMN())),OFFSET($BN$2,0,0,ROW()-1,60),ROW()-1,FALSE))</f>
        <v>20475.269</v>
      </c>
      <c r="N39">
        <f ca="1">IF(AND(ISNUMBER($N$270),$B$183=1),$N$270,HLOOKUP(INDIRECT(ADDRESS(2,COLUMN())),OFFSET($BN$2,0,0,ROW()-1,60),ROW()-1,FALSE))</f>
        <v>20676.576000000001</v>
      </c>
      <c r="O39">
        <f ca="1">IF(AND(ISNUMBER($O$270),$B$183=1),$O$270,HLOOKUP(INDIRECT(ADDRESS(2,COLUMN())),OFFSET($BN$2,0,0,ROW()-1,60),ROW()-1,FALSE))</f>
        <v>20635.228999999999</v>
      </c>
      <c r="P39">
        <f ca="1">IF(AND(ISNUMBER($P$270),$B$183=1),$P$270,HLOOKUP(INDIRECT(ADDRESS(2,COLUMN())),OFFSET($BN$2,0,0,ROW()-1,60),ROW()-1,FALSE))</f>
        <v>20251.315999999999</v>
      </c>
      <c r="Q39">
        <f ca="1">IF(AND(ISNUMBER($Q$270),$B$183=1),$Q$270,HLOOKUP(INDIRECT(ADDRESS(2,COLUMN())),OFFSET($BN$2,0,0,ROW()-1,60),ROW()-1,FALSE))</f>
        <v>18806.54</v>
      </c>
      <c r="R39">
        <f ca="1">IF(AND(ISNUMBER($R$270),$B$183=1),$R$270,HLOOKUP(INDIRECT(ADDRESS(2,COLUMN())),OFFSET($BN$2,0,0,ROW()-1,60),ROW()-1,FALSE))</f>
        <v>18075.370500000001</v>
      </c>
      <c r="S39">
        <f ca="1">IF(AND(ISNUMBER($S$270),$B$183=1),$S$270,HLOOKUP(INDIRECT(ADDRESS(2,COLUMN())),OFFSET($BN$2,0,0,ROW()-1,60),ROW()-1,FALSE))</f>
        <v>17018.413</v>
      </c>
      <c r="T39">
        <f ca="1">IF(AND(ISNUMBER($T$270),$B$183=1),$T$270,HLOOKUP(INDIRECT(ADDRESS(2,COLUMN())),OFFSET($BN$2,0,0,ROW()-1,60),ROW()-1,FALSE))</f>
        <v>16865.037</v>
      </c>
      <c r="U39">
        <f ca="1">IF(AND(ISNUMBER($U$270),$B$183=1),$U$270,HLOOKUP(INDIRECT(ADDRESS(2,COLUMN())),OFFSET($BN$2,0,0,ROW()-1,60),ROW()-1,FALSE))</f>
        <v>15708.17</v>
      </c>
      <c r="V39">
        <f ca="1">IF(AND(ISNUMBER($V$270),$B$183=1),$V$270,HLOOKUP(INDIRECT(ADDRESS(2,COLUMN())),OFFSET($BN$2,0,0,ROW()-1,60),ROW()-1,FALSE))</f>
        <v>15229.825999999999</v>
      </c>
      <c r="W39">
        <f ca="1">IF(AND(ISNUMBER($W$270),$B$183=1),$W$270,HLOOKUP(INDIRECT(ADDRESS(2,COLUMN())),OFFSET($BN$2,0,0,ROW()-1,60),ROW()-1,FALSE))</f>
        <v>14146.326999999999</v>
      </c>
      <c r="X39">
        <f ca="1">IF(AND(ISNUMBER($X$270),$B$183=1),$X$270,HLOOKUP(INDIRECT(ADDRESS(2,COLUMN())),OFFSET($BN$2,0,0,ROW()-1,60),ROW()-1,FALSE))</f>
        <v>14155.662</v>
      </c>
      <c r="Y39">
        <f ca="1">IF(AND(ISNUMBER($Y$270),$B$183=1),$Y$270,HLOOKUP(INDIRECT(ADDRESS(2,COLUMN())),OFFSET($BN$2,0,0,ROW()-1,60),ROW()-1,FALSE))</f>
        <v>13174.107</v>
      </c>
      <c r="Z39">
        <f ca="1">IF(AND(ISNUMBER($Z$270),$B$183=1),$Z$270,HLOOKUP(INDIRECT(ADDRESS(2,COLUMN())),OFFSET($BN$2,0,0,ROW()-1,60),ROW()-1,FALSE))</f>
        <v>13218.138999999999</v>
      </c>
      <c r="AA39">
        <f ca="1">IF(AND(ISNUMBER($AA$270),$B$183=1),$AA$270,HLOOKUP(INDIRECT(ADDRESS(2,COLUMN())),OFFSET($BN$2,0,0,ROW()-1,60),ROW()-1,FALSE))</f>
        <v>12384.773999999999</v>
      </c>
      <c r="AB39">
        <f ca="1">IF(AND(ISNUMBER($AB$270),$B$183=1),$AB$270,HLOOKUP(INDIRECT(ADDRESS(2,COLUMN())),OFFSET($BN$2,0,0,ROW()-1,60),ROW()-1,FALSE))</f>
        <v>12154.594999999999</v>
      </c>
      <c r="AC39">
        <f ca="1">IF(AND(ISNUMBER($AC$270),$B$183=1),$AC$270,HLOOKUP(INDIRECT(ADDRESS(2,COLUMN())),OFFSET($BN$2,0,0,ROW()-1,60),ROW()-1,FALSE))</f>
        <v>11259.303</v>
      </c>
      <c r="AD39">
        <f ca="1">IF(AND(ISNUMBER($AD$270),$B$183=1),$AD$270,HLOOKUP(INDIRECT(ADDRESS(2,COLUMN())),OFFSET($BN$2,0,0,ROW()-1,60),ROW()-1,FALSE))</f>
        <v>11093.251</v>
      </c>
      <c r="AE39">
        <f ca="1">IF(AND(ISNUMBER($AE$270),$B$183=1),$AE$270,HLOOKUP(INDIRECT(ADDRESS(2,COLUMN())),OFFSET($BN$2,0,0,ROW()-1,60),ROW()-1,FALSE))</f>
        <v>10676.14</v>
      </c>
      <c r="AF39">
        <f ca="1">IF(AND(ISNUMBER($AF$270),$B$183=1),$AF$270,HLOOKUP(INDIRECT(ADDRESS(2,COLUMN())),OFFSET($BN$2,0,0,ROW()-1,60),ROW()-1,FALSE))</f>
        <v>10344.227000000001</v>
      </c>
      <c r="AG39">
        <f ca="1">IF(AND(ISNUMBER($AG$270),$B$183=1),$AG$270,HLOOKUP(INDIRECT(ADDRESS(2,COLUMN())),OFFSET($BN$2,0,0,ROW()-1,60),ROW()-1,FALSE))</f>
        <v>9766.7900000000009</v>
      </c>
      <c r="AH39">
        <f ca="1">IF(AND(ISNUMBER($AH$270),$B$183=1),$AH$270,HLOOKUP(INDIRECT(ADDRESS(2,COLUMN())),OFFSET($BN$2,0,0,ROW()-1,60),ROW()-1,FALSE))</f>
        <v>10074.013999999999</v>
      </c>
      <c r="AI39">
        <f ca="1">IF(AND(ISNUMBER($AI$270),$B$183=1),$AI$270,HLOOKUP(INDIRECT(ADDRESS(2,COLUMN())),OFFSET($BN$2,0,0,ROW()-1,60),ROW()-1,FALSE))</f>
        <v>8677.0244999999995</v>
      </c>
      <c r="AJ39">
        <f ca="1">IF(AND(ISNUMBER($AJ$270),$B$183=1),$AJ$270,HLOOKUP(INDIRECT(ADDRESS(2,COLUMN())),OFFSET($BN$2,0,0,ROW()-1,60),ROW()-1,FALSE))</f>
        <v>8592.49</v>
      </c>
      <c r="AK39">
        <f ca="1">IF(AND(ISNUMBER($AK$270),$B$183=1),$AK$270,HLOOKUP(INDIRECT(ADDRESS(2,COLUMN())),OFFSET($BN$2,0,0,ROW()-1,60),ROW()-1,FALSE))</f>
        <v>8273.4580000000005</v>
      </c>
      <c r="AL39">
        <f ca="1">IF(AND(ISNUMBER($AL$270),$B$183=1),$AL$270,HLOOKUP(INDIRECT(ADDRESS(2,COLUMN())),OFFSET($BN$2,0,0,ROW()-1,60),ROW()-1,FALSE))</f>
        <v>8457.0470000000005</v>
      </c>
      <c r="AM39">
        <f ca="1">IF(AND(ISNUMBER($AM$270),$B$183=1),$AM$270,HLOOKUP(INDIRECT(ADDRESS(2,COLUMN())),OFFSET($BN$2,0,0,ROW()-1,60),ROW()-1,FALSE))</f>
        <v>8172.0150000000003</v>
      </c>
      <c r="AN39">
        <f ca="1">IF(AND(ISNUMBER($AN$270),$B$183=1),$AN$270,HLOOKUP(INDIRECT(ADDRESS(2,COLUMN())),OFFSET($BN$2,0,0,ROW()-1,60),ROW()-1,FALSE))</f>
        <v>8344.4619999999995</v>
      </c>
      <c r="AO39">
        <f ca="1">IF(AND(ISNUMBER($AO$270),$B$183=1),$AO$270,HLOOKUP(INDIRECT(ADDRESS(2,COLUMN())),OFFSET($BN$2,0,0,ROW()-1,60),ROW()-1,FALSE))</f>
        <v>8564.9380000000001</v>
      </c>
      <c r="AP39">
        <f ca="1">IF(AND(ISNUMBER($AP$270),$B$183=1),$AP$270,HLOOKUP(INDIRECT(ADDRESS(2,COLUMN())),OFFSET($BN$2,0,0,ROW()-1,60),ROW()-1,FALSE))</f>
        <v>8752.5935000000009</v>
      </c>
      <c r="AQ39">
        <f ca="1">IF(AND(ISNUMBER($AQ$270),$B$183=1),$AQ$270,HLOOKUP(INDIRECT(ADDRESS(2,COLUMN())),OFFSET($BN$2,0,0,ROW()-1,60),ROW()-1,FALSE))</f>
        <v>9209.107</v>
      </c>
      <c r="AR39">
        <f ca="1">IF(AND(ISNUMBER($AR$270),$B$183=1),$AR$270,HLOOKUP(INDIRECT(ADDRESS(2,COLUMN())),OFFSET($BN$2,0,0,ROW()-1,60),ROW()-1,FALSE))</f>
        <v>9584.8389999999999</v>
      </c>
      <c r="AS39">
        <f ca="1">IF(AND(ISNUMBER($AS$270),$B$183=1),$AS$270,HLOOKUP(INDIRECT(ADDRESS(2,COLUMN())),OFFSET($BN$2,0,0,ROW()-1,60),ROW()-1,FALSE))</f>
        <v>9248.4629999999997</v>
      </c>
      <c r="AT39">
        <f ca="1">IF(AND(ISNUMBER($AT$270),$B$183=1),$AT$270,HLOOKUP(INDIRECT(ADDRESS(2,COLUMN())),OFFSET($BN$2,0,0,ROW()-1,60),ROW()-1,FALSE))</f>
        <v>9028.1419999999998</v>
      </c>
      <c r="AU39">
        <f ca="1">IF(AND(ISNUMBER($AU$270),$B$183=1),$AU$270,HLOOKUP(INDIRECT(ADDRESS(2,COLUMN())),OFFSET($BN$2,0,0,ROW()-1,60),ROW()-1,FALSE))</f>
        <v>9532.7895000000008</v>
      </c>
      <c r="AV39">
        <f ca="1">IF(AND(ISNUMBER($AV$270),$B$183=1),$AV$270,HLOOKUP(INDIRECT(ADDRESS(2,COLUMN())),OFFSET($BN$2,0,0,ROW()-1,60),ROW()-1,FALSE))</f>
        <v>9615.17</v>
      </c>
      <c r="AW39">
        <f ca="1">IF(AND(ISNUMBER($AW$270),$B$183=1),$AW$270,HLOOKUP(INDIRECT(ADDRESS(2,COLUMN())),OFFSET($BN$2,0,0,ROW()-1,60),ROW()-1,FALSE))</f>
        <v>9131.7060000000001</v>
      </c>
      <c r="AX39">
        <f ca="1">IF(AND(ISNUMBER($AX$270),$B$183=1),$AX$270,HLOOKUP(INDIRECT(ADDRESS(2,COLUMN())),OFFSET($BN$2,0,0,ROW()-1,60),ROW()-1,FALSE))</f>
        <v>9933.7780000000002</v>
      </c>
      <c r="AY39">
        <f ca="1">IF(AND(ISNUMBER($AY$270),$B$183=1),$AY$270,HLOOKUP(INDIRECT(ADDRESS(2,COLUMN())),OFFSET($BN$2,0,0,ROW()-1,60),ROW()-1,FALSE))</f>
        <v>9489.1115000000009</v>
      </c>
      <c r="AZ39">
        <f ca="1">IF(AND(ISNUMBER($AZ$270),$B$183=1),$AZ$270,HLOOKUP(INDIRECT(ADDRESS(2,COLUMN())),OFFSET($BN$2,0,0,ROW()-1,60),ROW()-1,FALSE))</f>
        <v>9812.8220000000001</v>
      </c>
      <c r="BA39">
        <f ca="1">IF(AND(ISNUMBER($BA$270),$B$183=1),$BA$270,HLOOKUP(INDIRECT(ADDRESS(2,COLUMN())),OFFSET($BN$2,0,0,ROW()-1,60),ROW()-1,FALSE))</f>
        <v>9407.7669999999998</v>
      </c>
      <c r="BB39">
        <f ca="1">IF(AND(ISNUMBER($BB$270),$B$183=1),$BB$270,HLOOKUP(INDIRECT(ADDRESS(2,COLUMN())),OFFSET($BN$2,0,0,ROW()-1,60),ROW()-1,FALSE))</f>
        <v>9453.2484999999997</v>
      </c>
      <c r="BC39">
        <f ca="1">IF(AND(ISNUMBER($BC$270),$B$183=1),$BC$270,HLOOKUP(INDIRECT(ADDRESS(2,COLUMN())),OFFSET($BN$2,0,0,ROW()-1,60),ROW()-1,FALSE))</f>
        <v>9006.0069999999996</v>
      </c>
      <c r="BD39">
        <f ca="1">IF(AND(ISNUMBER($BD$270),$B$183=1),$BD$270,HLOOKUP(INDIRECT(ADDRESS(2,COLUMN())),OFFSET($BN$2,0,0,ROW()-1,60),ROW()-1,FALSE))</f>
        <v>9101.6990000000005</v>
      </c>
      <c r="BE39">
        <f ca="1">IF(AND(ISNUMBER($BE$270),$B$183=1),$BE$270,HLOOKUP(INDIRECT(ADDRESS(2,COLUMN())),OFFSET($BN$2,0,0,ROW()-1,60),ROW()-1,FALSE))</f>
        <v>8730.4750000000004</v>
      </c>
      <c r="BF39">
        <f ca="1">IF(AND(ISNUMBER($BF$270),$B$183=1),$BF$270,HLOOKUP(INDIRECT(ADDRESS(2,COLUMN())),OFFSET($BN$2,0,0,ROW()-1,60),ROW()-1,FALSE))</f>
        <v>8697.2240000000002</v>
      </c>
      <c r="BG39">
        <f ca="1">IF(AND(ISNUMBER($BG$270),$B$183=1),$BG$270,HLOOKUP(INDIRECT(ADDRESS(2,COLUMN())),OFFSET($BN$2,0,0,ROW()-1,60),ROW()-1,FALSE))</f>
        <v>8090.3969999999999</v>
      </c>
      <c r="BH39">
        <f ca="1">IF(AND(ISNUMBER($BH$270),$B$183=1),$BH$270,HLOOKUP(INDIRECT(ADDRESS(2,COLUMN())),OFFSET($BN$2,0,0,ROW()-1,60),ROW()-1,FALSE))</f>
        <v>8094.5654999999997</v>
      </c>
      <c r="BI39">
        <f ca="1">IF(AND(ISNUMBER($BI$270),$B$183=1),$BI$270,HLOOKUP(INDIRECT(ADDRESS(2,COLUMN())),OFFSET($BN$2,0,0,ROW()-1,60),ROW()-1,FALSE))</f>
        <v>7880.7730000000001</v>
      </c>
      <c r="BJ39">
        <f ca="1">IF(AND(ISNUMBER($BJ$270),$B$183=1),$BJ$270,HLOOKUP(INDIRECT(ADDRESS(2,COLUMN())),OFFSET($BN$2,0,0,ROW()-1,60),ROW()-1,FALSE))</f>
        <v>7678.6795000000002</v>
      </c>
      <c r="BK39">
        <f ca="1">IF(AND(ISNUMBER($BK$270),$B$183=1),$BK$270,HLOOKUP(INDIRECT(ADDRESS(2,COLUMN())),OFFSET($BN$2,0,0,ROW()-1,60),ROW()-1,FALSE))</f>
        <v>7284.4629999999997</v>
      </c>
      <c r="BL39">
        <f ca="1">IF(AND(ISNUMBER($BL$270),$B$183=1),$BL$270,HLOOKUP(INDIRECT(ADDRESS(2,COLUMN())),OFFSET($BN$2,0,0,ROW()-1,60),ROW()-1,FALSE))</f>
        <v>7358.08</v>
      </c>
      <c r="BM39">
        <f ca="1">IF(AND(ISNUMBER($BM$270),$B$183=1),$BM$270,HLOOKUP(INDIRECT(ADDRESS(2,COLUMN())),OFFSET($BN$2,0,0,ROW()-1,60),ROW()-1,FALSE))</f>
        <v>7138.5110000000004</v>
      </c>
      <c r="BN39">
        <f>23930.77353</f>
        <v>23930.773529999999</v>
      </c>
      <c r="BO39">
        <f>23220.32</f>
        <v>23220.32</v>
      </c>
      <c r="BP39">
        <f>23498.311</f>
        <v>23498.311000000002</v>
      </c>
      <c r="BQ39">
        <f>22492.932</f>
        <v>22492.932000000001</v>
      </c>
      <c r="BR39">
        <f>21785.315</f>
        <v>21785.314999999999</v>
      </c>
      <c r="BS39">
        <f>21643.241</f>
        <v>21643.241000000002</v>
      </c>
      <c r="BT39">
        <f>21641.659</f>
        <v>21641.659</v>
      </c>
      <c r="BU39">
        <f>20475.269</f>
        <v>20475.269</v>
      </c>
      <c r="BV39">
        <f>20676.576</f>
        <v>20676.576000000001</v>
      </c>
      <c r="BW39">
        <f>20635.229</f>
        <v>20635.228999999999</v>
      </c>
      <c r="BX39">
        <f>20251.316</f>
        <v>20251.315999999999</v>
      </c>
      <c r="BY39">
        <f>18806.54</f>
        <v>18806.54</v>
      </c>
      <c r="BZ39">
        <f>18075.3705</f>
        <v>18075.370500000001</v>
      </c>
      <c r="CA39">
        <f>17018.413</f>
        <v>17018.413</v>
      </c>
      <c r="CB39">
        <f>16865.037</f>
        <v>16865.037</v>
      </c>
      <c r="CC39">
        <f>15708.17</f>
        <v>15708.17</v>
      </c>
      <c r="CD39">
        <f>15229.826</f>
        <v>15229.825999999999</v>
      </c>
      <c r="CE39">
        <f>14146.327</f>
        <v>14146.326999999999</v>
      </c>
      <c r="CF39">
        <f>14155.662</f>
        <v>14155.662</v>
      </c>
      <c r="CG39">
        <f>13174.107</f>
        <v>13174.107</v>
      </c>
      <c r="CH39">
        <f>13218.139</f>
        <v>13218.138999999999</v>
      </c>
      <c r="CI39">
        <f>12384.774</f>
        <v>12384.773999999999</v>
      </c>
      <c r="CJ39">
        <f>12154.595</f>
        <v>12154.594999999999</v>
      </c>
      <c r="CK39">
        <f>11259.303</f>
        <v>11259.303</v>
      </c>
      <c r="CL39">
        <f>11093.251</f>
        <v>11093.251</v>
      </c>
      <c r="CM39">
        <f>10676.14</f>
        <v>10676.14</v>
      </c>
      <c r="CN39">
        <f>10344.227</f>
        <v>10344.227000000001</v>
      </c>
      <c r="CO39">
        <f>9766.79</f>
        <v>9766.7900000000009</v>
      </c>
      <c r="CP39">
        <f>10074.014</f>
        <v>10074.013999999999</v>
      </c>
      <c r="CQ39">
        <f>8677.0245</f>
        <v>8677.0244999999995</v>
      </c>
      <c r="CR39">
        <f>8592.49</f>
        <v>8592.49</v>
      </c>
      <c r="CS39">
        <f>8273.458</f>
        <v>8273.4580000000005</v>
      </c>
      <c r="CT39">
        <f>8457.047</f>
        <v>8457.0470000000005</v>
      </c>
      <c r="CU39">
        <f>8172.015</f>
        <v>8172.0150000000003</v>
      </c>
      <c r="CV39">
        <f>8344.462</f>
        <v>8344.4619999999995</v>
      </c>
      <c r="CW39">
        <f>8564.938</f>
        <v>8564.9380000000001</v>
      </c>
      <c r="CX39">
        <f>8752.5935</f>
        <v>8752.5935000000009</v>
      </c>
      <c r="CY39">
        <f>9209.107</f>
        <v>9209.107</v>
      </c>
      <c r="CZ39">
        <f>9584.839</f>
        <v>9584.8389999999999</v>
      </c>
      <c r="DA39">
        <f>9248.463</f>
        <v>9248.4629999999997</v>
      </c>
      <c r="DB39">
        <f>9028.142</f>
        <v>9028.1419999999998</v>
      </c>
      <c r="DC39">
        <f>9532.7895</f>
        <v>9532.7895000000008</v>
      </c>
      <c r="DD39">
        <f>9615.17</f>
        <v>9615.17</v>
      </c>
      <c r="DE39">
        <f>9131.706</f>
        <v>9131.7060000000001</v>
      </c>
      <c r="DF39">
        <f>9933.778</f>
        <v>9933.7780000000002</v>
      </c>
      <c r="DG39">
        <f>9489.1115</f>
        <v>9489.1115000000009</v>
      </c>
      <c r="DH39">
        <f>9812.822</f>
        <v>9812.8220000000001</v>
      </c>
      <c r="DI39">
        <f>9407.767</f>
        <v>9407.7669999999998</v>
      </c>
      <c r="DJ39">
        <f>9453.2485</f>
        <v>9453.2484999999997</v>
      </c>
      <c r="DK39">
        <f>9006.007</f>
        <v>9006.0069999999996</v>
      </c>
      <c r="DL39">
        <f>9101.699</f>
        <v>9101.6990000000005</v>
      </c>
      <c r="DM39">
        <f>8730.475</f>
        <v>8730.4750000000004</v>
      </c>
      <c r="DN39">
        <f>8697.224</f>
        <v>8697.2240000000002</v>
      </c>
      <c r="DO39">
        <f>8090.397</f>
        <v>8090.3969999999999</v>
      </c>
      <c r="DP39">
        <f>8094.5655</f>
        <v>8094.5654999999997</v>
      </c>
      <c r="DQ39">
        <f>7880.773</f>
        <v>7880.7730000000001</v>
      </c>
      <c r="DR39">
        <f>7678.6795</f>
        <v>7678.6795000000002</v>
      </c>
      <c r="DS39">
        <f>7284.463</f>
        <v>7284.4629999999997</v>
      </c>
      <c r="DT39">
        <f>7358.08</f>
        <v>7358.08</v>
      </c>
      <c r="DU39">
        <f>7138.511</f>
        <v>7138.5110000000004</v>
      </c>
    </row>
    <row r="40" spans="1:125">
      <c r="A40" t="str">
        <f>"    Office REITs"</f>
        <v xml:space="preserve">    Office REITs</v>
      </c>
      <c r="B40" t="str">
        <f>"RECFNOOF Index"</f>
        <v>RECFNOOF Index</v>
      </c>
      <c r="C40" t="str">
        <f t="shared" si="7"/>
        <v>PR005</v>
      </c>
      <c r="D40" t="str">
        <f t="shared" si="8"/>
        <v>PX_LAST</v>
      </c>
      <c r="E40" t="str">
        <f t="shared" si="9"/>
        <v>动态</v>
      </c>
      <c r="F40">
        <f ca="1">IF(AND(ISNUMBER($F$271),$B$183=1),$F$271,HLOOKUP(INDIRECT(ADDRESS(2,COLUMN())),OFFSET($BN$2,0,0,ROW()-1,60),ROW()-1,FALSE))</f>
        <v>2265.1098149999998</v>
      </c>
      <c r="G40">
        <f ca="1">IF(AND(ISNUMBER($G$271),$B$183=1),$G$271,HLOOKUP(INDIRECT(ADDRESS(2,COLUMN())),OFFSET($BN$2,0,0,ROW()-1,60),ROW()-1,FALSE))</f>
        <v>2263.0129999999999</v>
      </c>
      <c r="H40">
        <f ca="1">IF(AND(ISNUMBER($H$271),$B$183=1),$H$271,HLOOKUP(INDIRECT(ADDRESS(2,COLUMN())),OFFSET($BN$2,0,0,ROW()-1,60),ROW()-1,FALSE))</f>
        <v>2360.5140000000001</v>
      </c>
      <c r="I40">
        <f ca="1">IF(AND(ISNUMBER($I$271),$B$183=1),$I$271,HLOOKUP(INDIRECT(ADDRESS(2,COLUMN())),OFFSET($BN$2,0,0,ROW()-1,60),ROW()-1,FALSE))</f>
        <v>2315.9119999999998</v>
      </c>
      <c r="J40">
        <f ca="1">IF(AND(ISNUMBER($J$271),$B$183=1),$J$271,HLOOKUP(INDIRECT(ADDRESS(2,COLUMN())),OFFSET($BN$2,0,0,ROW()-1,60),ROW()-1,FALSE))</f>
        <v>2273.4609999999998</v>
      </c>
      <c r="K40">
        <f ca="1">IF(AND(ISNUMBER($K$271),$B$183=1),$K$271,HLOOKUP(INDIRECT(ADDRESS(2,COLUMN())),OFFSET($BN$2,0,0,ROW()-1,60),ROW()-1,FALSE))</f>
        <v>2213.7199999999998</v>
      </c>
      <c r="L40">
        <f ca="1">IF(AND(ISNUMBER($L$271),$B$183=1),$L$271,HLOOKUP(INDIRECT(ADDRESS(2,COLUMN())),OFFSET($BN$2,0,0,ROW()-1,60),ROW()-1,FALSE))</f>
        <v>2458.768</v>
      </c>
      <c r="M40">
        <f ca="1">IF(AND(ISNUMBER($M$271),$B$183=1),$M$271,HLOOKUP(INDIRECT(ADDRESS(2,COLUMN())),OFFSET($BN$2,0,0,ROW()-1,60),ROW()-1,FALSE))</f>
        <v>2436.2310000000002</v>
      </c>
      <c r="N40">
        <f ca="1">IF(AND(ISNUMBER($N$271),$B$183=1),$N$271,HLOOKUP(INDIRECT(ADDRESS(2,COLUMN())),OFFSET($BN$2,0,0,ROW()-1,60),ROW()-1,FALSE))</f>
        <v>2294.8629999999998</v>
      </c>
      <c r="O40">
        <f ca="1">IF(AND(ISNUMBER($O$271),$B$183=1),$O$271,HLOOKUP(INDIRECT(ADDRESS(2,COLUMN())),OFFSET($BN$2,0,0,ROW()-1,60),ROW()-1,FALSE))</f>
        <v>2453.8789999999999</v>
      </c>
      <c r="P40">
        <f ca="1">IF(AND(ISNUMBER($P$271),$B$183=1),$P$271,HLOOKUP(INDIRECT(ADDRESS(2,COLUMN())),OFFSET($BN$2,0,0,ROW()-1,60),ROW()-1,FALSE))</f>
        <v>2424.4850000000001</v>
      </c>
      <c r="Q40">
        <f ca="1">IF(AND(ISNUMBER($Q$271),$B$183=1),$Q$271,HLOOKUP(INDIRECT(ADDRESS(2,COLUMN())),OFFSET($BN$2,0,0,ROW()-1,60),ROW()-1,FALSE))</f>
        <v>2154.7550000000001</v>
      </c>
      <c r="R40">
        <f ca="1">IF(AND(ISNUMBER($R$271),$B$183=1),$R$271,HLOOKUP(INDIRECT(ADDRESS(2,COLUMN())),OFFSET($BN$2,0,0,ROW()-1,60),ROW()-1,FALSE))</f>
        <v>2101.2809999999999</v>
      </c>
      <c r="S40">
        <f ca="1">IF(AND(ISNUMBER($S$271),$B$183=1),$S$271,HLOOKUP(INDIRECT(ADDRESS(2,COLUMN())),OFFSET($BN$2,0,0,ROW()-1,60),ROW()-1,FALSE))</f>
        <v>2036.7439999999999</v>
      </c>
      <c r="T40">
        <f ca="1">IF(AND(ISNUMBER($T$271),$B$183=1),$T$271,HLOOKUP(INDIRECT(ADDRESS(2,COLUMN())),OFFSET($BN$2,0,0,ROW()-1,60),ROW()-1,FALSE))</f>
        <v>2001.278</v>
      </c>
      <c r="U40">
        <f ca="1">IF(AND(ISNUMBER($U$271),$B$183=1),$U$271,HLOOKUP(INDIRECT(ADDRESS(2,COLUMN())),OFFSET($BN$2,0,0,ROW()-1,60),ROW()-1,FALSE))</f>
        <v>1888.8</v>
      </c>
      <c r="V40">
        <f ca="1">IF(AND(ISNUMBER($V$271),$B$183=1),$V$271,HLOOKUP(INDIRECT(ADDRESS(2,COLUMN())),OFFSET($BN$2,0,0,ROW()-1,60),ROW()-1,FALSE))</f>
        <v>1822.3209999999999</v>
      </c>
      <c r="W40">
        <f ca="1">IF(AND(ISNUMBER($W$271),$B$183=1),$W$271,HLOOKUP(INDIRECT(ADDRESS(2,COLUMN())),OFFSET($BN$2,0,0,ROW()-1,60),ROW()-1,FALSE))</f>
        <v>1696.683</v>
      </c>
      <c r="X40">
        <f ca="1">IF(AND(ISNUMBER($X$271),$B$183=1),$X$271,HLOOKUP(INDIRECT(ADDRESS(2,COLUMN())),OFFSET($BN$2,0,0,ROW()-1,60),ROW()-1,FALSE))</f>
        <v>1749.3979999999999</v>
      </c>
      <c r="Y40">
        <f ca="1">IF(AND(ISNUMBER($Y$271),$B$183=1),$Y$271,HLOOKUP(INDIRECT(ADDRESS(2,COLUMN())),OFFSET($BN$2,0,0,ROW()-1,60),ROW()-1,FALSE))</f>
        <v>1652.511</v>
      </c>
      <c r="Z40">
        <f ca="1">IF(AND(ISNUMBER($Z$271),$B$183=1),$Z$271,HLOOKUP(INDIRECT(ADDRESS(2,COLUMN())),OFFSET($BN$2,0,0,ROW()-1,60),ROW()-1,FALSE))</f>
        <v>1618.3589999999999</v>
      </c>
      <c r="AA40">
        <f ca="1">IF(AND(ISNUMBER($AA$271),$B$183=1),$AA$271,HLOOKUP(INDIRECT(ADDRESS(2,COLUMN())),OFFSET($BN$2,0,0,ROW()-1,60),ROW()-1,FALSE))</f>
        <v>1617.3130000000001</v>
      </c>
      <c r="AB40">
        <f ca="1">IF(AND(ISNUMBER($AB$271),$B$183=1),$AB$271,HLOOKUP(INDIRECT(ADDRESS(2,COLUMN())),OFFSET($BN$2,0,0,ROW()-1,60),ROW()-1,FALSE))</f>
        <v>1616.0139999999999</v>
      </c>
      <c r="AC40">
        <f ca="1">IF(AND(ISNUMBER($AC$271),$B$183=1),$AC$271,HLOOKUP(INDIRECT(ADDRESS(2,COLUMN())),OFFSET($BN$2,0,0,ROW()-1,60),ROW()-1,FALSE))</f>
        <v>1542.748</v>
      </c>
      <c r="AD40">
        <f ca="1">IF(AND(ISNUMBER($AD$271),$B$183=1),$AD$271,HLOOKUP(INDIRECT(ADDRESS(2,COLUMN())),OFFSET($BN$2,0,0,ROW()-1,60),ROW()-1,FALSE))</f>
        <v>1522.9449999999999</v>
      </c>
      <c r="AE40">
        <f ca="1">IF(AND(ISNUMBER($AE$271),$B$183=1),$AE$271,HLOOKUP(INDIRECT(ADDRESS(2,COLUMN())),OFFSET($BN$2,0,0,ROW()-1,60),ROW()-1,FALSE))</f>
        <v>1525.596</v>
      </c>
      <c r="AF40">
        <f ca="1">IF(AND(ISNUMBER($AF$271),$B$183=1),$AF$271,HLOOKUP(INDIRECT(ADDRESS(2,COLUMN())),OFFSET($BN$2,0,0,ROW()-1,60),ROW()-1,FALSE))</f>
        <v>1525.0029999999999</v>
      </c>
      <c r="AG40">
        <f ca="1">IF(AND(ISNUMBER($AG$271),$B$183=1),$AG$271,HLOOKUP(INDIRECT(ADDRESS(2,COLUMN())),OFFSET($BN$2,0,0,ROW()-1,60),ROW()-1,FALSE))</f>
        <v>1479.1669999999999</v>
      </c>
      <c r="AH40">
        <f ca="1">IF(AND(ISNUMBER($AH$271),$B$183=1),$AH$271,HLOOKUP(INDIRECT(ADDRESS(2,COLUMN())),OFFSET($BN$2,0,0,ROW()-1,60),ROW()-1,FALSE))</f>
        <v>1431.18</v>
      </c>
      <c r="AI40">
        <f ca="1">IF(AND(ISNUMBER($AI$271),$B$183=1),$AI$271,HLOOKUP(INDIRECT(ADDRESS(2,COLUMN())),OFFSET($BN$2,0,0,ROW()-1,60),ROW()-1,FALSE))</f>
        <v>1401.5060000000001</v>
      </c>
      <c r="AJ40">
        <f ca="1">IF(AND(ISNUMBER($AJ$271),$B$183=1),$AJ$271,HLOOKUP(INDIRECT(ADDRESS(2,COLUMN())),OFFSET($BN$2,0,0,ROW()-1,60),ROW()-1,FALSE))</f>
        <v>1385.6510000000001</v>
      </c>
      <c r="AK40">
        <f ca="1">IF(AND(ISNUMBER($AK$271),$B$183=1),$AK$271,HLOOKUP(INDIRECT(ADDRESS(2,COLUMN())),OFFSET($BN$2,0,0,ROW()-1,60),ROW()-1,FALSE))</f>
        <v>1374.548</v>
      </c>
      <c r="AL40">
        <f ca="1">IF(AND(ISNUMBER($AL$271),$B$183=1),$AL$271,HLOOKUP(INDIRECT(ADDRESS(2,COLUMN())),OFFSET($BN$2,0,0,ROW()-1,60),ROW()-1,FALSE))</f>
        <v>1275.731</v>
      </c>
      <c r="AM40">
        <f ca="1">IF(AND(ISNUMBER($AM$271),$B$183=1),$AM$271,HLOOKUP(INDIRECT(ADDRESS(2,COLUMN())),OFFSET($BN$2,0,0,ROW()-1,60),ROW()-1,FALSE))</f>
        <v>1273.7260000000001</v>
      </c>
      <c r="AN40">
        <f ca="1">IF(AND(ISNUMBER($AN$271),$B$183=1),$AN$271,HLOOKUP(INDIRECT(ADDRESS(2,COLUMN())),OFFSET($BN$2,0,0,ROW()-1,60),ROW()-1,FALSE))</f>
        <v>1313.2719999999999</v>
      </c>
      <c r="AO40">
        <f ca="1">IF(AND(ISNUMBER($AO$271),$B$183=1),$AO$271,HLOOKUP(INDIRECT(ADDRESS(2,COLUMN())),OFFSET($BN$2,0,0,ROW()-1,60),ROW()-1,FALSE))</f>
        <v>1303.9010000000001</v>
      </c>
      <c r="AP40">
        <f ca="1">IF(AND(ISNUMBER($AP$271),$B$183=1),$AP$271,HLOOKUP(INDIRECT(ADDRESS(2,COLUMN())),OFFSET($BN$2,0,0,ROW()-1,60),ROW()-1,FALSE))</f>
        <v>1314.9614999999999</v>
      </c>
      <c r="AQ40">
        <f ca="1">IF(AND(ISNUMBER($AQ$271),$B$183=1),$AQ$271,HLOOKUP(INDIRECT(ADDRESS(2,COLUMN())),OFFSET($BN$2,0,0,ROW()-1,60),ROW()-1,FALSE))</f>
        <v>1265.635</v>
      </c>
      <c r="AR40">
        <f ca="1">IF(AND(ISNUMBER($AR$271),$B$183=1),$AR$271,HLOOKUP(INDIRECT(ADDRESS(2,COLUMN())),OFFSET($BN$2,0,0,ROW()-1,60),ROW()-1,FALSE))</f>
        <v>1257.402</v>
      </c>
      <c r="AS40">
        <f ca="1">IF(AND(ISNUMBER($AS$271),$B$183=1),$AS$271,HLOOKUP(INDIRECT(ADDRESS(2,COLUMN())),OFFSET($BN$2,0,0,ROW()-1,60),ROW()-1,FALSE))</f>
        <v>1246.0229999999999</v>
      </c>
      <c r="AT40">
        <f ca="1">IF(AND(ISNUMBER($AT$271),$B$183=1),$AT$271,HLOOKUP(INDIRECT(ADDRESS(2,COLUMN())),OFFSET($BN$2,0,0,ROW()-1,60),ROW()-1,FALSE))</f>
        <v>1168.384</v>
      </c>
      <c r="AU40">
        <f ca="1">IF(AND(ISNUMBER($AU$271),$B$183=1),$AU$271,HLOOKUP(INDIRECT(ADDRESS(2,COLUMN())),OFFSET($BN$2,0,0,ROW()-1,60),ROW()-1,FALSE))</f>
        <v>1329.883</v>
      </c>
      <c r="AV40">
        <f ca="1">IF(AND(ISNUMBER($AV$271),$B$183=1),$AV$271,HLOOKUP(INDIRECT(ADDRESS(2,COLUMN())),OFFSET($BN$2,0,0,ROW()-1,60),ROW()-1,FALSE))</f>
        <v>1265.251</v>
      </c>
      <c r="AW40">
        <f ca="1">IF(AND(ISNUMBER($AW$271),$B$183=1),$AW$271,HLOOKUP(INDIRECT(ADDRESS(2,COLUMN())),OFFSET($BN$2,0,0,ROW()-1,60),ROW()-1,FALSE))</f>
        <v>1262.317</v>
      </c>
      <c r="AX40">
        <f ca="1">IF(AND(ISNUMBER($AX$271),$B$183=1),$AX$271,HLOOKUP(INDIRECT(ADDRESS(2,COLUMN())),OFFSET($BN$2,0,0,ROW()-1,60),ROW()-1,FALSE))</f>
        <v>1766.2460000000001</v>
      </c>
      <c r="AY40">
        <f ca="1">IF(AND(ISNUMBER($AY$271),$B$183=1),$AY$271,HLOOKUP(INDIRECT(ADDRESS(2,COLUMN())),OFFSET($BN$2,0,0,ROW()-1,60),ROW()-1,FALSE))</f>
        <v>1704.357</v>
      </c>
      <c r="AZ40">
        <f ca="1">IF(AND(ISNUMBER($AZ$271),$B$183=1),$AZ$271,HLOOKUP(INDIRECT(ADDRESS(2,COLUMN())),OFFSET($BN$2,0,0,ROW()-1,60),ROW()-1,FALSE))</f>
        <v>1841.501</v>
      </c>
      <c r="BA40">
        <f ca="1">IF(AND(ISNUMBER($BA$271),$B$183=1),$BA$271,HLOOKUP(INDIRECT(ADDRESS(2,COLUMN())),OFFSET($BN$2,0,0,ROW()-1,60),ROW()-1,FALSE))</f>
        <v>1860.923</v>
      </c>
      <c r="BB40">
        <f ca="1">IF(AND(ISNUMBER($BB$271),$B$183=1),$BB$271,HLOOKUP(INDIRECT(ADDRESS(2,COLUMN())),OFFSET($BN$2,0,0,ROW()-1,60),ROW()-1,FALSE))</f>
        <v>1841.078</v>
      </c>
      <c r="BC40">
        <f ca="1">IF(AND(ISNUMBER($BC$271),$B$183=1),$BC$271,HLOOKUP(INDIRECT(ADDRESS(2,COLUMN())),OFFSET($BN$2,0,0,ROW()-1,60),ROW()-1,FALSE))</f>
        <v>1852.9280000000001</v>
      </c>
      <c r="BD40">
        <f ca="1">IF(AND(ISNUMBER($BD$271),$B$183=1),$BD$271,HLOOKUP(INDIRECT(ADDRESS(2,COLUMN())),OFFSET($BN$2,0,0,ROW()-1,60),ROW()-1,FALSE))</f>
        <v>1906.364</v>
      </c>
      <c r="BE40">
        <f ca="1">IF(AND(ISNUMBER($BE$271),$B$183=1),$BE$271,HLOOKUP(INDIRECT(ADDRESS(2,COLUMN())),OFFSET($BN$2,0,0,ROW()-1,60),ROW()-1,FALSE))</f>
        <v>1928.66</v>
      </c>
      <c r="BF40">
        <f ca="1">IF(AND(ISNUMBER($BF$271),$B$183=1),$BF$271,HLOOKUP(INDIRECT(ADDRESS(2,COLUMN())),OFFSET($BN$2,0,0,ROW()-1,60),ROW()-1,FALSE))</f>
        <v>1831.489</v>
      </c>
      <c r="BG40">
        <f ca="1">IF(AND(ISNUMBER($BG$271),$B$183=1),$BG$271,HLOOKUP(INDIRECT(ADDRESS(2,COLUMN())),OFFSET($BN$2,0,0,ROW()-1,60),ROW()-1,FALSE))</f>
        <v>1766.8520000000001</v>
      </c>
      <c r="BH40">
        <f ca="1">IF(AND(ISNUMBER($BH$271),$B$183=1),$BH$271,HLOOKUP(INDIRECT(ADDRESS(2,COLUMN())),OFFSET($BN$2,0,0,ROW()-1,60),ROW()-1,FALSE))</f>
        <v>1734.421</v>
      </c>
      <c r="BI40">
        <f ca="1">IF(AND(ISNUMBER($BI$271),$B$183=1),$BI$271,HLOOKUP(INDIRECT(ADDRESS(2,COLUMN())),OFFSET($BN$2,0,0,ROW()-1,60),ROW()-1,FALSE))</f>
        <v>1718.635</v>
      </c>
      <c r="BJ40">
        <f ca="1">IF(AND(ISNUMBER($BJ$271),$B$183=1),$BJ$271,HLOOKUP(INDIRECT(ADDRESS(2,COLUMN())),OFFSET($BN$2,0,0,ROW()-1,60),ROW()-1,FALSE))</f>
        <v>1751.98</v>
      </c>
      <c r="BK40">
        <f ca="1">IF(AND(ISNUMBER($BK$271),$B$183=1),$BK$271,HLOOKUP(INDIRECT(ADDRESS(2,COLUMN())),OFFSET($BN$2,0,0,ROW()-1,60),ROW()-1,FALSE))</f>
        <v>1731.5540000000001</v>
      </c>
      <c r="BL40">
        <f ca="1">IF(AND(ISNUMBER($BL$271),$B$183=1),$BL$271,HLOOKUP(INDIRECT(ADDRESS(2,COLUMN())),OFFSET($BN$2,0,0,ROW()-1,60),ROW()-1,FALSE))</f>
        <v>1690.29</v>
      </c>
      <c r="BM40">
        <f ca="1">IF(AND(ISNUMBER($BM$271),$B$183=1),$BM$271,HLOOKUP(INDIRECT(ADDRESS(2,COLUMN())),OFFSET($BN$2,0,0,ROW()-1,60),ROW()-1,FALSE))</f>
        <v>1685.8530000000001</v>
      </c>
      <c r="BN40">
        <f>2265.109815</f>
        <v>2265.1098149999998</v>
      </c>
      <c r="BO40">
        <f>2263.013</f>
        <v>2263.0129999999999</v>
      </c>
      <c r="BP40">
        <f>2360.514</f>
        <v>2360.5140000000001</v>
      </c>
      <c r="BQ40">
        <f>2315.912</f>
        <v>2315.9119999999998</v>
      </c>
      <c r="BR40">
        <f>2273.461</f>
        <v>2273.4609999999998</v>
      </c>
      <c r="BS40">
        <f>2213.72</f>
        <v>2213.7199999999998</v>
      </c>
      <c r="BT40">
        <f>2458.768</f>
        <v>2458.768</v>
      </c>
      <c r="BU40">
        <f>2436.231</f>
        <v>2436.2310000000002</v>
      </c>
      <c r="BV40">
        <f>2294.863</f>
        <v>2294.8629999999998</v>
      </c>
      <c r="BW40">
        <f>2453.879</f>
        <v>2453.8789999999999</v>
      </c>
      <c r="BX40">
        <f>2424.485</f>
        <v>2424.4850000000001</v>
      </c>
      <c r="BY40">
        <f>2154.755</f>
        <v>2154.7550000000001</v>
      </c>
      <c r="BZ40">
        <f>2101.281</f>
        <v>2101.2809999999999</v>
      </c>
      <c r="CA40">
        <f>2036.744</f>
        <v>2036.7439999999999</v>
      </c>
      <c r="CB40">
        <f>2001.278</f>
        <v>2001.278</v>
      </c>
      <c r="CC40">
        <f>1888.8</f>
        <v>1888.8</v>
      </c>
      <c r="CD40">
        <f>1822.321</f>
        <v>1822.3209999999999</v>
      </c>
      <c r="CE40">
        <f>1696.683</f>
        <v>1696.683</v>
      </c>
      <c r="CF40">
        <f>1749.398</f>
        <v>1749.3979999999999</v>
      </c>
      <c r="CG40">
        <f>1652.511</f>
        <v>1652.511</v>
      </c>
      <c r="CH40">
        <f>1618.359</f>
        <v>1618.3589999999999</v>
      </c>
      <c r="CI40">
        <f>1617.313</f>
        <v>1617.3130000000001</v>
      </c>
      <c r="CJ40">
        <f>1616.014</f>
        <v>1616.0139999999999</v>
      </c>
      <c r="CK40">
        <f>1542.748</f>
        <v>1542.748</v>
      </c>
      <c r="CL40">
        <f>1522.945</f>
        <v>1522.9449999999999</v>
      </c>
      <c r="CM40">
        <f>1525.596</f>
        <v>1525.596</v>
      </c>
      <c r="CN40">
        <f>1525.003</f>
        <v>1525.0029999999999</v>
      </c>
      <c r="CO40">
        <f>1479.167</f>
        <v>1479.1669999999999</v>
      </c>
      <c r="CP40">
        <f>1431.18</f>
        <v>1431.18</v>
      </c>
      <c r="CQ40">
        <f>1401.506</f>
        <v>1401.5060000000001</v>
      </c>
      <c r="CR40">
        <f>1385.651</f>
        <v>1385.6510000000001</v>
      </c>
      <c r="CS40">
        <f>1374.548</f>
        <v>1374.548</v>
      </c>
      <c r="CT40">
        <f>1275.731</f>
        <v>1275.731</v>
      </c>
      <c r="CU40">
        <f>1273.726</f>
        <v>1273.7260000000001</v>
      </c>
      <c r="CV40">
        <f>1313.272</f>
        <v>1313.2719999999999</v>
      </c>
      <c r="CW40">
        <f>1303.901</f>
        <v>1303.9010000000001</v>
      </c>
      <c r="CX40">
        <f>1314.9615</f>
        <v>1314.9614999999999</v>
      </c>
      <c r="CY40">
        <f>1265.635</f>
        <v>1265.635</v>
      </c>
      <c r="CZ40">
        <f>1257.402</f>
        <v>1257.402</v>
      </c>
      <c r="DA40">
        <f>1246.023</f>
        <v>1246.0229999999999</v>
      </c>
      <c r="DB40">
        <f>1168.384</f>
        <v>1168.384</v>
      </c>
      <c r="DC40">
        <f>1329.883</f>
        <v>1329.883</v>
      </c>
      <c r="DD40">
        <f>1265.251</f>
        <v>1265.251</v>
      </c>
      <c r="DE40">
        <f>1262.317</f>
        <v>1262.317</v>
      </c>
      <c r="DF40">
        <f>1766.246</f>
        <v>1766.2460000000001</v>
      </c>
      <c r="DG40">
        <f>1704.357</f>
        <v>1704.357</v>
      </c>
      <c r="DH40">
        <f>1841.501</f>
        <v>1841.501</v>
      </c>
      <c r="DI40">
        <f>1860.923</f>
        <v>1860.923</v>
      </c>
      <c r="DJ40">
        <f>1841.078</f>
        <v>1841.078</v>
      </c>
      <c r="DK40">
        <f>1852.928</f>
        <v>1852.9280000000001</v>
      </c>
      <c r="DL40">
        <f>1906.364</f>
        <v>1906.364</v>
      </c>
      <c r="DM40">
        <f>1928.66</f>
        <v>1928.66</v>
      </c>
      <c r="DN40">
        <f>1831.489</f>
        <v>1831.489</v>
      </c>
      <c r="DO40">
        <f>1766.852</f>
        <v>1766.8520000000001</v>
      </c>
      <c r="DP40">
        <f>1734.421</f>
        <v>1734.421</v>
      </c>
      <c r="DQ40">
        <f>1718.635</f>
        <v>1718.635</v>
      </c>
      <c r="DR40">
        <f>1751.98</f>
        <v>1751.98</v>
      </c>
      <c r="DS40">
        <f>1731.554</f>
        <v>1731.5540000000001</v>
      </c>
      <c r="DT40">
        <f>1690.29</f>
        <v>1690.29</v>
      </c>
      <c r="DU40">
        <f>1685.853</f>
        <v>1685.8530000000001</v>
      </c>
    </row>
    <row r="41" spans="1:125">
      <c r="A41" t="str">
        <f>"    Industrial REITs"</f>
        <v xml:space="preserve">    Industrial REITs</v>
      </c>
      <c r="B41" t="str">
        <f>"RECFNOIN Index"</f>
        <v>RECFNOIN Index</v>
      </c>
      <c r="C41" t="str">
        <f t="shared" si="7"/>
        <v>PR005</v>
      </c>
      <c r="D41" t="str">
        <f t="shared" si="8"/>
        <v>PX_LAST</v>
      </c>
      <c r="E41" t="str">
        <f t="shared" si="9"/>
        <v>动态</v>
      </c>
      <c r="F41">
        <f ca="1">IF(AND(ISNUMBER($F$272),$B$183=1),$F$272,HLOOKUP(INDIRECT(ADDRESS(2,COLUMN())),OFFSET($BN$2,0,0,ROW()-1,60),ROW()-1,FALSE))</f>
        <v>1095.4873070000001</v>
      </c>
      <c r="G41">
        <f ca="1">IF(AND(ISNUMBER($G$272),$B$183=1),$G$272,HLOOKUP(INDIRECT(ADDRESS(2,COLUMN())),OFFSET($BN$2,0,0,ROW()-1,60),ROW()-1,FALSE))</f>
        <v>1076.732</v>
      </c>
      <c r="H41">
        <f ca="1">IF(AND(ISNUMBER($H$272),$B$183=1),$H$272,HLOOKUP(INDIRECT(ADDRESS(2,COLUMN())),OFFSET($BN$2,0,0,ROW()-1,60),ROW()-1,FALSE))</f>
        <v>1091.0550000000001</v>
      </c>
      <c r="I41">
        <f ca="1">IF(AND(ISNUMBER($I$272),$B$183=1),$I$272,HLOOKUP(INDIRECT(ADDRESS(2,COLUMN())),OFFSET($BN$2,0,0,ROW()-1,60),ROW()-1,FALSE))</f>
        <v>1093.0450000000001</v>
      </c>
      <c r="J41">
        <f ca="1">IF(AND(ISNUMBER($J$272),$B$183=1),$J$272,HLOOKUP(INDIRECT(ADDRESS(2,COLUMN())),OFFSET($BN$2,0,0,ROW()-1,60),ROW()-1,FALSE))</f>
        <v>1038.174</v>
      </c>
      <c r="K41">
        <f ca="1">IF(AND(ISNUMBER($K$272),$B$183=1),$K$272,HLOOKUP(INDIRECT(ADDRESS(2,COLUMN())),OFFSET($BN$2,0,0,ROW()-1,60),ROW()-1,FALSE))</f>
        <v>1079.3620000000001</v>
      </c>
      <c r="L41">
        <f ca="1">IF(AND(ISNUMBER($L$272),$B$183=1),$L$272,HLOOKUP(INDIRECT(ADDRESS(2,COLUMN())),OFFSET($BN$2,0,0,ROW()-1,60),ROW()-1,FALSE))</f>
        <v>1047.7650000000001</v>
      </c>
      <c r="M41">
        <f ca="1">IF(AND(ISNUMBER($M$272),$B$183=1),$M$272,HLOOKUP(INDIRECT(ADDRESS(2,COLUMN())),OFFSET($BN$2,0,0,ROW()-1,60),ROW()-1,FALSE))</f>
        <v>1035.105</v>
      </c>
      <c r="N41">
        <f ca="1">IF(AND(ISNUMBER($N$272),$B$183=1),$N$272,HLOOKUP(INDIRECT(ADDRESS(2,COLUMN())),OFFSET($BN$2,0,0,ROW()-1,60),ROW()-1,FALSE))</f>
        <v>1066.008</v>
      </c>
      <c r="O41">
        <f ca="1">IF(AND(ISNUMBER($O$272),$B$183=1),$O$272,HLOOKUP(INDIRECT(ADDRESS(2,COLUMN())),OFFSET($BN$2,0,0,ROW()-1,60),ROW()-1,FALSE))</f>
        <v>1058.3599999999999</v>
      </c>
      <c r="P41">
        <f ca="1">IF(AND(ISNUMBER($P$272),$B$183=1),$P$272,HLOOKUP(INDIRECT(ADDRESS(2,COLUMN())),OFFSET($BN$2,0,0,ROW()-1,60),ROW()-1,FALSE))</f>
        <v>1003.383</v>
      </c>
      <c r="Q41">
        <f ca="1">IF(AND(ISNUMBER($Q$272),$B$183=1),$Q$272,HLOOKUP(INDIRECT(ADDRESS(2,COLUMN())),OFFSET($BN$2,0,0,ROW()-1,60),ROW()-1,FALSE))</f>
        <v>943.47299999999996</v>
      </c>
      <c r="R41">
        <f ca="1">IF(AND(ISNUMBER($R$272),$B$183=1),$R$272,HLOOKUP(INDIRECT(ADDRESS(2,COLUMN())),OFFSET($BN$2,0,0,ROW()-1,60),ROW()-1,FALSE))</f>
        <v>942.37</v>
      </c>
      <c r="S41">
        <f ca="1">IF(AND(ISNUMBER($S$272),$B$183=1),$S$272,HLOOKUP(INDIRECT(ADDRESS(2,COLUMN())),OFFSET($BN$2,0,0,ROW()-1,60),ROW()-1,FALSE))</f>
        <v>900.01199999999994</v>
      </c>
      <c r="T41">
        <f ca="1">IF(AND(ISNUMBER($T$272),$B$183=1),$T$272,HLOOKUP(INDIRECT(ADDRESS(2,COLUMN())),OFFSET($BN$2,0,0,ROW()-1,60),ROW()-1,FALSE))</f>
        <v>903.86400000000003</v>
      </c>
      <c r="U41">
        <f ca="1">IF(AND(ISNUMBER($U$272),$B$183=1),$U$272,HLOOKUP(INDIRECT(ADDRESS(2,COLUMN())),OFFSET($BN$2,0,0,ROW()-1,60),ROW()-1,FALSE))</f>
        <v>884.75900000000001</v>
      </c>
      <c r="V41">
        <f ca="1">IF(AND(ISNUMBER($V$272),$B$183=1),$V$272,HLOOKUP(INDIRECT(ADDRESS(2,COLUMN())),OFFSET($BN$2,0,0,ROW()-1,60),ROW()-1,FALSE))</f>
        <v>883.947</v>
      </c>
      <c r="W41">
        <f ca="1">IF(AND(ISNUMBER($W$272),$B$183=1),$W$272,HLOOKUP(INDIRECT(ADDRESS(2,COLUMN())),OFFSET($BN$2,0,0,ROW()-1,60),ROW()-1,FALSE))</f>
        <v>856.65</v>
      </c>
      <c r="X41">
        <f ca="1">IF(AND(ISNUMBER($X$272),$B$183=1),$X$272,HLOOKUP(INDIRECT(ADDRESS(2,COLUMN())),OFFSET($BN$2,0,0,ROW()-1,60),ROW()-1,FALSE))</f>
        <v>828.85699999999997</v>
      </c>
      <c r="Y41">
        <f ca="1">IF(AND(ISNUMBER($Y$272),$B$183=1),$Y$272,HLOOKUP(INDIRECT(ADDRESS(2,COLUMN())),OFFSET($BN$2,0,0,ROW()-1,60),ROW()-1,FALSE))</f>
        <v>885.96600000000001</v>
      </c>
      <c r="Z41">
        <f ca="1">IF(AND(ISNUMBER($Z$272),$B$183=1),$Z$272,HLOOKUP(INDIRECT(ADDRESS(2,COLUMN())),OFFSET($BN$2,0,0,ROW()-1,60),ROW()-1,FALSE))</f>
        <v>913.76800000000003</v>
      </c>
      <c r="AA41">
        <f ca="1">IF(AND(ISNUMBER($AA$272),$B$183=1),$AA$272,HLOOKUP(INDIRECT(ADDRESS(2,COLUMN())),OFFSET($BN$2,0,0,ROW()-1,60),ROW()-1,FALSE))</f>
        <v>881.18700000000001</v>
      </c>
      <c r="AB41">
        <f ca="1">IF(AND(ISNUMBER($AB$272),$B$183=1),$AB$272,HLOOKUP(INDIRECT(ADDRESS(2,COLUMN())),OFFSET($BN$2,0,0,ROW()-1,60),ROW()-1,FALSE))</f>
        <v>888.35400000000004</v>
      </c>
      <c r="AC41">
        <f ca="1">IF(AND(ISNUMBER($AC$272),$B$183=1),$AC$272,HLOOKUP(INDIRECT(ADDRESS(2,COLUMN())),OFFSET($BN$2,0,0,ROW()-1,60),ROW()-1,FALSE))</f>
        <v>866.48199999999997</v>
      </c>
      <c r="AD41">
        <f ca="1">IF(AND(ISNUMBER($AD$272),$B$183=1),$AD$272,HLOOKUP(INDIRECT(ADDRESS(2,COLUMN())),OFFSET($BN$2,0,0,ROW()-1,60),ROW()-1,FALSE))</f>
        <v>823.97799999999995</v>
      </c>
      <c r="AE41">
        <f ca="1">IF(AND(ISNUMBER($AE$272),$B$183=1),$AE$272,HLOOKUP(INDIRECT(ADDRESS(2,COLUMN())),OFFSET($BN$2,0,0,ROW()-1,60),ROW()-1,FALSE))</f>
        <v>856.95600000000002</v>
      </c>
      <c r="AF41">
        <f ca="1">IF(AND(ISNUMBER($AF$272),$B$183=1),$AF$272,HLOOKUP(INDIRECT(ADDRESS(2,COLUMN())),OFFSET($BN$2,0,0,ROW()-1,60),ROW()-1,FALSE))</f>
        <v>726.34699999999998</v>
      </c>
      <c r="AG41">
        <f ca="1">IF(AND(ISNUMBER($AG$272),$B$183=1),$AG$272,HLOOKUP(INDIRECT(ADDRESS(2,COLUMN())),OFFSET($BN$2,0,0,ROW()-1,60),ROW()-1,FALSE))</f>
        <v>739.01099999999997</v>
      </c>
      <c r="AH41">
        <f ca="1">IF(AND(ISNUMBER($AH$272),$B$183=1),$AH$272,HLOOKUP(INDIRECT(ADDRESS(2,COLUMN())),OFFSET($BN$2,0,0,ROW()-1,60),ROW()-1,FALSE))</f>
        <v>753.15099999999995</v>
      </c>
      <c r="AI41">
        <f ca="1">IF(AND(ISNUMBER($AI$272),$B$183=1),$AI$272,HLOOKUP(INDIRECT(ADDRESS(2,COLUMN())),OFFSET($BN$2,0,0,ROW()-1,60),ROW()-1,FALSE))</f>
        <v>776.41150000000005</v>
      </c>
      <c r="AJ41">
        <f ca="1">IF(AND(ISNUMBER($AJ$272),$B$183=1),$AJ$272,HLOOKUP(INDIRECT(ADDRESS(2,COLUMN())),OFFSET($BN$2,0,0,ROW()-1,60),ROW()-1,FALSE))</f>
        <v>755.95699999999999</v>
      </c>
      <c r="AK41">
        <f ca="1">IF(AND(ISNUMBER($AK$272),$B$183=1),$AK$272,HLOOKUP(INDIRECT(ADDRESS(2,COLUMN())),OFFSET($BN$2,0,0,ROW()-1,60),ROW()-1,FALSE))</f>
        <v>743.93799999999999</v>
      </c>
      <c r="AL41">
        <f ca="1">IF(AND(ISNUMBER($AL$272),$B$183=1),$AL$272,HLOOKUP(INDIRECT(ADDRESS(2,COLUMN())),OFFSET($BN$2,0,0,ROW()-1,60),ROW()-1,FALSE))</f>
        <v>758.22699999999998</v>
      </c>
      <c r="AM41">
        <f ca="1">IF(AND(ISNUMBER($AM$272),$B$183=1),$AM$272,HLOOKUP(INDIRECT(ADDRESS(2,COLUMN())),OFFSET($BN$2,0,0,ROW()-1,60),ROW()-1,FALSE))</f>
        <v>749.61400000000003</v>
      </c>
      <c r="AN41">
        <f ca="1">IF(AND(ISNUMBER($AN$272),$B$183=1),$AN$272,HLOOKUP(INDIRECT(ADDRESS(2,COLUMN())),OFFSET($BN$2,0,0,ROW()-1,60),ROW()-1,FALSE))</f>
        <v>747.68200000000002</v>
      </c>
      <c r="AO41">
        <f ca="1">IF(AND(ISNUMBER($AO$272),$B$183=1),$AO$272,HLOOKUP(INDIRECT(ADDRESS(2,COLUMN())),OFFSET($BN$2,0,0,ROW()-1,60),ROW()-1,FALSE))</f>
        <v>972.64200000000005</v>
      </c>
      <c r="AP41">
        <f ca="1">IF(AND(ISNUMBER($AP$272),$B$183=1),$AP$272,HLOOKUP(INDIRECT(ADDRESS(2,COLUMN())),OFFSET($BN$2,0,0,ROW()-1,60),ROW()-1,FALSE))</f>
        <v>888.95399999999995</v>
      </c>
      <c r="AQ41">
        <f ca="1">IF(AND(ISNUMBER($AQ$272),$B$183=1),$AQ$272,HLOOKUP(INDIRECT(ADDRESS(2,COLUMN())),OFFSET($BN$2,0,0,ROW()-1,60),ROW()-1,FALSE))</f>
        <v>875.29100000000005</v>
      </c>
      <c r="AR41">
        <f ca="1">IF(AND(ISNUMBER($AR$272),$B$183=1),$AR$272,HLOOKUP(INDIRECT(ADDRESS(2,COLUMN())),OFFSET($BN$2,0,0,ROW()-1,60),ROW()-1,FALSE))</f>
        <v>1018.14</v>
      </c>
      <c r="AS41">
        <f ca="1">IF(AND(ISNUMBER($AS$272),$B$183=1),$AS$272,HLOOKUP(INDIRECT(ADDRESS(2,COLUMN())),OFFSET($BN$2,0,0,ROW()-1,60),ROW()-1,FALSE))</f>
        <v>1086.758</v>
      </c>
      <c r="AT41">
        <f ca="1">IF(AND(ISNUMBER($AT$272),$B$183=1),$AT$272,HLOOKUP(INDIRECT(ADDRESS(2,COLUMN())),OFFSET($BN$2,0,0,ROW()-1,60),ROW()-1,FALSE))</f>
        <v>921.79600000000005</v>
      </c>
      <c r="AU41">
        <f ca="1">IF(AND(ISNUMBER($AU$272),$B$183=1),$AU$272,HLOOKUP(INDIRECT(ADDRESS(2,COLUMN())),OFFSET($BN$2,0,0,ROW()-1,60),ROW()-1,FALSE))</f>
        <v>1090.5385000000001</v>
      </c>
      <c r="AV41">
        <f ca="1">IF(AND(ISNUMBER($AV$272),$B$183=1),$AV$272,HLOOKUP(INDIRECT(ADDRESS(2,COLUMN())),OFFSET($BN$2,0,0,ROW()-1,60),ROW()-1,FALSE))</f>
        <v>1027.5619999999999</v>
      </c>
      <c r="AW41">
        <f ca="1">IF(AND(ISNUMBER($AW$272),$B$183=1),$AW$272,HLOOKUP(INDIRECT(ADDRESS(2,COLUMN())),OFFSET($BN$2,0,0,ROW()-1,60),ROW()-1,FALSE))</f>
        <v>1033.223</v>
      </c>
      <c r="AX41">
        <f ca="1">IF(AND(ISNUMBER($AX$272),$B$183=1),$AX$272,HLOOKUP(INDIRECT(ADDRESS(2,COLUMN())),OFFSET($BN$2,0,0,ROW()-1,60),ROW()-1,FALSE))</f>
        <v>825.06799999999998</v>
      </c>
      <c r="AY41">
        <f ca="1">IF(AND(ISNUMBER($AY$272),$B$183=1),$AY$272,HLOOKUP(INDIRECT(ADDRESS(2,COLUMN())),OFFSET($BN$2,0,0,ROW()-1,60),ROW()-1,FALSE))</f>
        <v>842.33249999999998</v>
      </c>
      <c r="AZ41">
        <f ca="1">IF(AND(ISNUMBER($AZ$272),$B$183=1),$AZ$272,HLOOKUP(INDIRECT(ADDRESS(2,COLUMN())),OFFSET($BN$2,0,0,ROW()-1,60),ROW()-1,FALSE))</f>
        <v>843.70600000000002</v>
      </c>
      <c r="BA41">
        <f ca="1">IF(AND(ISNUMBER($BA$272),$B$183=1),$BA$272,HLOOKUP(INDIRECT(ADDRESS(2,COLUMN())),OFFSET($BN$2,0,0,ROW()-1,60),ROW()-1,FALSE))</f>
        <v>757.08600000000001</v>
      </c>
      <c r="BB41">
        <f ca="1">IF(AND(ISNUMBER($BB$272),$B$183=1),$BB$272,HLOOKUP(INDIRECT(ADDRESS(2,COLUMN())),OFFSET($BN$2,0,0,ROW()-1,60),ROW()-1,FALSE))</f>
        <v>743.12300000000005</v>
      </c>
      <c r="BC41">
        <f ca="1">IF(AND(ISNUMBER($BC$272),$B$183=1),$BC$272,HLOOKUP(INDIRECT(ADDRESS(2,COLUMN())),OFFSET($BN$2,0,0,ROW()-1,60),ROW()-1,FALSE))</f>
        <v>700.54399999999998</v>
      </c>
      <c r="BD41">
        <f ca="1">IF(AND(ISNUMBER($BD$272),$B$183=1),$BD$272,HLOOKUP(INDIRECT(ADDRESS(2,COLUMN())),OFFSET($BN$2,0,0,ROW()-1,60),ROW()-1,FALSE))</f>
        <v>756.63099999999997</v>
      </c>
      <c r="BE41">
        <f ca="1">IF(AND(ISNUMBER($BE$272),$B$183=1),$BE$272,HLOOKUP(INDIRECT(ADDRESS(2,COLUMN())),OFFSET($BN$2,0,0,ROW()-1,60),ROW()-1,FALSE))</f>
        <v>748.77099999999996</v>
      </c>
      <c r="BF41">
        <f ca="1">IF(AND(ISNUMBER($BF$272),$B$183=1),$BF$272,HLOOKUP(INDIRECT(ADDRESS(2,COLUMN())),OFFSET($BN$2,0,0,ROW()-1,60),ROW()-1,FALSE))</f>
        <v>784.54300000000001</v>
      </c>
      <c r="BG41">
        <f ca="1">IF(AND(ISNUMBER($BG$272),$B$183=1),$BG$272,HLOOKUP(INDIRECT(ADDRESS(2,COLUMN())),OFFSET($BN$2,0,0,ROW()-1,60),ROW()-1,FALSE))</f>
        <v>732.68499999999995</v>
      </c>
      <c r="BH41">
        <f ca="1">IF(AND(ISNUMBER($BH$272),$B$183=1),$BH$272,HLOOKUP(INDIRECT(ADDRESS(2,COLUMN())),OFFSET($BN$2,0,0,ROW()-1,60),ROW()-1,FALSE))</f>
        <v>726.78099999999995</v>
      </c>
      <c r="BI41">
        <f ca="1">IF(AND(ISNUMBER($BI$272),$B$183=1),$BI$272,HLOOKUP(INDIRECT(ADDRESS(2,COLUMN())),OFFSET($BN$2,0,0,ROW()-1,60),ROW()-1,FALSE))</f>
        <v>709.05600000000004</v>
      </c>
      <c r="BJ41">
        <f ca="1">IF(AND(ISNUMBER($BJ$272),$B$183=1),$BJ$272,HLOOKUP(INDIRECT(ADDRESS(2,COLUMN())),OFFSET($BN$2,0,0,ROW()-1,60),ROW()-1,FALSE))</f>
        <v>658.22550000000001</v>
      </c>
      <c r="BK41">
        <f ca="1">IF(AND(ISNUMBER($BK$272),$B$183=1),$BK$272,HLOOKUP(INDIRECT(ADDRESS(2,COLUMN())),OFFSET($BN$2,0,0,ROW()-1,60),ROW()-1,FALSE))</f>
        <v>625.88599999999997</v>
      </c>
      <c r="BL41">
        <f ca="1">IF(AND(ISNUMBER($BL$272),$B$183=1),$BL$272,HLOOKUP(INDIRECT(ADDRESS(2,COLUMN())),OFFSET($BN$2,0,0,ROW()-1,60),ROW()-1,FALSE))</f>
        <v>622.27599999999995</v>
      </c>
      <c r="BM41">
        <f ca="1">IF(AND(ISNUMBER($BM$272),$B$183=1),$BM$272,HLOOKUP(INDIRECT(ADDRESS(2,COLUMN())),OFFSET($BN$2,0,0,ROW()-1,60),ROW()-1,FALSE))</f>
        <v>612.03300000000002</v>
      </c>
      <c r="BN41">
        <f>1095.487307</f>
        <v>1095.4873070000001</v>
      </c>
      <c r="BO41">
        <f>1076.732</f>
        <v>1076.732</v>
      </c>
      <c r="BP41">
        <f>1091.055</f>
        <v>1091.0550000000001</v>
      </c>
      <c r="BQ41">
        <f>1093.045</f>
        <v>1093.0450000000001</v>
      </c>
      <c r="BR41">
        <f>1038.174</f>
        <v>1038.174</v>
      </c>
      <c r="BS41">
        <f>1079.362</f>
        <v>1079.3620000000001</v>
      </c>
      <c r="BT41">
        <f>1047.765</f>
        <v>1047.7650000000001</v>
      </c>
      <c r="BU41">
        <f>1035.105</f>
        <v>1035.105</v>
      </c>
      <c r="BV41">
        <f>1066.008</f>
        <v>1066.008</v>
      </c>
      <c r="BW41">
        <f>1058.36</f>
        <v>1058.3599999999999</v>
      </c>
      <c r="BX41">
        <f>1003.383</f>
        <v>1003.383</v>
      </c>
      <c r="BY41">
        <f>943.473</f>
        <v>943.47299999999996</v>
      </c>
      <c r="BZ41">
        <f>942.37</f>
        <v>942.37</v>
      </c>
      <c r="CA41">
        <f>900.012</f>
        <v>900.01199999999994</v>
      </c>
      <c r="CB41">
        <f>903.864</f>
        <v>903.86400000000003</v>
      </c>
      <c r="CC41">
        <f>884.759</f>
        <v>884.75900000000001</v>
      </c>
      <c r="CD41">
        <f>883.947</f>
        <v>883.947</v>
      </c>
      <c r="CE41">
        <f>856.65</f>
        <v>856.65</v>
      </c>
      <c r="CF41">
        <f>828.857</f>
        <v>828.85699999999997</v>
      </c>
      <c r="CG41">
        <f>885.966</f>
        <v>885.96600000000001</v>
      </c>
      <c r="CH41">
        <f>913.768</f>
        <v>913.76800000000003</v>
      </c>
      <c r="CI41">
        <f>881.187</f>
        <v>881.18700000000001</v>
      </c>
      <c r="CJ41">
        <f>888.354</f>
        <v>888.35400000000004</v>
      </c>
      <c r="CK41">
        <f>866.482</f>
        <v>866.48199999999997</v>
      </c>
      <c r="CL41">
        <f>823.978</f>
        <v>823.97799999999995</v>
      </c>
      <c r="CM41">
        <f>856.956</f>
        <v>856.95600000000002</v>
      </c>
      <c r="CN41">
        <f>726.347</f>
        <v>726.34699999999998</v>
      </c>
      <c r="CO41">
        <f>739.011</f>
        <v>739.01099999999997</v>
      </c>
      <c r="CP41">
        <f>753.151</f>
        <v>753.15099999999995</v>
      </c>
      <c r="CQ41">
        <f>776.4115</f>
        <v>776.41150000000005</v>
      </c>
      <c r="CR41">
        <f>755.957</f>
        <v>755.95699999999999</v>
      </c>
      <c r="CS41">
        <f>743.938</f>
        <v>743.93799999999999</v>
      </c>
      <c r="CT41">
        <f>758.227</f>
        <v>758.22699999999998</v>
      </c>
      <c r="CU41">
        <f>749.614</f>
        <v>749.61400000000003</v>
      </c>
      <c r="CV41">
        <f>747.682</f>
        <v>747.68200000000002</v>
      </c>
      <c r="CW41">
        <f>972.642</f>
        <v>972.64200000000005</v>
      </c>
      <c r="CX41">
        <f>888.954</f>
        <v>888.95399999999995</v>
      </c>
      <c r="CY41">
        <f>875.291</f>
        <v>875.29100000000005</v>
      </c>
      <c r="CZ41">
        <f>1018.14</f>
        <v>1018.14</v>
      </c>
      <c r="DA41">
        <f>1086.758</f>
        <v>1086.758</v>
      </c>
      <c r="DB41">
        <f>921.796</f>
        <v>921.79600000000005</v>
      </c>
      <c r="DC41">
        <f>1090.5385</f>
        <v>1090.5385000000001</v>
      </c>
      <c r="DD41">
        <f>1027.562</f>
        <v>1027.5619999999999</v>
      </c>
      <c r="DE41">
        <f>1033.223</f>
        <v>1033.223</v>
      </c>
      <c r="DF41">
        <f>825.068</f>
        <v>825.06799999999998</v>
      </c>
      <c r="DG41">
        <f>842.3325</f>
        <v>842.33249999999998</v>
      </c>
      <c r="DH41">
        <f>843.706</f>
        <v>843.70600000000002</v>
      </c>
      <c r="DI41">
        <f>757.086</f>
        <v>757.08600000000001</v>
      </c>
      <c r="DJ41">
        <f>743.123</f>
        <v>743.12300000000005</v>
      </c>
      <c r="DK41">
        <f>700.544</f>
        <v>700.54399999999998</v>
      </c>
      <c r="DL41">
        <f>756.631</f>
        <v>756.63099999999997</v>
      </c>
      <c r="DM41">
        <f>748.771</f>
        <v>748.77099999999996</v>
      </c>
      <c r="DN41">
        <f>784.543</f>
        <v>784.54300000000001</v>
      </c>
      <c r="DO41">
        <f>732.685</f>
        <v>732.68499999999995</v>
      </c>
      <c r="DP41">
        <f>726.781</f>
        <v>726.78099999999995</v>
      </c>
      <c r="DQ41">
        <f>709.056</f>
        <v>709.05600000000004</v>
      </c>
      <c r="DR41">
        <f>658.2255</f>
        <v>658.22550000000001</v>
      </c>
      <c r="DS41">
        <f>625.886</f>
        <v>625.88599999999997</v>
      </c>
      <c r="DT41">
        <f>622.276</f>
        <v>622.27599999999995</v>
      </c>
      <c r="DU41">
        <f>612.033</f>
        <v>612.03300000000002</v>
      </c>
    </row>
    <row r="42" spans="1:125">
      <c r="A42" t="str">
        <f>"    Retail REITs"</f>
        <v xml:space="preserve">    Retail REITs</v>
      </c>
      <c r="B42" t="str">
        <f>"RECFNORT Index"</f>
        <v>RECFNORT Index</v>
      </c>
      <c r="C42" t="str">
        <f t="shared" si="7"/>
        <v>PR005</v>
      </c>
      <c r="D42" t="str">
        <f t="shared" si="8"/>
        <v>PX_LAST</v>
      </c>
      <c r="E42" t="str">
        <f t="shared" si="9"/>
        <v>动态</v>
      </c>
      <c r="F42">
        <f ca="1">IF(AND(ISNUMBER($F$273),$B$183=1),$F$273,HLOOKUP(INDIRECT(ADDRESS(2,COLUMN())),OFFSET($BN$2,0,0,ROW()-1,60),ROW()-1,FALSE))</f>
        <v>4445.0337829999999</v>
      </c>
      <c r="G42">
        <f ca="1">IF(AND(ISNUMBER($G$273),$B$183=1),$G$273,HLOOKUP(INDIRECT(ADDRESS(2,COLUMN())),OFFSET($BN$2,0,0,ROW()-1,60),ROW()-1,FALSE))</f>
        <v>4326.7650000000003</v>
      </c>
      <c r="H42">
        <f ca="1">IF(AND(ISNUMBER($H$273),$B$183=1),$H$273,HLOOKUP(INDIRECT(ADDRESS(2,COLUMN())),OFFSET($BN$2,0,0,ROW()-1,60),ROW()-1,FALSE))</f>
        <v>4320.3969999999999</v>
      </c>
      <c r="I42">
        <f ca="1">IF(AND(ISNUMBER($I$273),$B$183=1),$I$273,HLOOKUP(INDIRECT(ADDRESS(2,COLUMN())),OFFSET($BN$2,0,0,ROW()-1,60),ROW()-1,FALSE))</f>
        <v>4246.9740000000002</v>
      </c>
      <c r="J42">
        <f ca="1">IF(AND(ISNUMBER($J$273),$B$183=1),$J$273,HLOOKUP(INDIRECT(ADDRESS(2,COLUMN())),OFFSET($BN$2,0,0,ROW()-1,60),ROW()-1,FALSE))</f>
        <v>4432.598</v>
      </c>
      <c r="K42">
        <f ca="1">IF(AND(ISNUMBER($K$273),$B$183=1),$K$273,HLOOKUP(INDIRECT(ADDRESS(2,COLUMN())),OFFSET($BN$2,0,0,ROW()-1,60),ROW()-1,FALSE))</f>
        <v>4242.9409999999998</v>
      </c>
      <c r="L42">
        <f ca="1">IF(AND(ISNUMBER($L$273),$B$183=1),$L$273,HLOOKUP(INDIRECT(ADDRESS(2,COLUMN())),OFFSET($BN$2,0,0,ROW()-1,60),ROW()-1,FALSE))</f>
        <v>4194.9930000000004</v>
      </c>
      <c r="M42">
        <f ca="1">IF(AND(ISNUMBER($M$273),$B$183=1),$M$273,HLOOKUP(INDIRECT(ADDRESS(2,COLUMN())),OFFSET($BN$2,0,0,ROW()-1,60),ROW()-1,FALSE))</f>
        <v>4233.125</v>
      </c>
      <c r="N42">
        <f ca="1">IF(AND(ISNUMBER($N$273),$B$183=1),$N$273,HLOOKUP(INDIRECT(ADDRESS(2,COLUMN())),OFFSET($BN$2,0,0,ROW()-1,60),ROW()-1,FALSE))</f>
        <v>4427.8180000000002</v>
      </c>
      <c r="O42">
        <f ca="1">IF(AND(ISNUMBER($O$273),$B$183=1),$O$273,HLOOKUP(INDIRECT(ADDRESS(2,COLUMN())),OFFSET($BN$2,0,0,ROW()-1,60),ROW()-1,FALSE))</f>
        <v>4224.6899999999996</v>
      </c>
      <c r="P42">
        <f ca="1">IF(AND(ISNUMBER($P$273),$B$183=1),$P$273,HLOOKUP(INDIRECT(ADDRESS(2,COLUMN())),OFFSET($BN$2,0,0,ROW()-1,60),ROW()-1,FALSE))</f>
        <v>4152.7070000000003</v>
      </c>
      <c r="Q42">
        <f ca="1">IF(AND(ISNUMBER($Q$273),$B$183=1),$Q$273,HLOOKUP(INDIRECT(ADDRESS(2,COLUMN())),OFFSET($BN$2,0,0,ROW()-1,60),ROW()-1,FALSE))</f>
        <v>4417.5330000000004</v>
      </c>
      <c r="R42">
        <f ca="1">IF(AND(ISNUMBER($R$273),$B$183=1),$R$273,HLOOKUP(INDIRECT(ADDRESS(2,COLUMN())),OFFSET($BN$2,0,0,ROW()-1,60),ROW()-1,FALSE))</f>
        <v>4474.1809999999996</v>
      </c>
      <c r="S42">
        <f ca="1">IF(AND(ISNUMBER($S$273),$B$183=1),$S$273,HLOOKUP(INDIRECT(ADDRESS(2,COLUMN())),OFFSET($BN$2,0,0,ROW()-1,60),ROW()-1,FALSE))</f>
        <v>4344.1130000000003</v>
      </c>
      <c r="T42">
        <f ca="1">IF(AND(ISNUMBER($T$273),$B$183=1),$T$273,HLOOKUP(INDIRECT(ADDRESS(2,COLUMN())),OFFSET($BN$2,0,0,ROW()-1,60),ROW()-1,FALSE))</f>
        <v>4169.3559999999998</v>
      </c>
      <c r="U42">
        <f ca="1">IF(AND(ISNUMBER($U$273),$B$183=1),$U$273,HLOOKUP(INDIRECT(ADDRESS(2,COLUMN())),OFFSET($BN$2,0,0,ROW()-1,60),ROW()-1,FALSE))</f>
        <v>4040.0410000000002</v>
      </c>
      <c r="V42">
        <f ca="1">IF(AND(ISNUMBER($V$273),$B$183=1),$V$273,HLOOKUP(INDIRECT(ADDRESS(2,COLUMN())),OFFSET($BN$2,0,0,ROW()-1,60),ROW()-1,FALSE))</f>
        <v>4089.7620000000002</v>
      </c>
      <c r="W42">
        <f ca="1">IF(AND(ISNUMBER($W$273),$B$183=1),$W$273,HLOOKUP(INDIRECT(ADDRESS(2,COLUMN())),OFFSET($BN$2,0,0,ROW()-1,60),ROW()-1,FALSE))</f>
        <v>3671.4140000000002</v>
      </c>
      <c r="X42">
        <f ca="1">IF(AND(ISNUMBER($X$273),$B$183=1),$X$273,HLOOKUP(INDIRECT(ADDRESS(2,COLUMN())),OFFSET($BN$2,0,0,ROW()-1,60),ROW()-1,FALSE))</f>
        <v>3519.2260000000001</v>
      </c>
      <c r="Y42">
        <f ca="1">IF(AND(ISNUMBER($Y$273),$B$183=1),$Y$273,HLOOKUP(INDIRECT(ADDRESS(2,COLUMN())),OFFSET($BN$2,0,0,ROW()-1,60),ROW()-1,FALSE))</f>
        <v>3332.3809999999999</v>
      </c>
      <c r="Z42">
        <f ca="1">IF(AND(ISNUMBER($Z$273),$B$183=1),$Z$273,HLOOKUP(INDIRECT(ADDRESS(2,COLUMN())),OFFSET($BN$2,0,0,ROW()-1,60),ROW()-1,FALSE))</f>
        <v>3360.39</v>
      </c>
      <c r="AA42">
        <f ca="1">IF(AND(ISNUMBER($AA$273),$B$183=1),$AA$273,HLOOKUP(INDIRECT(ADDRESS(2,COLUMN())),OFFSET($BN$2,0,0,ROW()-1,60),ROW()-1,FALSE))</f>
        <v>3175.893</v>
      </c>
      <c r="AB42">
        <f ca="1">IF(AND(ISNUMBER($AB$273),$B$183=1),$AB$273,HLOOKUP(INDIRECT(ADDRESS(2,COLUMN())),OFFSET($BN$2,0,0,ROW()-1,60),ROW()-1,FALSE))</f>
        <v>3044.9659999999999</v>
      </c>
      <c r="AC42">
        <f ca="1">IF(AND(ISNUMBER($AC$273),$B$183=1),$AC$273,HLOOKUP(INDIRECT(ADDRESS(2,COLUMN())),OFFSET($BN$2,0,0,ROW()-1,60),ROW()-1,FALSE))</f>
        <v>2864.7040000000002</v>
      </c>
      <c r="AD42">
        <f ca="1">IF(AND(ISNUMBER($AD$273),$B$183=1),$AD$273,HLOOKUP(INDIRECT(ADDRESS(2,COLUMN())),OFFSET($BN$2,0,0,ROW()-1,60),ROW()-1,FALSE))</f>
        <v>2867.085</v>
      </c>
      <c r="AE42">
        <f ca="1">IF(AND(ISNUMBER($AE$273),$B$183=1),$AE$273,HLOOKUP(INDIRECT(ADDRESS(2,COLUMN())),OFFSET($BN$2,0,0,ROW()-1,60),ROW()-1,FALSE))</f>
        <v>2730.7220000000002</v>
      </c>
      <c r="AF42">
        <f ca="1">IF(AND(ISNUMBER($AF$273),$B$183=1),$AF$273,HLOOKUP(INDIRECT(ADDRESS(2,COLUMN())),OFFSET($BN$2,0,0,ROW()-1,60),ROW()-1,FALSE))</f>
        <v>2655.5659999999998</v>
      </c>
      <c r="AG42">
        <f ca="1">IF(AND(ISNUMBER($AG$273),$B$183=1),$AG$273,HLOOKUP(INDIRECT(ADDRESS(2,COLUMN())),OFFSET($BN$2,0,0,ROW()-1,60),ROW()-1,FALSE))</f>
        <v>2652.8040000000001</v>
      </c>
      <c r="AH42">
        <f ca="1">IF(AND(ISNUMBER($AH$273),$B$183=1),$AH$273,HLOOKUP(INDIRECT(ADDRESS(2,COLUMN())),OFFSET($BN$2,0,0,ROW()-1,60),ROW()-1,FALSE))</f>
        <v>2781.1419999999998</v>
      </c>
      <c r="AI42">
        <f ca="1">IF(AND(ISNUMBER($AI$273),$B$183=1),$AI$273,HLOOKUP(INDIRECT(ADDRESS(2,COLUMN())),OFFSET($BN$2,0,0,ROW()-1,60),ROW()-1,FALSE))</f>
        <v>2122.89</v>
      </c>
      <c r="AJ42">
        <f ca="1">IF(AND(ISNUMBER($AJ$273),$B$183=1),$AJ$273,HLOOKUP(INDIRECT(ADDRESS(2,COLUMN())),OFFSET($BN$2,0,0,ROW()-1,60),ROW()-1,FALSE))</f>
        <v>2076.1849999999999</v>
      </c>
      <c r="AK42">
        <f ca="1">IF(AND(ISNUMBER($AK$273),$B$183=1),$AK$273,HLOOKUP(INDIRECT(ADDRESS(2,COLUMN())),OFFSET($BN$2,0,0,ROW()-1,60),ROW()-1,FALSE))</f>
        <v>2078.0810000000001</v>
      </c>
      <c r="AL42">
        <f ca="1">IF(AND(ISNUMBER($AL$273),$B$183=1),$AL$273,HLOOKUP(INDIRECT(ADDRESS(2,COLUMN())),OFFSET($BN$2,0,0,ROW()-1,60),ROW()-1,FALSE))</f>
        <v>2207.7979999999998</v>
      </c>
      <c r="AM42">
        <f ca="1">IF(AND(ISNUMBER($AM$273),$B$183=1),$AM$273,HLOOKUP(INDIRECT(ADDRESS(2,COLUMN())),OFFSET($BN$2,0,0,ROW()-1,60),ROW()-1,FALSE))</f>
        <v>2072.279</v>
      </c>
      <c r="AN42">
        <f ca="1">IF(AND(ISNUMBER($AN$273),$B$183=1),$AN$273,HLOOKUP(INDIRECT(ADDRESS(2,COLUMN())),OFFSET($BN$2,0,0,ROW()-1,60),ROW()-1,FALSE))</f>
        <v>2057.8319999999999</v>
      </c>
      <c r="AO42">
        <f ca="1">IF(AND(ISNUMBER($AO$273),$B$183=1),$AO$273,HLOOKUP(INDIRECT(ADDRESS(2,COLUMN())),OFFSET($BN$2,0,0,ROW()-1,60),ROW()-1,FALSE))</f>
        <v>2084.19</v>
      </c>
      <c r="AP42">
        <f ca="1">IF(AND(ISNUMBER($AP$273),$B$183=1),$AP$273,HLOOKUP(INDIRECT(ADDRESS(2,COLUMN())),OFFSET($BN$2,0,0,ROW()-1,60),ROW()-1,FALSE))</f>
        <v>2230.9609999999998</v>
      </c>
      <c r="AQ42">
        <f ca="1">IF(AND(ISNUMBER($AQ$273),$B$183=1),$AQ$273,HLOOKUP(INDIRECT(ADDRESS(2,COLUMN())),OFFSET($BN$2,0,0,ROW()-1,60),ROW()-1,FALSE))</f>
        <v>2621.5740000000001</v>
      </c>
      <c r="AR42">
        <f ca="1">IF(AND(ISNUMBER($AR$273),$B$183=1),$AR$273,HLOOKUP(INDIRECT(ADDRESS(2,COLUMN())),OFFSET($BN$2,0,0,ROW()-1,60),ROW()-1,FALSE))</f>
        <v>2636.9389999999999</v>
      </c>
      <c r="AS42">
        <f ca="1">IF(AND(ISNUMBER($AS$273),$B$183=1),$AS$273,HLOOKUP(INDIRECT(ADDRESS(2,COLUMN())),OFFSET($BN$2,0,0,ROW()-1,60),ROW()-1,FALSE))</f>
        <v>2601.2530000000002</v>
      </c>
      <c r="AT42">
        <f ca="1">IF(AND(ISNUMBER($AT$273),$B$183=1),$AT$273,HLOOKUP(INDIRECT(ADDRESS(2,COLUMN())),OFFSET($BN$2,0,0,ROW()-1,60),ROW()-1,FALSE))</f>
        <v>2535.1244999999999</v>
      </c>
      <c r="AU42">
        <f ca="1">IF(AND(ISNUMBER($AU$273),$B$183=1),$AU$273,HLOOKUP(INDIRECT(ADDRESS(2,COLUMN())),OFFSET($BN$2,0,0,ROW()-1,60),ROW()-1,FALSE))</f>
        <v>2582.3890000000001</v>
      </c>
      <c r="AV42">
        <f ca="1">IF(AND(ISNUMBER($AV$273),$B$183=1),$AV$273,HLOOKUP(INDIRECT(ADDRESS(2,COLUMN())),OFFSET($BN$2,0,0,ROW()-1,60),ROW()-1,FALSE))</f>
        <v>2465.2629999999999</v>
      </c>
      <c r="AW42">
        <f ca="1">IF(AND(ISNUMBER($AW$273),$B$183=1),$AW$273,HLOOKUP(INDIRECT(ADDRESS(2,COLUMN())),OFFSET($BN$2,0,0,ROW()-1,60),ROW()-1,FALSE))</f>
        <v>2392.7359999999999</v>
      </c>
      <c r="AX42">
        <f ca="1">IF(AND(ISNUMBER($AX$273),$B$183=1),$AX$273,HLOOKUP(INDIRECT(ADDRESS(2,COLUMN())),OFFSET($BN$2,0,0,ROW()-1,60),ROW()-1,FALSE))</f>
        <v>2700.7919999999999</v>
      </c>
      <c r="AY42">
        <f ca="1">IF(AND(ISNUMBER($AY$273),$B$183=1),$AY$273,HLOOKUP(INDIRECT(ADDRESS(2,COLUMN())),OFFSET($BN$2,0,0,ROW()-1,60),ROW()-1,FALSE))</f>
        <v>2453.163</v>
      </c>
      <c r="AZ42">
        <f ca="1">IF(AND(ISNUMBER($AZ$273),$B$183=1),$AZ$273,HLOOKUP(INDIRECT(ADDRESS(2,COLUMN())),OFFSET($BN$2,0,0,ROW()-1,60),ROW()-1,FALSE))</f>
        <v>2531.0239999999999</v>
      </c>
      <c r="BA42">
        <f ca="1">IF(AND(ISNUMBER($BA$273),$B$183=1),$BA$273,HLOOKUP(INDIRECT(ADDRESS(2,COLUMN())),OFFSET($BN$2,0,0,ROW()-1,60),ROW()-1,FALSE))</f>
        <v>2584.1729999999998</v>
      </c>
      <c r="BB42">
        <f ca="1">IF(AND(ISNUMBER($BB$273),$B$183=1),$BB$273,HLOOKUP(INDIRECT(ADDRESS(2,COLUMN())),OFFSET($BN$2,0,0,ROW()-1,60),ROW()-1,FALSE))</f>
        <v>2693.4630000000002</v>
      </c>
      <c r="BC42">
        <f ca="1">IF(AND(ISNUMBER($BC$273),$B$183=1),$BC$273,HLOOKUP(INDIRECT(ADDRESS(2,COLUMN())),OFFSET($BN$2,0,0,ROW()-1,60),ROW()-1,FALSE))</f>
        <v>2536.5909999999999</v>
      </c>
      <c r="BD42">
        <f ca="1">IF(AND(ISNUMBER($BD$273),$B$183=1),$BD$273,HLOOKUP(INDIRECT(ADDRESS(2,COLUMN())),OFFSET($BN$2,0,0,ROW()-1,60),ROW()-1,FALSE))</f>
        <v>2490.8580000000002</v>
      </c>
      <c r="BE42">
        <f ca="1">IF(AND(ISNUMBER($BE$273),$B$183=1),$BE$273,HLOOKUP(INDIRECT(ADDRESS(2,COLUMN())),OFFSET($BN$2,0,0,ROW()-1,60),ROW()-1,FALSE))</f>
        <v>2439.6779999999999</v>
      </c>
      <c r="BF42">
        <f ca="1">IF(AND(ISNUMBER($BF$273),$B$183=1),$BF$273,HLOOKUP(INDIRECT(ADDRESS(2,COLUMN())),OFFSET($BN$2,0,0,ROW()-1,60),ROW()-1,FALSE))</f>
        <v>2504.0884999999998</v>
      </c>
      <c r="BG42">
        <f ca="1">IF(AND(ISNUMBER($BG$273),$B$183=1),$BG$273,HLOOKUP(INDIRECT(ADDRESS(2,COLUMN())),OFFSET($BN$2,0,0,ROW()-1,60),ROW()-1,FALSE))</f>
        <v>2228.3330000000001</v>
      </c>
      <c r="BH42">
        <f ca="1">IF(AND(ISNUMBER($BH$273),$B$183=1),$BH$273,HLOOKUP(INDIRECT(ADDRESS(2,COLUMN())),OFFSET($BN$2,0,0,ROW()-1,60),ROW()-1,FALSE))</f>
        <v>2190.9929999999999</v>
      </c>
      <c r="BI42">
        <f ca="1">IF(AND(ISNUMBER($BI$273),$B$183=1),$BI$273,HLOOKUP(INDIRECT(ADDRESS(2,COLUMN())),OFFSET($BN$2,0,0,ROW()-1,60),ROW()-1,FALSE))</f>
        <v>2140.299</v>
      </c>
      <c r="BJ42">
        <f ca="1">IF(AND(ISNUMBER($BJ$273),$B$183=1),$BJ$273,HLOOKUP(INDIRECT(ADDRESS(2,COLUMN())),OFFSET($BN$2,0,0,ROW()-1,60),ROW()-1,FALSE))</f>
        <v>2127.73</v>
      </c>
      <c r="BK42">
        <f ca="1">IF(AND(ISNUMBER($BK$273),$B$183=1),$BK$273,HLOOKUP(INDIRECT(ADDRESS(2,COLUMN())),OFFSET($BN$2,0,0,ROW()-1,60),ROW()-1,FALSE))</f>
        <v>1960.912</v>
      </c>
      <c r="BL42">
        <f ca="1">IF(AND(ISNUMBER($BL$273),$B$183=1),$BL$273,HLOOKUP(INDIRECT(ADDRESS(2,COLUMN())),OFFSET($BN$2,0,0,ROW()-1,60),ROW()-1,FALSE))</f>
        <v>1895.431</v>
      </c>
      <c r="BM42">
        <f ca="1">IF(AND(ISNUMBER($BM$273),$B$183=1),$BM$273,HLOOKUP(INDIRECT(ADDRESS(2,COLUMN())),OFFSET($BN$2,0,0,ROW()-1,60),ROW()-1,FALSE))</f>
        <v>1831.0540000000001</v>
      </c>
      <c r="BN42">
        <f>4445.033783</f>
        <v>4445.0337829999999</v>
      </c>
      <c r="BO42">
        <f>4326.765</f>
        <v>4326.7650000000003</v>
      </c>
      <c r="BP42">
        <f>4320.397</f>
        <v>4320.3969999999999</v>
      </c>
      <c r="BQ42">
        <f>4246.974</f>
        <v>4246.9740000000002</v>
      </c>
      <c r="BR42">
        <f>4432.598</f>
        <v>4432.598</v>
      </c>
      <c r="BS42">
        <f>4242.941</f>
        <v>4242.9409999999998</v>
      </c>
      <c r="BT42">
        <f>4194.993</f>
        <v>4194.9930000000004</v>
      </c>
      <c r="BU42">
        <f>4233.125</f>
        <v>4233.125</v>
      </c>
      <c r="BV42">
        <f>4427.818</f>
        <v>4427.8180000000002</v>
      </c>
      <c r="BW42">
        <f>4224.69</f>
        <v>4224.6899999999996</v>
      </c>
      <c r="BX42">
        <f>4152.707</f>
        <v>4152.7070000000003</v>
      </c>
      <c r="BY42">
        <f>4417.533</f>
        <v>4417.5330000000004</v>
      </c>
      <c r="BZ42">
        <f>4474.181</f>
        <v>4474.1809999999996</v>
      </c>
      <c r="CA42">
        <f>4344.113</f>
        <v>4344.1130000000003</v>
      </c>
      <c r="CB42">
        <f>4169.356</f>
        <v>4169.3559999999998</v>
      </c>
      <c r="CC42">
        <f>4040.041</f>
        <v>4040.0410000000002</v>
      </c>
      <c r="CD42">
        <f>4089.762</f>
        <v>4089.7620000000002</v>
      </c>
      <c r="CE42">
        <f>3671.414</f>
        <v>3671.4140000000002</v>
      </c>
      <c r="CF42">
        <f>3519.226</f>
        <v>3519.2260000000001</v>
      </c>
      <c r="CG42">
        <f>3332.381</f>
        <v>3332.3809999999999</v>
      </c>
      <c r="CH42">
        <f>3360.39</f>
        <v>3360.39</v>
      </c>
      <c r="CI42">
        <f>3175.893</f>
        <v>3175.893</v>
      </c>
      <c r="CJ42">
        <f>3044.966</f>
        <v>3044.9659999999999</v>
      </c>
      <c r="CK42">
        <f>2864.704</f>
        <v>2864.7040000000002</v>
      </c>
      <c r="CL42">
        <f>2867.085</f>
        <v>2867.085</v>
      </c>
      <c r="CM42">
        <f>2730.722</f>
        <v>2730.7220000000002</v>
      </c>
      <c r="CN42">
        <f>2655.566</f>
        <v>2655.5659999999998</v>
      </c>
      <c r="CO42">
        <f>2652.804</f>
        <v>2652.8040000000001</v>
      </c>
      <c r="CP42">
        <f>2781.142</f>
        <v>2781.1419999999998</v>
      </c>
      <c r="CQ42">
        <f>2122.89</f>
        <v>2122.89</v>
      </c>
      <c r="CR42">
        <f>2076.185</f>
        <v>2076.1849999999999</v>
      </c>
      <c r="CS42">
        <f>2078.081</f>
        <v>2078.0810000000001</v>
      </c>
      <c r="CT42">
        <f>2207.798</f>
        <v>2207.7979999999998</v>
      </c>
      <c r="CU42">
        <f>2072.279</f>
        <v>2072.279</v>
      </c>
      <c r="CV42">
        <f>2057.832</f>
        <v>2057.8319999999999</v>
      </c>
      <c r="CW42">
        <f>2084.19</f>
        <v>2084.19</v>
      </c>
      <c r="CX42">
        <f>2230.961</f>
        <v>2230.9609999999998</v>
      </c>
      <c r="CY42">
        <f>2621.574</f>
        <v>2621.5740000000001</v>
      </c>
      <c r="CZ42">
        <f>2636.939</f>
        <v>2636.9389999999999</v>
      </c>
      <c r="DA42">
        <f>2601.253</f>
        <v>2601.2530000000002</v>
      </c>
      <c r="DB42">
        <f>2535.1245</f>
        <v>2535.1244999999999</v>
      </c>
      <c r="DC42">
        <f>2582.389</f>
        <v>2582.3890000000001</v>
      </c>
      <c r="DD42">
        <f>2465.263</f>
        <v>2465.2629999999999</v>
      </c>
      <c r="DE42">
        <f>2392.736</f>
        <v>2392.7359999999999</v>
      </c>
      <c r="DF42">
        <f>2700.792</f>
        <v>2700.7919999999999</v>
      </c>
      <c r="DG42">
        <f>2453.163</f>
        <v>2453.163</v>
      </c>
      <c r="DH42">
        <f>2531.024</f>
        <v>2531.0239999999999</v>
      </c>
      <c r="DI42">
        <f>2584.173</f>
        <v>2584.1729999999998</v>
      </c>
      <c r="DJ42">
        <f>2693.463</f>
        <v>2693.4630000000002</v>
      </c>
      <c r="DK42">
        <f>2536.591</f>
        <v>2536.5909999999999</v>
      </c>
      <c r="DL42">
        <f>2490.858</f>
        <v>2490.8580000000002</v>
      </c>
      <c r="DM42">
        <f>2439.678</f>
        <v>2439.6779999999999</v>
      </c>
      <c r="DN42">
        <f>2504.0885</f>
        <v>2504.0884999999998</v>
      </c>
      <c r="DO42">
        <f>2228.333</f>
        <v>2228.3330000000001</v>
      </c>
      <c r="DP42">
        <f>2190.993</f>
        <v>2190.9929999999999</v>
      </c>
      <c r="DQ42">
        <f>2140.299</f>
        <v>2140.299</v>
      </c>
      <c r="DR42">
        <f>2127.73</f>
        <v>2127.73</v>
      </c>
      <c r="DS42">
        <f>1960.912</f>
        <v>1960.912</v>
      </c>
      <c r="DT42">
        <f>1895.431</f>
        <v>1895.431</v>
      </c>
      <c r="DU42">
        <f>1831.054</f>
        <v>1831.0540000000001</v>
      </c>
    </row>
    <row r="43" spans="1:125">
      <c r="A43" t="str">
        <f>"    Shopping Center REITs"</f>
        <v xml:space="preserve">    Shopping Center REITs</v>
      </c>
      <c r="B43" t="str">
        <f>"RECFNOSC Index"</f>
        <v>RECFNOSC Index</v>
      </c>
      <c r="C43" t="str">
        <f t="shared" si="7"/>
        <v>PR005</v>
      </c>
      <c r="D43" t="str">
        <f t="shared" si="8"/>
        <v>PX_LAST</v>
      </c>
      <c r="E43" t="str">
        <f t="shared" si="9"/>
        <v>动态</v>
      </c>
      <c r="F43">
        <f ca="1">IF(AND(ISNUMBER($F$274),$B$183=1),$F$274,HLOOKUP(INDIRECT(ADDRESS(2,COLUMN())),OFFSET($BN$2,0,0,ROW()-1,60),ROW()-1,FALSE))</f>
        <v>1577.667751</v>
      </c>
      <c r="G43">
        <f ca="1">IF(AND(ISNUMBER($G$274),$B$183=1),$G$274,HLOOKUP(INDIRECT(ADDRESS(2,COLUMN())),OFFSET($BN$2,0,0,ROW()-1,60),ROW()-1,FALSE))</f>
        <v>1588.4970000000001</v>
      </c>
      <c r="H43">
        <f ca="1">IF(AND(ISNUMBER($H$274),$B$183=1),$H$274,HLOOKUP(INDIRECT(ADDRESS(2,COLUMN())),OFFSET($BN$2,0,0,ROW()-1,60),ROW()-1,FALSE))</f>
        <v>1583.4780000000001</v>
      </c>
      <c r="I43">
        <f ca="1">IF(AND(ISNUMBER($I$274),$B$183=1),$I$274,HLOOKUP(INDIRECT(ADDRESS(2,COLUMN())),OFFSET($BN$2,0,0,ROW()-1,60),ROW()-1,FALSE))</f>
        <v>1529.442</v>
      </c>
      <c r="J43">
        <f ca="1">IF(AND(ISNUMBER($J$274),$B$183=1),$J$274,HLOOKUP(INDIRECT(ADDRESS(2,COLUMN())),OFFSET($BN$2,0,0,ROW()-1,60),ROW()-1,FALSE))</f>
        <v>1562.5419999999999</v>
      </c>
      <c r="K43">
        <f ca="1">IF(AND(ISNUMBER($K$274),$B$183=1),$K$274,HLOOKUP(INDIRECT(ADDRESS(2,COLUMN())),OFFSET($BN$2,0,0,ROW()-1,60),ROW()-1,FALSE))</f>
        <v>1543.92</v>
      </c>
      <c r="L43">
        <f ca="1">IF(AND(ISNUMBER($L$274),$B$183=1),$L$274,HLOOKUP(INDIRECT(ADDRESS(2,COLUMN())),OFFSET($BN$2,0,0,ROW()-1,60),ROW()-1,FALSE))</f>
        <v>1587.818</v>
      </c>
      <c r="M43">
        <f ca="1">IF(AND(ISNUMBER($M$274),$B$183=1),$M$274,HLOOKUP(INDIRECT(ADDRESS(2,COLUMN())),OFFSET($BN$2,0,0,ROW()-1,60),ROW()-1,FALSE))</f>
        <v>1536.38</v>
      </c>
      <c r="N43">
        <f ca="1">IF(AND(ISNUMBER($N$274),$B$183=1),$N$274,HLOOKUP(INDIRECT(ADDRESS(2,COLUMN())),OFFSET($BN$2,0,0,ROW()-1,60),ROW()-1,FALSE))</f>
        <v>1554.068</v>
      </c>
      <c r="O43">
        <f ca="1">IF(AND(ISNUMBER($O$274),$B$183=1),$O$274,HLOOKUP(INDIRECT(ADDRESS(2,COLUMN())),OFFSET($BN$2,0,0,ROW()-1,60),ROW()-1,FALSE))</f>
        <v>1537.7660000000001</v>
      </c>
      <c r="P43">
        <f ca="1">IF(AND(ISNUMBER($P$274),$B$183=1),$P$274,HLOOKUP(INDIRECT(ADDRESS(2,COLUMN())),OFFSET($BN$2,0,0,ROW()-1,60),ROW()-1,FALSE))</f>
        <v>1550.7049999999999</v>
      </c>
      <c r="Q43">
        <f ca="1">IF(AND(ISNUMBER($Q$274),$B$183=1),$Q$274,HLOOKUP(INDIRECT(ADDRESS(2,COLUMN())),OFFSET($BN$2,0,0,ROW()-1,60),ROW()-1,FALSE))</f>
        <v>1522.6990000000001</v>
      </c>
      <c r="R43">
        <f ca="1">IF(AND(ISNUMBER($R$274),$B$183=1),$R$274,HLOOKUP(INDIRECT(ADDRESS(2,COLUMN())),OFFSET($BN$2,0,0,ROW()-1,60),ROW()-1,FALSE))</f>
        <v>1453.847</v>
      </c>
      <c r="S43">
        <f ca="1">IF(AND(ISNUMBER($S$274),$B$183=1),$S$274,HLOOKUP(INDIRECT(ADDRESS(2,COLUMN())),OFFSET($BN$2,0,0,ROW()-1,60),ROW()-1,FALSE))</f>
        <v>1472.192</v>
      </c>
      <c r="T43">
        <f ca="1">IF(AND(ISNUMBER($T$274),$B$183=1),$T$274,HLOOKUP(INDIRECT(ADDRESS(2,COLUMN())),OFFSET($BN$2,0,0,ROW()-1,60),ROW()-1,FALSE))</f>
        <v>1417.2170000000001</v>
      </c>
      <c r="U43">
        <f ca="1">IF(AND(ISNUMBER($U$274),$B$183=1),$U$274,HLOOKUP(INDIRECT(ADDRESS(2,COLUMN())),OFFSET($BN$2,0,0,ROW()-1,60),ROW()-1,FALSE))</f>
        <v>1396.4829999999999</v>
      </c>
      <c r="V43">
        <f ca="1">IF(AND(ISNUMBER($V$274),$B$183=1),$V$274,HLOOKUP(INDIRECT(ADDRESS(2,COLUMN())),OFFSET($BN$2,0,0,ROW()-1,60),ROW()-1,FALSE))</f>
        <v>1376.7539999999999</v>
      </c>
      <c r="W43">
        <f ca="1">IF(AND(ISNUMBER($W$274),$B$183=1),$W$274,HLOOKUP(INDIRECT(ADDRESS(2,COLUMN())),OFFSET($BN$2,0,0,ROW()-1,60),ROW()-1,FALSE))</f>
        <v>1094.444</v>
      </c>
      <c r="X43">
        <f ca="1">IF(AND(ISNUMBER($X$274),$B$183=1),$X$274,HLOOKUP(INDIRECT(ADDRESS(2,COLUMN())),OFFSET($BN$2,0,0,ROW()-1,60),ROW()-1,FALSE))</f>
        <v>1081.5989999999999</v>
      </c>
      <c r="Y43">
        <f ca="1">IF(AND(ISNUMBER($Y$274),$B$183=1),$Y$274,HLOOKUP(INDIRECT(ADDRESS(2,COLUMN())),OFFSET($BN$2,0,0,ROW()-1,60),ROW()-1,FALSE))</f>
        <v>1063.953</v>
      </c>
      <c r="Z43">
        <f ca="1">IF(AND(ISNUMBER($Z$274),$B$183=1),$Z$274,HLOOKUP(INDIRECT(ADDRESS(2,COLUMN())),OFFSET($BN$2,0,0,ROW()-1,60),ROW()-1,FALSE))</f>
        <v>1038.8599999999999</v>
      </c>
      <c r="AA43">
        <f ca="1">IF(AND(ISNUMBER($AA$274),$B$183=1),$AA$274,HLOOKUP(INDIRECT(ADDRESS(2,COLUMN())),OFFSET($BN$2,0,0,ROW()-1,60),ROW()-1,FALSE))</f>
        <v>1032.0050000000001</v>
      </c>
      <c r="AB43">
        <f ca="1">IF(AND(ISNUMBER($AB$274),$B$183=1),$AB$274,HLOOKUP(INDIRECT(ADDRESS(2,COLUMN())),OFFSET($BN$2,0,0,ROW()-1,60),ROW()-1,FALSE))</f>
        <v>1031.6210000000001</v>
      </c>
      <c r="AC43">
        <f ca="1">IF(AND(ISNUMBER($AC$274),$B$183=1),$AC$274,HLOOKUP(INDIRECT(ADDRESS(2,COLUMN())),OFFSET($BN$2,0,0,ROW()-1,60),ROW()-1,FALSE))</f>
        <v>900.97699999999998</v>
      </c>
      <c r="AD43">
        <f ca="1">IF(AND(ISNUMBER($AD$274),$B$183=1),$AD$274,HLOOKUP(INDIRECT(ADDRESS(2,COLUMN())),OFFSET($BN$2,0,0,ROW()-1,60),ROW()-1,FALSE))</f>
        <v>896.53499999999997</v>
      </c>
      <c r="AE43">
        <f ca="1">IF(AND(ISNUMBER($AE$274),$B$183=1),$AE$274,HLOOKUP(INDIRECT(ADDRESS(2,COLUMN())),OFFSET($BN$2,0,0,ROW()-1,60),ROW()-1,FALSE))</f>
        <v>878.33199999999999</v>
      </c>
      <c r="AF43">
        <f ca="1">IF(AND(ISNUMBER($AF$274),$B$183=1),$AF$274,HLOOKUP(INDIRECT(ADDRESS(2,COLUMN())),OFFSET($BN$2,0,0,ROW()-1,60),ROW()-1,FALSE))</f>
        <v>876.93299999999999</v>
      </c>
      <c r="AG43">
        <f ca="1">IF(AND(ISNUMBER($AG$274),$B$183=1),$AG$274,HLOOKUP(INDIRECT(ADDRESS(2,COLUMN())),OFFSET($BN$2,0,0,ROW()-1,60),ROW()-1,FALSE))</f>
        <v>868.08399999999995</v>
      </c>
      <c r="AH43">
        <f ca="1">IF(AND(ISNUMBER($AH$274),$B$183=1),$AH$274,HLOOKUP(INDIRECT(ADDRESS(2,COLUMN())),OFFSET($BN$2,0,0,ROW()-1,60),ROW()-1,FALSE))</f>
        <v>845.48900000000003</v>
      </c>
      <c r="AI43">
        <f ca="1">IF(AND(ISNUMBER($AI$274),$B$183=1),$AI$274,HLOOKUP(INDIRECT(ADDRESS(2,COLUMN())),OFFSET($BN$2,0,0,ROW()-1,60),ROW()-1,FALSE))</f>
        <v>832.10599999999999</v>
      </c>
      <c r="AJ43">
        <f ca="1">IF(AND(ISNUMBER($AJ$274),$B$183=1),$AJ$274,HLOOKUP(INDIRECT(ADDRESS(2,COLUMN())),OFFSET($BN$2,0,0,ROW()-1,60),ROW()-1,FALSE))</f>
        <v>824.755</v>
      </c>
      <c r="AK43">
        <f ca="1">IF(AND(ISNUMBER($AK$274),$B$183=1),$AK$274,HLOOKUP(INDIRECT(ADDRESS(2,COLUMN())),OFFSET($BN$2,0,0,ROW()-1,60),ROW()-1,FALSE))</f>
        <v>835.76199999999994</v>
      </c>
      <c r="AL43">
        <f ca="1">IF(AND(ISNUMBER($AL$274),$B$183=1),$AL$274,HLOOKUP(INDIRECT(ADDRESS(2,COLUMN())),OFFSET($BN$2,0,0,ROW()-1,60),ROW()-1,FALSE))</f>
        <v>832.01099999999997</v>
      </c>
      <c r="AM43">
        <f ca="1">IF(AND(ISNUMBER($AM$274),$B$183=1),$AM$274,HLOOKUP(INDIRECT(ADDRESS(2,COLUMN())),OFFSET($BN$2,0,0,ROW()-1,60),ROW()-1,FALSE))</f>
        <v>818.52099999999996</v>
      </c>
      <c r="AN43">
        <f ca="1">IF(AND(ISNUMBER($AN$274),$B$183=1),$AN$274,HLOOKUP(INDIRECT(ADDRESS(2,COLUMN())),OFFSET($BN$2,0,0,ROW()-1,60),ROW()-1,FALSE))</f>
        <v>803.43799999999999</v>
      </c>
      <c r="AO43">
        <f ca="1">IF(AND(ISNUMBER($AO$274),$B$183=1),$AO$274,HLOOKUP(INDIRECT(ADDRESS(2,COLUMN())),OFFSET($BN$2,0,0,ROW()-1,60),ROW()-1,FALSE))</f>
        <v>825.53499999999997</v>
      </c>
      <c r="AP43">
        <f ca="1">IF(AND(ISNUMBER($AP$274),$B$183=1),$AP$274,HLOOKUP(INDIRECT(ADDRESS(2,COLUMN())),OFFSET($BN$2,0,0,ROW()-1,60),ROW()-1,FALSE))</f>
        <v>821.26400000000001</v>
      </c>
      <c r="AQ43">
        <f ca="1">IF(AND(ISNUMBER($AQ$274),$B$183=1),$AQ$274,HLOOKUP(INDIRECT(ADDRESS(2,COLUMN())),OFFSET($BN$2,0,0,ROW()-1,60),ROW()-1,FALSE))</f>
        <v>820.95899999999995</v>
      </c>
      <c r="AR43">
        <f ca="1">IF(AND(ISNUMBER($AR$274),$B$183=1),$AR$274,HLOOKUP(INDIRECT(ADDRESS(2,COLUMN())),OFFSET($BN$2,0,0,ROW()-1,60),ROW()-1,FALSE))</f>
        <v>842.55700000000002</v>
      </c>
      <c r="AS43">
        <f ca="1">IF(AND(ISNUMBER($AS$274),$B$183=1),$AS$274,HLOOKUP(INDIRECT(ADDRESS(2,COLUMN())),OFFSET($BN$2,0,0,ROW()-1,60),ROW()-1,FALSE))</f>
        <v>820.83399999999995</v>
      </c>
      <c r="AT43">
        <f ca="1">IF(AND(ISNUMBER($AT$274),$B$183=1),$AT$274,HLOOKUP(INDIRECT(ADDRESS(2,COLUMN())),OFFSET($BN$2,0,0,ROW()-1,60),ROW()-1,FALSE))</f>
        <v>795.02700000000004</v>
      </c>
      <c r="AU43">
        <f ca="1">IF(AND(ISNUMBER($AU$274),$B$183=1),$AU$274,HLOOKUP(INDIRECT(ADDRESS(2,COLUMN())),OFFSET($BN$2,0,0,ROW()-1,60),ROW()-1,FALSE))</f>
        <v>805.10400000000004</v>
      </c>
      <c r="AV43">
        <f ca="1">IF(AND(ISNUMBER($AV$274),$B$183=1),$AV$274,HLOOKUP(INDIRECT(ADDRESS(2,COLUMN())),OFFSET($BN$2,0,0,ROW()-1,60),ROW()-1,FALSE))</f>
        <v>812.97900000000004</v>
      </c>
      <c r="AW43">
        <f ca="1">IF(AND(ISNUMBER($AW$274),$B$183=1),$AW$274,HLOOKUP(INDIRECT(ADDRESS(2,COLUMN())),OFFSET($BN$2,0,0,ROW()-1,60),ROW()-1,FALSE))</f>
        <v>778.87099999999998</v>
      </c>
      <c r="AX43">
        <f ca="1">IF(AND(ISNUMBER($AX$274),$B$183=1),$AX$274,HLOOKUP(INDIRECT(ADDRESS(2,COLUMN())),OFFSET($BN$2,0,0,ROW()-1,60),ROW()-1,FALSE))</f>
        <v>838.37</v>
      </c>
      <c r="AY43">
        <f ca="1">IF(AND(ISNUMBER($AY$274),$B$183=1),$AY$274,HLOOKUP(INDIRECT(ADDRESS(2,COLUMN())),OFFSET($BN$2,0,0,ROW()-1,60),ROW()-1,FALSE))</f>
        <v>819.97699999999998</v>
      </c>
      <c r="AZ43">
        <f ca="1">IF(AND(ISNUMBER($AZ$274),$B$183=1),$AZ$274,HLOOKUP(INDIRECT(ADDRESS(2,COLUMN())),OFFSET($BN$2,0,0,ROW()-1,60),ROW()-1,FALSE))</f>
        <v>928.48900000000003</v>
      </c>
      <c r="BA43">
        <f ca="1">IF(AND(ISNUMBER($BA$274),$B$183=1),$BA$274,HLOOKUP(INDIRECT(ADDRESS(2,COLUMN())),OFFSET($BN$2,0,0,ROW()-1,60),ROW()-1,FALSE))</f>
        <v>928.57</v>
      </c>
      <c r="BB43">
        <f ca="1">IF(AND(ISNUMBER($BB$274),$B$183=1),$BB$274,HLOOKUP(INDIRECT(ADDRESS(2,COLUMN())),OFFSET($BN$2,0,0,ROW()-1,60),ROW()-1,FALSE))</f>
        <v>908.02800000000002</v>
      </c>
      <c r="BC43">
        <f ca="1">IF(AND(ISNUMBER($BC$274),$B$183=1),$BC$274,HLOOKUP(INDIRECT(ADDRESS(2,COLUMN())),OFFSET($BN$2,0,0,ROW()-1,60),ROW()-1,FALSE))</f>
        <v>873.81100000000004</v>
      </c>
      <c r="BD43">
        <f ca="1">IF(AND(ISNUMBER($BD$274),$B$183=1),$BD$274,HLOOKUP(INDIRECT(ADDRESS(2,COLUMN())),OFFSET($BN$2,0,0,ROW()-1,60),ROW()-1,FALSE))</f>
        <v>877.51800000000003</v>
      </c>
      <c r="BE43">
        <f ca="1">IF(AND(ISNUMBER($BE$274),$B$183=1),$BE$274,HLOOKUP(INDIRECT(ADDRESS(2,COLUMN())),OFFSET($BN$2,0,0,ROW()-1,60),ROW()-1,FALSE))</f>
        <v>872.66600000000005</v>
      </c>
      <c r="BF43">
        <f ca="1">IF(AND(ISNUMBER($BF$274),$B$183=1),$BF$274,HLOOKUP(INDIRECT(ADDRESS(2,COLUMN())),OFFSET($BN$2,0,0,ROW()-1,60),ROW()-1,FALSE))</f>
        <v>865.69650000000001</v>
      </c>
      <c r="BG43">
        <f ca="1">IF(AND(ISNUMBER($BG$274),$B$183=1),$BG$274,HLOOKUP(INDIRECT(ADDRESS(2,COLUMN())),OFFSET($BN$2,0,0,ROW()-1,60),ROW()-1,FALSE))</f>
        <v>873.68</v>
      </c>
      <c r="BH43">
        <f ca="1">IF(AND(ISNUMBER($BH$274),$B$183=1),$BH$274,HLOOKUP(INDIRECT(ADDRESS(2,COLUMN())),OFFSET($BN$2,0,0,ROW()-1,60),ROW()-1,FALSE))</f>
        <v>882.74099999999999</v>
      </c>
      <c r="BI43">
        <f ca="1">IF(AND(ISNUMBER($BI$274),$B$183=1),$BI$274,HLOOKUP(INDIRECT(ADDRESS(2,COLUMN())),OFFSET($BN$2,0,0,ROW()-1,60),ROW()-1,FALSE))</f>
        <v>849.72900000000004</v>
      </c>
      <c r="BJ43">
        <f ca="1">IF(AND(ISNUMBER($BJ$274),$B$183=1),$BJ$274,HLOOKUP(INDIRECT(ADDRESS(2,COLUMN())),OFFSET($BN$2,0,0,ROW()-1,60),ROW()-1,FALSE))</f>
        <v>812.29250000000002</v>
      </c>
      <c r="BK43">
        <f ca="1">IF(AND(ISNUMBER($BK$274),$B$183=1),$BK$274,HLOOKUP(INDIRECT(ADDRESS(2,COLUMN())),OFFSET($BN$2,0,0,ROW()-1,60),ROW()-1,FALSE))</f>
        <v>782.505</v>
      </c>
      <c r="BL43">
        <f ca="1">IF(AND(ISNUMBER($BL$274),$B$183=1),$BL$274,HLOOKUP(INDIRECT(ADDRESS(2,COLUMN())),OFFSET($BN$2,0,0,ROW()-1,60),ROW()-1,FALSE))</f>
        <v>785.71299999999997</v>
      </c>
      <c r="BM43">
        <f ca="1">IF(AND(ISNUMBER($BM$274),$B$183=1),$BM$274,HLOOKUP(INDIRECT(ADDRESS(2,COLUMN())),OFFSET($BN$2,0,0,ROW()-1,60),ROW()-1,FALSE))</f>
        <v>753.48199999999997</v>
      </c>
      <c r="BN43">
        <f>1577.667751</f>
        <v>1577.667751</v>
      </c>
      <c r="BO43">
        <f>1588.497</f>
        <v>1588.4970000000001</v>
      </c>
      <c r="BP43">
        <f>1583.478</f>
        <v>1583.4780000000001</v>
      </c>
      <c r="BQ43">
        <f>1529.442</f>
        <v>1529.442</v>
      </c>
      <c r="BR43">
        <f>1562.542</f>
        <v>1562.5419999999999</v>
      </c>
      <c r="BS43">
        <f>1543.92</f>
        <v>1543.92</v>
      </c>
      <c r="BT43">
        <f>1587.818</f>
        <v>1587.818</v>
      </c>
      <c r="BU43">
        <f>1536.38</f>
        <v>1536.38</v>
      </c>
      <c r="BV43">
        <f>1554.068</f>
        <v>1554.068</v>
      </c>
      <c r="BW43">
        <f>1537.766</f>
        <v>1537.7660000000001</v>
      </c>
      <c r="BX43">
        <f>1550.705</f>
        <v>1550.7049999999999</v>
      </c>
      <c r="BY43">
        <f>1522.699</f>
        <v>1522.6990000000001</v>
      </c>
      <c r="BZ43">
        <f>1453.847</f>
        <v>1453.847</v>
      </c>
      <c r="CA43">
        <f>1472.192</f>
        <v>1472.192</v>
      </c>
      <c r="CB43">
        <f>1417.217</f>
        <v>1417.2170000000001</v>
      </c>
      <c r="CC43">
        <f>1396.483</f>
        <v>1396.4829999999999</v>
      </c>
      <c r="CD43">
        <f>1376.754</f>
        <v>1376.7539999999999</v>
      </c>
      <c r="CE43">
        <f>1094.444</f>
        <v>1094.444</v>
      </c>
      <c r="CF43">
        <f>1081.599</f>
        <v>1081.5989999999999</v>
      </c>
      <c r="CG43">
        <f>1063.953</f>
        <v>1063.953</v>
      </c>
      <c r="CH43">
        <f>1038.86</f>
        <v>1038.8599999999999</v>
      </c>
      <c r="CI43">
        <f>1032.005</f>
        <v>1032.0050000000001</v>
      </c>
      <c r="CJ43">
        <f>1031.621</f>
        <v>1031.6210000000001</v>
      </c>
      <c r="CK43">
        <f>900.977</f>
        <v>900.97699999999998</v>
      </c>
      <c r="CL43">
        <f>896.535</f>
        <v>896.53499999999997</v>
      </c>
      <c r="CM43">
        <f>878.332</f>
        <v>878.33199999999999</v>
      </c>
      <c r="CN43">
        <f>876.933</f>
        <v>876.93299999999999</v>
      </c>
      <c r="CO43">
        <f>868.084</f>
        <v>868.08399999999995</v>
      </c>
      <c r="CP43">
        <f>845.489</f>
        <v>845.48900000000003</v>
      </c>
      <c r="CQ43">
        <f>832.106</f>
        <v>832.10599999999999</v>
      </c>
      <c r="CR43">
        <f>824.755</f>
        <v>824.755</v>
      </c>
      <c r="CS43">
        <f>835.762</f>
        <v>835.76199999999994</v>
      </c>
      <c r="CT43">
        <f>832.011</f>
        <v>832.01099999999997</v>
      </c>
      <c r="CU43">
        <f>818.521</f>
        <v>818.52099999999996</v>
      </c>
      <c r="CV43">
        <f>803.438</f>
        <v>803.43799999999999</v>
      </c>
      <c r="CW43">
        <f>825.535</f>
        <v>825.53499999999997</v>
      </c>
      <c r="CX43">
        <f>821.264</f>
        <v>821.26400000000001</v>
      </c>
      <c r="CY43">
        <f>820.959</f>
        <v>820.95899999999995</v>
      </c>
      <c r="CZ43">
        <f>842.557</f>
        <v>842.55700000000002</v>
      </c>
      <c r="DA43">
        <f>820.834</f>
        <v>820.83399999999995</v>
      </c>
      <c r="DB43">
        <f>795.027</f>
        <v>795.02700000000004</v>
      </c>
      <c r="DC43">
        <f>805.104</f>
        <v>805.10400000000004</v>
      </c>
      <c r="DD43">
        <f>812.979</f>
        <v>812.97900000000004</v>
      </c>
      <c r="DE43">
        <f>778.871</f>
        <v>778.87099999999998</v>
      </c>
      <c r="DF43">
        <f>838.37</f>
        <v>838.37</v>
      </c>
      <c r="DG43">
        <f>819.977</f>
        <v>819.97699999999998</v>
      </c>
      <c r="DH43">
        <f>928.489</f>
        <v>928.48900000000003</v>
      </c>
      <c r="DI43">
        <f>928.57</f>
        <v>928.57</v>
      </c>
      <c r="DJ43">
        <f>908.028</f>
        <v>908.02800000000002</v>
      </c>
      <c r="DK43">
        <f>873.811</f>
        <v>873.81100000000004</v>
      </c>
      <c r="DL43">
        <f>877.518</f>
        <v>877.51800000000003</v>
      </c>
      <c r="DM43">
        <f>872.666</f>
        <v>872.66600000000005</v>
      </c>
      <c r="DN43">
        <f>865.6965</f>
        <v>865.69650000000001</v>
      </c>
      <c r="DO43">
        <f>873.68</f>
        <v>873.68</v>
      </c>
      <c r="DP43">
        <f>882.741</f>
        <v>882.74099999999999</v>
      </c>
      <c r="DQ43">
        <f>849.729</f>
        <v>849.72900000000004</v>
      </c>
      <c r="DR43">
        <f>812.2925</f>
        <v>812.29250000000002</v>
      </c>
      <c r="DS43">
        <f>782.505</f>
        <v>782.505</v>
      </c>
      <c r="DT43">
        <f>785.713</f>
        <v>785.71299999999997</v>
      </c>
      <c r="DU43">
        <f>753.482</f>
        <v>753.48199999999997</v>
      </c>
    </row>
    <row r="44" spans="1:125">
      <c r="A44" t="str">
        <f>"    Regional Mall REITs"</f>
        <v xml:space="preserve">    Regional Mall REITs</v>
      </c>
      <c r="B44" t="str">
        <f>"RECFNORM Index"</f>
        <v>RECFNORM Index</v>
      </c>
      <c r="C44" t="str">
        <f t="shared" si="7"/>
        <v>PR005</v>
      </c>
      <c r="D44" t="str">
        <f t="shared" si="8"/>
        <v>PX_LAST</v>
      </c>
      <c r="E44" t="str">
        <f t="shared" si="9"/>
        <v>动态</v>
      </c>
      <c r="F44">
        <f ca="1">IF(AND(ISNUMBER($F$275),$B$183=1),$F$275,HLOOKUP(INDIRECT(ADDRESS(2,COLUMN())),OFFSET($BN$2,0,0,ROW()-1,60),ROW()-1,FALSE))</f>
        <v>2046.757333</v>
      </c>
      <c r="G44">
        <f ca="1">IF(AND(ISNUMBER($G$275),$B$183=1),$G$275,HLOOKUP(INDIRECT(ADDRESS(2,COLUMN())),OFFSET($BN$2,0,0,ROW()-1,60),ROW()-1,FALSE))</f>
        <v>1921.25</v>
      </c>
      <c r="H44">
        <f ca="1">IF(AND(ISNUMBER($H$275),$B$183=1),$H$275,HLOOKUP(INDIRECT(ADDRESS(2,COLUMN())),OFFSET($BN$2,0,0,ROW()-1,60),ROW()-1,FALSE))</f>
        <v>1933.9849999999999</v>
      </c>
      <c r="I44">
        <f ca="1">IF(AND(ISNUMBER($I$275),$B$183=1),$I$275,HLOOKUP(INDIRECT(ADDRESS(2,COLUMN())),OFFSET($BN$2,0,0,ROW()-1,60),ROW()-1,FALSE))</f>
        <v>1925.1369999999999</v>
      </c>
      <c r="J44">
        <f ca="1">IF(AND(ISNUMBER($J$275),$B$183=1),$J$275,HLOOKUP(INDIRECT(ADDRESS(2,COLUMN())),OFFSET($BN$2,0,0,ROW()-1,60),ROW()-1,FALSE))</f>
        <v>2091.4290000000001</v>
      </c>
      <c r="K44">
        <f ca="1">IF(AND(ISNUMBER($K$275),$B$183=1),$K$275,HLOOKUP(INDIRECT(ADDRESS(2,COLUMN())),OFFSET($BN$2,0,0,ROW()-1,60),ROW()-1,FALSE))</f>
        <v>1943.9190000000001</v>
      </c>
      <c r="L44">
        <f ca="1">IF(AND(ISNUMBER($L$275),$B$183=1),$L$275,HLOOKUP(INDIRECT(ADDRESS(2,COLUMN())),OFFSET($BN$2,0,0,ROW()-1,60),ROW()-1,FALSE))</f>
        <v>1942.0719999999999</v>
      </c>
      <c r="M44">
        <f ca="1">IF(AND(ISNUMBER($M$275),$B$183=1),$M$275,HLOOKUP(INDIRECT(ADDRESS(2,COLUMN())),OFFSET($BN$2,0,0,ROW()-1,60),ROW()-1,FALSE))</f>
        <v>2001.19</v>
      </c>
      <c r="N44">
        <f ca="1">IF(AND(ISNUMBER($N$275),$B$183=1),$N$275,HLOOKUP(INDIRECT(ADDRESS(2,COLUMN())),OFFSET($BN$2,0,0,ROW()-1,60),ROW()-1,FALSE))</f>
        <v>2187.4940000000001</v>
      </c>
      <c r="O44">
        <f ca="1">IF(AND(ISNUMBER($O$275),$B$183=1),$O$275,HLOOKUP(INDIRECT(ADDRESS(2,COLUMN())),OFFSET($BN$2,0,0,ROW()-1,60),ROW()-1,FALSE))</f>
        <v>2019.4839999999999</v>
      </c>
      <c r="P44">
        <f ca="1">IF(AND(ISNUMBER($P$275),$B$183=1),$P$275,HLOOKUP(INDIRECT(ADDRESS(2,COLUMN())),OFFSET($BN$2,0,0,ROW()-1,60),ROW()-1,FALSE))</f>
        <v>1995.625</v>
      </c>
      <c r="Q44">
        <f ca="1">IF(AND(ISNUMBER($Q$275),$B$183=1),$Q$275,HLOOKUP(INDIRECT(ADDRESS(2,COLUMN())),OFFSET($BN$2,0,0,ROW()-1,60),ROW()-1,FALSE))</f>
        <v>1976.327</v>
      </c>
      <c r="R44">
        <f ca="1">IF(AND(ISNUMBER($R$275),$B$183=1),$R$275,HLOOKUP(INDIRECT(ADDRESS(2,COLUMN())),OFFSET($BN$2,0,0,ROW()-1,60),ROW()-1,FALSE))</f>
        <v>2117.201</v>
      </c>
      <c r="S44">
        <f ca="1">IF(AND(ISNUMBER($S$275),$B$183=1),$S$275,HLOOKUP(INDIRECT(ADDRESS(2,COLUMN())),OFFSET($BN$2,0,0,ROW()-1,60),ROW()-1,FALSE))</f>
        <v>2016.076</v>
      </c>
      <c r="T44">
        <f ca="1">IF(AND(ISNUMBER($T$275),$B$183=1),$T$275,HLOOKUP(INDIRECT(ADDRESS(2,COLUMN())),OFFSET($BN$2,0,0,ROW()-1,60),ROW()-1,FALSE))</f>
        <v>1962.0830000000001</v>
      </c>
      <c r="U44">
        <f ca="1">IF(AND(ISNUMBER($U$275),$B$183=1),$U$275,HLOOKUP(INDIRECT(ADDRESS(2,COLUMN())),OFFSET($BN$2,0,0,ROW()-1,60),ROW()-1,FALSE))</f>
        <v>1934.7750000000001</v>
      </c>
      <c r="V44">
        <f ca="1">IF(AND(ISNUMBER($V$275),$B$183=1),$V$275,HLOOKUP(INDIRECT(ADDRESS(2,COLUMN())),OFFSET($BN$2,0,0,ROW()-1,60),ROW()-1,FALSE))</f>
        <v>2120.5659999999998</v>
      </c>
      <c r="W44">
        <f ca="1">IF(AND(ISNUMBER($W$275),$B$183=1),$W$275,HLOOKUP(INDIRECT(ADDRESS(2,COLUMN())),OFFSET($BN$2,0,0,ROW()-1,60),ROW()-1,FALSE))</f>
        <v>1906.0519999999999</v>
      </c>
      <c r="X44">
        <f ca="1">IF(AND(ISNUMBER($X$275),$B$183=1),$X$275,HLOOKUP(INDIRECT(ADDRESS(2,COLUMN())),OFFSET($BN$2,0,0,ROW()-1,60),ROW()-1,FALSE))</f>
        <v>1877.5239999999999</v>
      </c>
      <c r="Y44">
        <f ca="1">IF(AND(ISNUMBER($Y$275),$B$183=1),$Y$275,HLOOKUP(INDIRECT(ADDRESS(2,COLUMN())),OFFSET($BN$2,0,0,ROW()-1,60),ROW()-1,FALSE))</f>
        <v>1879.999</v>
      </c>
      <c r="Z44">
        <f ca="1">IF(AND(ISNUMBER($Z$275),$B$183=1),$Z$275,HLOOKUP(INDIRECT(ADDRESS(2,COLUMN())),OFFSET($BN$2,0,0,ROW()-1,60),ROW()-1,FALSE))</f>
        <v>2017.722</v>
      </c>
      <c r="AA44">
        <f ca="1">IF(AND(ISNUMBER($AA$275),$B$183=1),$AA$275,HLOOKUP(INDIRECT(ADDRESS(2,COLUMN())),OFFSET($BN$2,0,0,ROW()-1,60),ROW()-1,FALSE))</f>
        <v>1812.63</v>
      </c>
      <c r="AB44">
        <f ca="1">IF(AND(ISNUMBER($AB$275),$B$183=1),$AB$275,HLOOKUP(INDIRECT(ADDRESS(2,COLUMN())),OFFSET($BN$2,0,0,ROW()-1,60),ROW()-1,FALSE))</f>
        <v>1751.7260000000001</v>
      </c>
      <c r="AC44">
        <f ca="1">IF(AND(ISNUMBER($AC$275),$B$183=1),$AC$275,HLOOKUP(INDIRECT(ADDRESS(2,COLUMN())),OFFSET($BN$2,0,0,ROW()-1,60),ROW()-1,FALSE))</f>
        <v>1704.6089999999999</v>
      </c>
      <c r="AD44">
        <f ca="1">IF(AND(ISNUMBER($AD$275),$B$183=1),$AD$275,HLOOKUP(INDIRECT(ADDRESS(2,COLUMN())),OFFSET($BN$2,0,0,ROW()-1,60),ROW()-1,FALSE))</f>
        <v>1759.201</v>
      </c>
      <c r="AE44">
        <f ca="1">IF(AND(ISNUMBER($AE$275),$B$183=1),$AE$275,HLOOKUP(INDIRECT(ADDRESS(2,COLUMN())),OFFSET($BN$2,0,0,ROW()-1,60),ROW()-1,FALSE))</f>
        <v>1646.8589999999999</v>
      </c>
      <c r="AF44">
        <f ca="1">IF(AND(ISNUMBER($AF$275),$B$183=1),$AF$275,HLOOKUP(INDIRECT(ADDRESS(2,COLUMN())),OFFSET($BN$2,0,0,ROW()-1,60),ROW()-1,FALSE))</f>
        <v>1588.87</v>
      </c>
      <c r="AG44">
        <f ca="1">IF(AND(ISNUMBER($AG$275),$B$183=1),$AG$275,HLOOKUP(INDIRECT(ADDRESS(2,COLUMN())),OFFSET($BN$2,0,0,ROW()-1,60),ROW()-1,FALSE))</f>
        <v>1602.847</v>
      </c>
      <c r="AH44">
        <f ca="1">IF(AND(ISNUMBER($AH$275),$B$183=1),$AH$275,HLOOKUP(INDIRECT(ADDRESS(2,COLUMN())),OFFSET($BN$2,0,0,ROW()-1,60),ROW()-1,FALSE))</f>
        <v>1763.14</v>
      </c>
      <c r="AI44">
        <f ca="1">IF(AND(ISNUMBER($AI$275),$B$183=1),$AI$275,HLOOKUP(INDIRECT(ADDRESS(2,COLUMN())),OFFSET($BN$2,0,0,ROW()-1,60),ROW()-1,FALSE))</f>
        <v>1125.396</v>
      </c>
      <c r="AJ44">
        <f ca="1">IF(AND(ISNUMBER($AJ$275),$B$183=1),$AJ$275,HLOOKUP(INDIRECT(ADDRESS(2,COLUMN())),OFFSET($BN$2,0,0,ROW()-1,60),ROW()-1,FALSE))</f>
        <v>1091.4939999999999</v>
      </c>
      <c r="AK44">
        <f ca="1">IF(AND(ISNUMBER($AK$275),$B$183=1),$AK$275,HLOOKUP(INDIRECT(ADDRESS(2,COLUMN())),OFFSET($BN$2,0,0,ROW()-1,60),ROW()-1,FALSE))</f>
        <v>1083.6500000000001</v>
      </c>
      <c r="AL44">
        <f ca="1">IF(AND(ISNUMBER($AL$275),$B$183=1),$AL$275,HLOOKUP(INDIRECT(ADDRESS(2,COLUMN())),OFFSET($BN$2,0,0,ROW()-1,60),ROW()-1,FALSE))</f>
        <v>1216.2190000000001</v>
      </c>
      <c r="AM44">
        <f ca="1">IF(AND(ISNUMBER($AM$275),$B$183=1),$AM$275,HLOOKUP(INDIRECT(ADDRESS(2,COLUMN())),OFFSET($BN$2,0,0,ROW()-1,60),ROW()-1,FALSE))</f>
        <v>1097.9870000000001</v>
      </c>
      <c r="AN44">
        <f ca="1">IF(AND(ISNUMBER($AN$275),$B$183=1),$AN$275,HLOOKUP(INDIRECT(ADDRESS(2,COLUMN())),OFFSET($BN$2,0,0,ROW()-1,60),ROW()-1,FALSE))</f>
        <v>1096.8720000000001</v>
      </c>
      <c r="AO44">
        <f ca="1">IF(AND(ISNUMBER($AO$275),$B$183=1),$AO$275,HLOOKUP(INDIRECT(ADDRESS(2,COLUMN())),OFFSET($BN$2,0,0,ROW()-1,60),ROW()-1,FALSE))</f>
        <v>1101.992</v>
      </c>
      <c r="AP44">
        <f ca="1">IF(AND(ISNUMBER($AP$275),$B$183=1),$AP$275,HLOOKUP(INDIRECT(ADDRESS(2,COLUMN())),OFFSET($BN$2,0,0,ROW()-1,60),ROW()-1,FALSE))</f>
        <v>1252.5840000000001</v>
      </c>
      <c r="AQ44">
        <f ca="1">IF(AND(ISNUMBER($AQ$275),$B$183=1),$AQ$275,HLOOKUP(INDIRECT(ADDRESS(2,COLUMN())),OFFSET($BN$2,0,0,ROW()-1,60),ROW()-1,FALSE))</f>
        <v>1609.0540000000001</v>
      </c>
      <c r="AR44">
        <f ca="1">IF(AND(ISNUMBER($AR$275),$B$183=1),$AR$275,HLOOKUP(INDIRECT(ADDRESS(2,COLUMN())),OFFSET($BN$2,0,0,ROW()-1,60),ROW()-1,FALSE))</f>
        <v>1603.59</v>
      </c>
      <c r="AS44">
        <f ca="1">IF(AND(ISNUMBER($AS$275),$B$183=1),$AS$275,HLOOKUP(INDIRECT(ADDRESS(2,COLUMN())),OFFSET($BN$2,0,0,ROW()-1,60),ROW()-1,FALSE))</f>
        <v>1590.557</v>
      </c>
      <c r="AT44">
        <f ca="1">IF(AND(ISNUMBER($AT$275),$B$183=1),$AT$275,HLOOKUP(INDIRECT(ADDRESS(2,COLUMN())),OFFSET($BN$2,0,0,ROW()-1,60),ROW()-1,FALSE))</f>
        <v>1565.9190000000001</v>
      </c>
      <c r="AU44">
        <f ca="1">IF(AND(ISNUMBER($AU$275),$B$183=1),$AU$275,HLOOKUP(INDIRECT(ADDRESS(2,COLUMN())),OFFSET($BN$2,0,0,ROW()-1,60),ROW()-1,FALSE))</f>
        <v>1604.221</v>
      </c>
      <c r="AV44">
        <f ca="1">IF(AND(ISNUMBER($AV$275),$B$183=1),$AV$275,HLOOKUP(INDIRECT(ADDRESS(2,COLUMN())),OFFSET($BN$2,0,0,ROW()-1,60),ROW()-1,FALSE))</f>
        <v>1484.7249999999999</v>
      </c>
      <c r="AW44">
        <f ca="1">IF(AND(ISNUMBER($AW$275),$B$183=1),$AW$275,HLOOKUP(INDIRECT(ADDRESS(2,COLUMN())),OFFSET($BN$2,0,0,ROW()-1,60),ROW()-1,FALSE))</f>
        <v>1452.6130000000001</v>
      </c>
      <c r="AX44">
        <f ca="1">IF(AND(ISNUMBER($AX$275),$B$183=1),$AX$275,HLOOKUP(INDIRECT(ADDRESS(2,COLUMN())),OFFSET($BN$2,0,0,ROW()-1,60),ROW()-1,FALSE))</f>
        <v>1704.325</v>
      </c>
      <c r="AY44">
        <f ca="1">IF(AND(ISNUMBER($AY$275),$B$183=1),$AY$275,HLOOKUP(INDIRECT(ADDRESS(2,COLUMN())),OFFSET($BN$2,0,0,ROW()-1,60),ROW()-1,FALSE))</f>
        <v>1446.125</v>
      </c>
      <c r="AZ44">
        <f ca="1">IF(AND(ISNUMBER($AZ$275),$B$183=1),$AZ$275,HLOOKUP(INDIRECT(ADDRESS(2,COLUMN())),OFFSET($BN$2,0,0,ROW()-1,60),ROW()-1,FALSE))</f>
        <v>1419.2539999999999</v>
      </c>
      <c r="BA44">
        <f ca="1">IF(AND(ISNUMBER($BA$275),$B$183=1),$BA$275,HLOOKUP(INDIRECT(ADDRESS(2,COLUMN())),OFFSET($BN$2,0,0,ROW()-1,60),ROW()-1,FALSE))</f>
        <v>1474.8969999999999</v>
      </c>
      <c r="BB44">
        <f ca="1">IF(AND(ISNUMBER($BB$275),$B$183=1),$BB$275,HLOOKUP(INDIRECT(ADDRESS(2,COLUMN())),OFFSET($BN$2,0,0,ROW()-1,60),ROW()-1,FALSE))</f>
        <v>1607.86</v>
      </c>
      <c r="BC44">
        <f ca="1">IF(AND(ISNUMBER($BC$275),$B$183=1),$BC$275,HLOOKUP(INDIRECT(ADDRESS(2,COLUMN())),OFFSET($BN$2,0,0,ROW()-1,60),ROW()-1,FALSE))</f>
        <v>1497.114</v>
      </c>
      <c r="BD44">
        <f ca="1">IF(AND(ISNUMBER($BD$275),$B$183=1),$BD$275,HLOOKUP(INDIRECT(ADDRESS(2,COLUMN())),OFFSET($BN$2,0,0,ROW()-1,60),ROW()-1,FALSE))</f>
        <v>1450.8920000000001</v>
      </c>
      <c r="BE44">
        <f ca="1">IF(AND(ISNUMBER($BE$275),$B$183=1),$BE$275,HLOOKUP(INDIRECT(ADDRESS(2,COLUMN())),OFFSET($BN$2,0,0,ROW()-1,60),ROW()-1,FALSE))</f>
        <v>1421.8209999999999</v>
      </c>
      <c r="BF44">
        <f ca="1">IF(AND(ISNUMBER($BF$275),$B$183=1),$BF$275,HLOOKUP(INDIRECT(ADDRESS(2,COLUMN())),OFFSET($BN$2,0,0,ROW()-1,60),ROW()-1,FALSE))</f>
        <v>1515.731</v>
      </c>
      <c r="BG44">
        <f ca="1">IF(AND(ISNUMBER($BG$275),$B$183=1),$BG$275,HLOOKUP(INDIRECT(ADDRESS(2,COLUMN())),OFFSET($BN$2,0,0,ROW()-1,60),ROW()-1,FALSE))</f>
        <v>1221.55</v>
      </c>
      <c r="BH44">
        <f ca="1">IF(AND(ISNUMBER($BH$275),$B$183=1),$BH$275,HLOOKUP(INDIRECT(ADDRESS(2,COLUMN())),OFFSET($BN$2,0,0,ROW()-1,60),ROW()-1,FALSE))</f>
        <v>1179.53</v>
      </c>
      <c r="BI44">
        <f ca="1">IF(AND(ISNUMBER($BI$275),$B$183=1),$BI$275,HLOOKUP(INDIRECT(ADDRESS(2,COLUMN())),OFFSET($BN$2,0,0,ROW()-1,60),ROW()-1,FALSE))</f>
        <v>1164.8420000000001</v>
      </c>
      <c r="BJ44">
        <f ca="1">IF(AND(ISNUMBER($BJ$275),$B$183=1),$BJ$275,HLOOKUP(INDIRECT(ADDRESS(2,COLUMN())),OFFSET($BN$2,0,0,ROW()-1,60),ROW()-1,FALSE))</f>
        <v>1194.4815000000001</v>
      </c>
      <c r="BK44">
        <f ca="1">IF(AND(ISNUMBER($BK$275),$B$183=1),$BK$275,HLOOKUP(INDIRECT(ADDRESS(2,COLUMN())),OFFSET($BN$2,0,0,ROW()-1,60),ROW()-1,FALSE))</f>
        <v>1073.0440000000001</v>
      </c>
      <c r="BL44">
        <f ca="1">IF(AND(ISNUMBER($BL$275),$B$183=1),$BL$275,HLOOKUP(INDIRECT(ADDRESS(2,COLUMN())),OFFSET($BN$2,0,0,ROW()-1,60),ROW()-1,FALSE))</f>
        <v>1013.769</v>
      </c>
      <c r="BM44">
        <f ca="1">IF(AND(ISNUMBER($BM$275),$B$183=1),$BM$275,HLOOKUP(INDIRECT(ADDRESS(2,COLUMN())),OFFSET($BN$2,0,0,ROW()-1,60),ROW()-1,FALSE))</f>
        <v>983.98900000000003</v>
      </c>
      <c r="BN44">
        <f>2046.757333</f>
        <v>2046.757333</v>
      </c>
      <c r="BO44">
        <f>1921.25</f>
        <v>1921.25</v>
      </c>
      <c r="BP44">
        <f>1933.985</f>
        <v>1933.9849999999999</v>
      </c>
      <c r="BQ44">
        <f>1925.137</f>
        <v>1925.1369999999999</v>
      </c>
      <c r="BR44">
        <f>2091.429</f>
        <v>2091.4290000000001</v>
      </c>
      <c r="BS44">
        <f>1943.919</f>
        <v>1943.9190000000001</v>
      </c>
      <c r="BT44">
        <f>1942.072</f>
        <v>1942.0719999999999</v>
      </c>
      <c r="BU44">
        <f>2001.19</f>
        <v>2001.19</v>
      </c>
      <c r="BV44">
        <f>2187.494</f>
        <v>2187.4940000000001</v>
      </c>
      <c r="BW44">
        <f>2019.484</f>
        <v>2019.4839999999999</v>
      </c>
      <c r="BX44">
        <f>1995.625</f>
        <v>1995.625</v>
      </c>
      <c r="BY44">
        <f>1976.327</f>
        <v>1976.327</v>
      </c>
      <c r="BZ44">
        <f>2117.201</f>
        <v>2117.201</v>
      </c>
      <c r="CA44">
        <f>2016.076</f>
        <v>2016.076</v>
      </c>
      <c r="CB44">
        <f>1962.083</f>
        <v>1962.0830000000001</v>
      </c>
      <c r="CC44">
        <f>1934.775</f>
        <v>1934.7750000000001</v>
      </c>
      <c r="CD44">
        <f>2120.566</f>
        <v>2120.5659999999998</v>
      </c>
      <c r="CE44">
        <f>1906.052</f>
        <v>1906.0519999999999</v>
      </c>
      <c r="CF44">
        <f>1877.524</f>
        <v>1877.5239999999999</v>
      </c>
      <c r="CG44">
        <f>1879.999</f>
        <v>1879.999</v>
      </c>
      <c r="CH44">
        <f>2017.722</f>
        <v>2017.722</v>
      </c>
      <c r="CI44">
        <f>1812.63</f>
        <v>1812.63</v>
      </c>
      <c r="CJ44">
        <f>1751.726</f>
        <v>1751.7260000000001</v>
      </c>
      <c r="CK44">
        <f>1704.609</f>
        <v>1704.6089999999999</v>
      </c>
      <c r="CL44">
        <f>1759.201</f>
        <v>1759.201</v>
      </c>
      <c r="CM44">
        <f>1646.859</f>
        <v>1646.8589999999999</v>
      </c>
      <c r="CN44">
        <f>1588.87</f>
        <v>1588.87</v>
      </c>
      <c r="CO44">
        <f>1602.847</f>
        <v>1602.847</v>
      </c>
      <c r="CP44">
        <f>1763.14</f>
        <v>1763.14</v>
      </c>
      <c r="CQ44">
        <f>1125.396</f>
        <v>1125.396</v>
      </c>
      <c r="CR44">
        <f>1091.494</f>
        <v>1091.4939999999999</v>
      </c>
      <c r="CS44">
        <f>1083.65</f>
        <v>1083.6500000000001</v>
      </c>
      <c r="CT44">
        <f>1216.219</f>
        <v>1216.2190000000001</v>
      </c>
      <c r="CU44">
        <f>1097.987</f>
        <v>1097.9870000000001</v>
      </c>
      <c r="CV44">
        <f>1096.872</f>
        <v>1096.8720000000001</v>
      </c>
      <c r="CW44">
        <f>1101.992</f>
        <v>1101.992</v>
      </c>
      <c r="CX44">
        <f>1252.584</f>
        <v>1252.5840000000001</v>
      </c>
      <c r="CY44">
        <f>1609.054</f>
        <v>1609.0540000000001</v>
      </c>
      <c r="CZ44">
        <f>1603.59</f>
        <v>1603.59</v>
      </c>
      <c r="DA44">
        <f>1590.557</f>
        <v>1590.557</v>
      </c>
      <c r="DB44">
        <f>1565.919</f>
        <v>1565.9190000000001</v>
      </c>
      <c r="DC44">
        <f>1604.221</f>
        <v>1604.221</v>
      </c>
      <c r="DD44">
        <f>1484.725</f>
        <v>1484.7249999999999</v>
      </c>
      <c r="DE44">
        <f>1452.613</f>
        <v>1452.6130000000001</v>
      </c>
      <c r="DF44">
        <f>1704.325</f>
        <v>1704.325</v>
      </c>
      <c r="DG44">
        <f>1446.125</f>
        <v>1446.125</v>
      </c>
      <c r="DH44">
        <f>1419.254</f>
        <v>1419.2539999999999</v>
      </c>
      <c r="DI44">
        <f>1474.897</f>
        <v>1474.8969999999999</v>
      </c>
      <c r="DJ44">
        <f>1607.86</f>
        <v>1607.86</v>
      </c>
      <c r="DK44">
        <f>1497.114</f>
        <v>1497.114</v>
      </c>
      <c r="DL44">
        <f>1450.892</f>
        <v>1450.8920000000001</v>
      </c>
      <c r="DM44">
        <f>1421.821</f>
        <v>1421.8209999999999</v>
      </c>
      <c r="DN44">
        <f>1515.731</f>
        <v>1515.731</v>
      </c>
      <c r="DO44">
        <f>1221.55</f>
        <v>1221.55</v>
      </c>
      <c r="DP44">
        <f>1179.53</f>
        <v>1179.53</v>
      </c>
      <c r="DQ44">
        <f>1164.842</f>
        <v>1164.8420000000001</v>
      </c>
      <c r="DR44">
        <f>1194.4815</f>
        <v>1194.4815000000001</v>
      </c>
      <c r="DS44">
        <f>1073.044</f>
        <v>1073.0440000000001</v>
      </c>
      <c r="DT44">
        <f>1013.769</f>
        <v>1013.769</v>
      </c>
      <c r="DU44">
        <f>983.989</f>
        <v>983.98900000000003</v>
      </c>
    </row>
    <row r="45" spans="1:125">
      <c r="A45" t="str">
        <f>"    Free Standing Retail REITs"</f>
        <v xml:space="preserve">    Free Standing Retail REITs</v>
      </c>
      <c r="B45" t="str">
        <f>"RECFNOFS Index"</f>
        <v>RECFNOFS Index</v>
      </c>
      <c r="C45" t="str">
        <f t="shared" si="7"/>
        <v>PR005</v>
      </c>
      <c r="D45" t="str">
        <f t="shared" si="8"/>
        <v>PX_LAST</v>
      </c>
      <c r="E45" t="str">
        <f t="shared" si="9"/>
        <v>动态</v>
      </c>
      <c r="F45">
        <f ca="1">IF(AND(ISNUMBER($F$276),$B$183=1),$F$276,HLOOKUP(INDIRECT(ADDRESS(2,COLUMN())),OFFSET($BN$2,0,0,ROW()-1,60),ROW()-1,FALSE))</f>
        <v>820.60869939999998</v>
      </c>
      <c r="G45">
        <f ca="1">IF(AND(ISNUMBER($G$276),$B$183=1),$G$276,HLOOKUP(INDIRECT(ADDRESS(2,COLUMN())),OFFSET($BN$2,0,0,ROW()-1,60),ROW()-1,FALSE))</f>
        <v>817.01800000000003</v>
      </c>
      <c r="H45">
        <f ca="1">IF(AND(ISNUMBER($H$276),$B$183=1),$H$276,HLOOKUP(INDIRECT(ADDRESS(2,COLUMN())),OFFSET($BN$2,0,0,ROW()-1,60),ROW()-1,FALSE))</f>
        <v>802.93399999999997</v>
      </c>
      <c r="I45">
        <f ca="1">IF(AND(ISNUMBER($I$276),$B$183=1),$I$276,HLOOKUP(INDIRECT(ADDRESS(2,COLUMN())),OFFSET($BN$2,0,0,ROW()-1,60),ROW()-1,FALSE))</f>
        <v>792.39499999999998</v>
      </c>
      <c r="J45">
        <f ca="1">IF(AND(ISNUMBER($J$276),$B$183=1),$J$276,HLOOKUP(INDIRECT(ADDRESS(2,COLUMN())),OFFSET($BN$2,0,0,ROW()-1,60),ROW()-1,FALSE))</f>
        <v>778.62699999999995</v>
      </c>
      <c r="K45">
        <f ca="1">IF(AND(ISNUMBER($K$276),$B$183=1),$K$276,HLOOKUP(INDIRECT(ADDRESS(2,COLUMN())),OFFSET($BN$2,0,0,ROW()-1,60),ROW()-1,FALSE))</f>
        <v>755.10199999999998</v>
      </c>
      <c r="L45">
        <f ca="1">IF(AND(ISNUMBER($L$276),$B$183=1),$L$276,HLOOKUP(INDIRECT(ADDRESS(2,COLUMN())),OFFSET($BN$2,0,0,ROW()-1,60),ROW()-1,FALSE))</f>
        <v>665.10299999999995</v>
      </c>
      <c r="M45">
        <f ca="1">IF(AND(ISNUMBER($M$276),$B$183=1),$M$276,HLOOKUP(INDIRECT(ADDRESS(2,COLUMN())),OFFSET($BN$2,0,0,ROW()-1,60),ROW()-1,FALSE))</f>
        <v>695.55499999999995</v>
      </c>
      <c r="N45">
        <f ca="1">IF(AND(ISNUMBER($N$276),$B$183=1),$N$276,HLOOKUP(INDIRECT(ADDRESS(2,COLUMN())),OFFSET($BN$2,0,0,ROW()-1,60),ROW()-1,FALSE))</f>
        <v>686.25599999999997</v>
      </c>
      <c r="O45">
        <f ca="1">IF(AND(ISNUMBER($O$276),$B$183=1),$O$276,HLOOKUP(INDIRECT(ADDRESS(2,COLUMN())),OFFSET($BN$2,0,0,ROW()-1,60),ROW()-1,FALSE))</f>
        <v>667.44</v>
      </c>
      <c r="P45">
        <f ca="1">IF(AND(ISNUMBER($P$276),$B$183=1),$P$276,HLOOKUP(INDIRECT(ADDRESS(2,COLUMN())),OFFSET($BN$2,0,0,ROW()-1,60),ROW()-1,FALSE))</f>
        <v>606.37699999999995</v>
      </c>
      <c r="Q45">
        <f ca="1">IF(AND(ISNUMBER($Q$276),$B$183=1),$Q$276,HLOOKUP(INDIRECT(ADDRESS(2,COLUMN())),OFFSET($BN$2,0,0,ROW()-1,60),ROW()-1,FALSE))</f>
        <v>918.50699999999995</v>
      </c>
      <c r="R45">
        <f ca="1">IF(AND(ISNUMBER($R$276),$B$183=1),$R$276,HLOOKUP(INDIRECT(ADDRESS(2,COLUMN())),OFFSET($BN$2,0,0,ROW()-1,60),ROW()-1,FALSE))</f>
        <v>903.13300000000004</v>
      </c>
      <c r="S45">
        <f ca="1">IF(AND(ISNUMBER($S$276),$B$183=1),$S$276,HLOOKUP(INDIRECT(ADDRESS(2,COLUMN())),OFFSET($BN$2,0,0,ROW()-1,60),ROW()-1,FALSE))</f>
        <v>855.84500000000003</v>
      </c>
      <c r="T45">
        <f ca="1">IF(AND(ISNUMBER($T$276),$B$183=1),$T$276,HLOOKUP(INDIRECT(ADDRESS(2,COLUMN())),OFFSET($BN$2,0,0,ROW()-1,60),ROW()-1,FALSE))</f>
        <v>790.05600000000004</v>
      </c>
      <c r="U45">
        <f ca="1">IF(AND(ISNUMBER($U$276),$B$183=1),$U$276,HLOOKUP(INDIRECT(ADDRESS(2,COLUMN())),OFFSET($BN$2,0,0,ROW()-1,60),ROW()-1,FALSE))</f>
        <v>708.78300000000002</v>
      </c>
      <c r="V45">
        <f ca="1">IF(AND(ISNUMBER($V$276),$B$183=1),$V$276,HLOOKUP(INDIRECT(ADDRESS(2,COLUMN())),OFFSET($BN$2,0,0,ROW()-1,60),ROW()-1,FALSE))</f>
        <v>592.44200000000001</v>
      </c>
      <c r="W45">
        <f ca="1">IF(AND(ISNUMBER($W$276),$B$183=1),$W$276,HLOOKUP(INDIRECT(ADDRESS(2,COLUMN())),OFFSET($BN$2,0,0,ROW()-1,60),ROW()-1,FALSE))</f>
        <v>670.91800000000001</v>
      </c>
      <c r="X45">
        <f ca="1">IF(AND(ISNUMBER($X$276),$B$183=1),$X$276,HLOOKUP(INDIRECT(ADDRESS(2,COLUMN())),OFFSET($BN$2,0,0,ROW()-1,60),ROW()-1,FALSE))</f>
        <v>560.10299999999995</v>
      </c>
      <c r="Y45">
        <f ca="1">IF(AND(ISNUMBER($Y$276),$B$183=1),$Y$276,HLOOKUP(INDIRECT(ADDRESS(2,COLUMN())),OFFSET($BN$2,0,0,ROW()-1,60),ROW()-1,FALSE))</f>
        <v>388.42899999999997</v>
      </c>
      <c r="Z45">
        <f ca="1">IF(AND(ISNUMBER($Z$276),$B$183=1),$Z$276,HLOOKUP(INDIRECT(ADDRESS(2,COLUMN())),OFFSET($BN$2,0,0,ROW()-1,60),ROW()-1,FALSE))</f>
        <v>303.80799999999999</v>
      </c>
      <c r="AA45">
        <f ca="1">IF(AND(ISNUMBER($AA$276),$B$183=1),$AA$276,HLOOKUP(INDIRECT(ADDRESS(2,COLUMN())),OFFSET($BN$2,0,0,ROW()-1,60),ROW()-1,FALSE))</f>
        <v>331.25799999999998</v>
      </c>
      <c r="AB45">
        <f ca="1">IF(AND(ISNUMBER($AB$276),$B$183=1),$AB$276,HLOOKUP(INDIRECT(ADDRESS(2,COLUMN())),OFFSET($BN$2,0,0,ROW()-1,60),ROW()-1,FALSE))</f>
        <v>261.61900000000003</v>
      </c>
      <c r="AC45">
        <f ca="1">IF(AND(ISNUMBER($AC$276),$B$183=1),$AC$276,HLOOKUP(INDIRECT(ADDRESS(2,COLUMN())),OFFSET($BN$2,0,0,ROW()-1,60),ROW()-1,FALSE))</f>
        <v>259.11799999999999</v>
      </c>
      <c r="AD45">
        <f ca="1">IF(AND(ISNUMBER($AD$276),$B$183=1),$AD$276,HLOOKUP(INDIRECT(ADDRESS(2,COLUMN())),OFFSET($BN$2,0,0,ROW()-1,60),ROW()-1,FALSE))</f>
        <v>211.34899999999999</v>
      </c>
      <c r="AE45">
        <f ca="1">IF(AND(ISNUMBER($AE$276),$B$183=1),$AE$276,HLOOKUP(INDIRECT(ADDRESS(2,COLUMN())),OFFSET($BN$2,0,0,ROW()-1,60),ROW()-1,FALSE))</f>
        <v>205.53100000000001</v>
      </c>
      <c r="AF45">
        <f ca="1">IF(AND(ISNUMBER($AF$276),$B$183=1),$AF$276,HLOOKUP(INDIRECT(ADDRESS(2,COLUMN())),OFFSET($BN$2,0,0,ROW()-1,60),ROW()-1,FALSE))</f>
        <v>189.76300000000001</v>
      </c>
      <c r="AG45">
        <f ca="1">IF(AND(ISNUMBER($AG$276),$B$183=1),$AG$276,HLOOKUP(INDIRECT(ADDRESS(2,COLUMN())),OFFSET($BN$2,0,0,ROW()-1,60),ROW()-1,FALSE))</f>
        <v>181.87299999999999</v>
      </c>
      <c r="AH45">
        <f ca="1">IF(AND(ISNUMBER($AH$276),$B$183=1),$AH$276,HLOOKUP(INDIRECT(ADDRESS(2,COLUMN())),OFFSET($BN$2,0,0,ROW()-1,60),ROW()-1,FALSE))</f>
        <v>172.51300000000001</v>
      </c>
      <c r="AI45">
        <f ca="1">IF(AND(ISNUMBER($AI$276),$B$183=1),$AI$276,HLOOKUP(INDIRECT(ADDRESS(2,COLUMN())),OFFSET($BN$2,0,0,ROW()-1,60),ROW()-1,FALSE))</f>
        <v>165.38800000000001</v>
      </c>
      <c r="AJ45">
        <f ca="1">IF(AND(ISNUMBER($AJ$276),$B$183=1),$AJ$276,HLOOKUP(INDIRECT(ADDRESS(2,COLUMN())),OFFSET($BN$2,0,0,ROW()-1,60),ROW()-1,FALSE))</f>
        <v>159.93600000000001</v>
      </c>
      <c r="AK45">
        <f ca="1">IF(AND(ISNUMBER($AK$276),$B$183=1),$AK$276,HLOOKUP(INDIRECT(ADDRESS(2,COLUMN())),OFFSET($BN$2,0,0,ROW()-1,60),ROW()-1,FALSE))</f>
        <v>158.66900000000001</v>
      </c>
      <c r="AL45">
        <f ca="1">IF(AND(ISNUMBER($AL$276),$B$183=1),$AL$276,HLOOKUP(INDIRECT(ADDRESS(2,COLUMN())),OFFSET($BN$2,0,0,ROW()-1,60),ROW()-1,FALSE))</f>
        <v>159.56800000000001</v>
      </c>
      <c r="AM45">
        <f ca="1">IF(AND(ISNUMBER($AM$276),$B$183=1),$AM$276,HLOOKUP(INDIRECT(ADDRESS(2,COLUMN())),OFFSET($BN$2,0,0,ROW()-1,60),ROW()-1,FALSE))</f>
        <v>155.77099999999999</v>
      </c>
      <c r="AN45">
        <f ca="1">IF(AND(ISNUMBER($AN$276),$B$183=1),$AN$276,HLOOKUP(INDIRECT(ADDRESS(2,COLUMN())),OFFSET($BN$2,0,0,ROW()-1,60),ROW()-1,FALSE))</f>
        <v>157.52199999999999</v>
      </c>
      <c r="AO45">
        <f ca="1">IF(AND(ISNUMBER($AO$276),$B$183=1),$AO$276,HLOOKUP(INDIRECT(ADDRESS(2,COLUMN())),OFFSET($BN$2,0,0,ROW()-1,60),ROW()-1,FALSE))</f>
        <v>156.66300000000001</v>
      </c>
      <c r="AP45">
        <f ca="1">IF(AND(ISNUMBER($AP$276),$B$183=1),$AP$276,HLOOKUP(INDIRECT(ADDRESS(2,COLUMN())),OFFSET($BN$2,0,0,ROW()-1,60),ROW()-1,FALSE))</f>
        <v>157.113</v>
      </c>
      <c r="AQ45">
        <f ca="1">IF(AND(ISNUMBER($AQ$276),$B$183=1),$AQ$276,HLOOKUP(INDIRECT(ADDRESS(2,COLUMN())),OFFSET($BN$2,0,0,ROW()-1,60),ROW()-1,FALSE))</f>
        <v>191.56100000000001</v>
      </c>
      <c r="AR45">
        <f ca="1">IF(AND(ISNUMBER($AR$276),$B$183=1),$AR$276,HLOOKUP(INDIRECT(ADDRESS(2,COLUMN())),OFFSET($BN$2,0,0,ROW()-1,60),ROW()-1,FALSE))</f>
        <v>190.792</v>
      </c>
      <c r="AS45">
        <f ca="1">IF(AND(ISNUMBER($AS$276),$B$183=1),$AS$276,HLOOKUP(INDIRECT(ADDRESS(2,COLUMN())),OFFSET($BN$2,0,0,ROW()-1,60),ROW()-1,FALSE))</f>
        <v>189.86199999999999</v>
      </c>
      <c r="AT45">
        <f ca="1">IF(AND(ISNUMBER($AT$276),$B$183=1),$AT$276,HLOOKUP(INDIRECT(ADDRESS(2,COLUMN())),OFFSET($BN$2,0,0,ROW()-1,60),ROW()-1,FALSE))</f>
        <v>174.17850000000001</v>
      </c>
      <c r="AU45">
        <f ca="1">IF(AND(ISNUMBER($AU$276),$B$183=1),$AU$276,HLOOKUP(INDIRECT(ADDRESS(2,COLUMN())),OFFSET($BN$2,0,0,ROW()-1,60),ROW()-1,FALSE))</f>
        <v>173.06399999999999</v>
      </c>
      <c r="AV45">
        <f ca="1">IF(AND(ISNUMBER($AV$276),$B$183=1),$AV$276,HLOOKUP(INDIRECT(ADDRESS(2,COLUMN())),OFFSET($BN$2,0,0,ROW()-1,60),ROW()-1,FALSE))</f>
        <v>167.559</v>
      </c>
      <c r="AW45">
        <f ca="1">IF(AND(ISNUMBER($AW$276),$B$183=1),$AW$276,HLOOKUP(INDIRECT(ADDRESS(2,COLUMN())),OFFSET($BN$2,0,0,ROW()-1,60),ROW()-1,FALSE))</f>
        <v>161.25200000000001</v>
      </c>
      <c r="AX45">
        <f ca="1">IF(AND(ISNUMBER($AX$276),$B$183=1),$AX$276,HLOOKUP(INDIRECT(ADDRESS(2,COLUMN())),OFFSET($BN$2,0,0,ROW()-1,60),ROW()-1,FALSE))</f>
        <v>158.09700000000001</v>
      </c>
      <c r="AY45">
        <f ca="1">IF(AND(ISNUMBER($AY$276),$B$183=1),$AY$276,HLOOKUP(INDIRECT(ADDRESS(2,COLUMN())),OFFSET($BN$2,0,0,ROW()-1,60),ROW()-1,FALSE))</f>
        <v>187.06100000000001</v>
      </c>
      <c r="AZ45">
        <f ca="1">IF(AND(ISNUMBER($AZ$276),$B$183=1),$AZ$276,HLOOKUP(INDIRECT(ADDRESS(2,COLUMN())),OFFSET($BN$2,0,0,ROW()-1,60),ROW()-1,FALSE))</f>
        <v>183.28100000000001</v>
      </c>
      <c r="BA45">
        <f ca="1">IF(AND(ISNUMBER($BA$276),$B$183=1),$BA$276,HLOOKUP(INDIRECT(ADDRESS(2,COLUMN())),OFFSET($BN$2,0,0,ROW()-1,60),ROW()-1,FALSE))</f>
        <v>180.70599999999999</v>
      </c>
      <c r="BB45">
        <f ca="1">IF(AND(ISNUMBER($BB$276),$B$183=1),$BB$276,HLOOKUP(INDIRECT(ADDRESS(2,COLUMN())),OFFSET($BN$2,0,0,ROW()-1,60),ROW()-1,FALSE))</f>
        <v>177.57499999999999</v>
      </c>
      <c r="BC45">
        <f ca="1">IF(AND(ISNUMBER($BC$276),$B$183=1),$BC$276,HLOOKUP(INDIRECT(ADDRESS(2,COLUMN())),OFFSET($BN$2,0,0,ROW()-1,60),ROW()-1,FALSE))</f>
        <v>165.666</v>
      </c>
      <c r="BD45">
        <f ca="1">IF(AND(ISNUMBER($BD$276),$B$183=1),$BD$276,HLOOKUP(INDIRECT(ADDRESS(2,COLUMN())),OFFSET($BN$2,0,0,ROW()-1,60),ROW()-1,FALSE))</f>
        <v>162.44800000000001</v>
      </c>
      <c r="BE45">
        <f ca="1">IF(AND(ISNUMBER($BE$276),$B$183=1),$BE$276,HLOOKUP(INDIRECT(ADDRESS(2,COLUMN())),OFFSET($BN$2,0,0,ROW()-1,60),ROW()-1,FALSE))</f>
        <v>145.191</v>
      </c>
      <c r="BF45">
        <f ca="1">IF(AND(ISNUMBER($BF$276),$B$183=1),$BF$276,HLOOKUP(INDIRECT(ADDRESS(2,COLUMN())),OFFSET($BN$2,0,0,ROW()-1,60),ROW()-1,FALSE))</f>
        <v>122.661</v>
      </c>
      <c r="BG45">
        <f ca="1">IF(AND(ISNUMBER($BG$276),$B$183=1),$BG$276,HLOOKUP(INDIRECT(ADDRESS(2,COLUMN())),OFFSET($BN$2,0,0,ROW()-1,60),ROW()-1,FALSE))</f>
        <v>133.10300000000001</v>
      </c>
      <c r="BH45">
        <f ca="1">IF(AND(ISNUMBER($BH$276),$B$183=1),$BH$276,HLOOKUP(INDIRECT(ADDRESS(2,COLUMN())),OFFSET($BN$2,0,0,ROW()-1,60),ROW()-1,FALSE))</f>
        <v>128.72200000000001</v>
      </c>
      <c r="BI45">
        <f ca="1">IF(AND(ISNUMBER($BI$276),$B$183=1),$BI$276,HLOOKUP(INDIRECT(ADDRESS(2,COLUMN())),OFFSET($BN$2,0,0,ROW()-1,60),ROW()-1,FALSE))</f>
        <v>125.72799999999999</v>
      </c>
      <c r="BJ45">
        <f ca="1">IF(AND(ISNUMBER($BJ$276),$B$183=1),$BJ$276,HLOOKUP(INDIRECT(ADDRESS(2,COLUMN())),OFFSET($BN$2,0,0,ROW()-1,60),ROW()-1,FALSE))</f>
        <v>120.956</v>
      </c>
      <c r="BK45">
        <f ca="1">IF(AND(ISNUMBER($BK$276),$B$183=1),$BK$276,HLOOKUP(INDIRECT(ADDRESS(2,COLUMN())),OFFSET($BN$2,0,0,ROW()-1,60),ROW()-1,FALSE))</f>
        <v>105.363</v>
      </c>
      <c r="BL45">
        <f ca="1">IF(AND(ISNUMBER($BL$276),$B$183=1),$BL$276,HLOOKUP(INDIRECT(ADDRESS(2,COLUMN())),OFFSET($BN$2,0,0,ROW()-1,60),ROW()-1,FALSE))</f>
        <v>95.948999999999998</v>
      </c>
      <c r="BM45">
        <f ca="1">IF(AND(ISNUMBER($BM$276),$B$183=1),$BM$276,HLOOKUP(INDIRECT(ADDRESS(2,COLUMN())),OFFSET($BN$2,0,0,ROW()-1,60),ROW()-1,FALSE))</f>
        <v>93.582999999999998</v>
      </c>
      <c r="BN45">
        <f>820.6086994</f>
        <v>820.60869939999998</v>
      </c>
      <c r="BO45">
        <f>817.018</f>
        <v>817.01800000000003</v>
      </c>
      <c r="BP45">
        <f>802.934</f>
        <v>802.93399999999997</v>
      </c>
      <c r="BQ45">
        <f>792.395</f>
        <v>792.39499999999998</v>
      </c>
      <c r="BR45">
        <f>778.627</f>
        <v>778.62699999999995</v>
      </c>
      <c r="BS45">
        <f>755.102</f>
        <v>755.10199999999998</v>
      </c>
      <c r="BT45">
        <f>665.103</f>
        <v>665.10299999999995</v>
      </c>
      <c r="BU45">
        <f>695.555</f>
        <v>695.55499999999995</v>
      </c>
      <c r="BV45">
        <f>686.256</f>
        <v>686.25599999999997</v>
      </c>
      <c r="BW45">
        <f>667.44</f>
        <v>667.44</v>
      </c>
      <c r="BX45">
        <f>606.377</f>
        <v>606.37699999999995</v>
      </c>
      <c r="BY45">
        <f>918.507</f>
        <v>918.50699999999995</v>
      </c>
      <c r="BZ45">
        <f>903.133</f>
        <v>903.13300000000004</v>
      </c>
      <c r="CA45">
        <f>855.845</f>
        <v>855.84500000000003</v>
      </c>
      <c r="CB45">
        <f>790.056</f>
        <v>790.05600000000004</v>
      </c>
      <c r="CC45">
        <f>708.783</f>
        <v>708.78300000000002</v>
      </c>
      <c r="CD45">
        <f>592.442</f>
        <v>592.44200000000001</v>
      </c>
      <c r="CE45">
        <f>670.918</f>
        <v>670.91800000000001</v>
      </c>
      <c r="CF45">
        <f>560.103</f>
        <v>560.10299999999995</v>
      </c>
      <c r="CG45">
        <f>388.429</f>
        <v>388.42899999999997</v>
      </c>
      <c r="CH45">
        <f>303.808</f>
        <v>303.80799999999999</v>
      </c>
      <c r="CI45">
        <f>331.258</f>
        <v>331.25799999999998</v>
      </c>
      <c r="CJ45">
        <f>261.619</f>
        <v>261.61900000000003</v>
      </c>
      <c r="CK45">
        <f>259.118</f>
        <v>259.11799999999999</v>
      </c>
      <c r="CL45">
        <f>211.349</f>
        <v>211.34899999999999</v>
      </c>
      <c r="CM45">
        <f>205.531</f>
        <v>205.53100000000001</v>
      </c>
      <c r="CN45">
        <f>189.763</f>
        <v>189.76300000000001</v>
      </c>
      <c r="CO45">
        <f>181.873</f>
        <v>181.87299999999999</v>
      </c>
      <c r="CP45">
        <f>172.513</f>
        <v>172.51300000000001</v>
      </c>
      <c r="CQ45">
        <f>165.388</f>
        <v>165.38800000000001</v>
      </c>
      <c r="CR45">
        <f>159.936</f>
        <v>159.93600000000001</v>
      </c>
      <c r="CS45">
        <f>158.669</f>
        <v>158.66900000000001</v>
      </c>
      <c r="CT45">
        <f>159.568</f>
        <v>159.56800000000001</v>
      </c>
      <c r="CU45">
        <f>155.771</f>
        <v>155.77099999999999</v>
      </c>
      <c r="CV45">
        <f>157.522</f>
        <v>157.52199999999999</v>
      </c>
      <c r="CW45">
        <f>156.663</f>
        <v>156.66300000000001</v>
      </c>
      <c r="CX45">
        <f>157.113</f>
        <v>157.113</v>
      </c>
      <c r="CY45">
        <f>191.561</f>
        <v>191.56100000000001</v>
      </c>
      <c r="CZ45">
        <f>190.792</f>
        <v>190.792</v>
      </c>
      <c r="DA45">
        <f>189.862</f>
        <v>189.86199999999999</v>
      </c>
      <c r="DB45">
        <f>174.1785</f>
        <v>174.17850000000001</v>
      </c>
      <c r="DC45">
        <f>173.064</f>
        <v>173.06399999999999</v>
      </c>
      <c r="DD45">
        <f>167.559</f>
        <v>167.559</v>
      </c>
      <c r="DE45">
        <f>161.252</f>
        <v>161.25200000000001</v>
      </c>
      <c r="DF45">
        <f>158.097</f>
        <v>158.09700000000001</v>
      </c>
      <c r="DG45">
        <f>187.061</f>
        <v>187.06100000000001</v>
      </c>
      <c r="DH45">
        <f>183.281</f>
        <v>183.28100000000001</v>
      </c>
      <c r="DI45">
        <f>180.706</f>
        <v>180.70599999999999</v>
      </c>
      <c r="DJ45">
        <f>177.575</f>
        <v>177.57499999999999</v>
      </c>
      <c r="DK45">
        <f>165.666</f>
        <v>165.666</v>
      </c>
      <c r="DL45">
        <f>162.448</f>
        <v>162.44800000000001</v>
      </c>
      <c r="DM45">
        <f>145.191</f>
        <v>145.191</v>
      </c>
      <c r="DN45">
        <f>122.661</f>
        <v>122.661</v>
      </c>
      <c r="DO45">
        <f>133.103</f>
        <v>133.10300000000001</v>
      </c>
      <c r="DP45">
        <f>128.722</f>
        <v>128.72200000000001</v>
      </c>
      <c r="DQ45">
        <f>125.728</f>
        <v>125.72799999999999</v>
      </c>
      <c r="DR45">
        <f>120.956</f>
        <v>120.956</v>
      </c>
      <c r="DS45">
        <f>105.363</f>
        <v>105.363</v>
      </c>
      <c r="DT45">
        <f>95.949</f>
        <v>95.948999999999998</v>
      </c>
      <c r="DU45">
        <f>93.583</f>
        <v>93.582999999999998</v>
      </c>
    </row>
    <row r="46" spans="1:125">
      <c r="A46" t="str">
        <f>"    Residential REITs"</f>
        <v xml:space="preserve">    Residential REITs</v>
      </c>
      <c r="B46" t="str">
        <f>"RECFNORS Index"</f>
        <v>RECFNORS Index</v>
      </c>
      <c r="C46" t="str">
        <f t="shared" si="7"/>
        <v>PR005</v>
      </c>
      <c r="D46" t="str">
        <f t="shared" si="8"/>
        <v>PX_LAST</v>
      </c>
      <c r="E46" t="str">
        <f t="shared" si="9"/>
        <v>动态</v>
      </c>
      <c r="F46">
        <f ca="1">IF(AND(ISNUMBER($F$277),$B$183=1),$F$277,HLOOKUP(INDIRECT(ADDRESS(2,COLUMN())),OFFSET($BN$2,0,0,ROW()-1,60),ROW()-1,FALSE))</f>
        <v>2754.119467</v>
      </c>
      <c r="G46">
        <f ca="1">IF(AND(ISNUMBER($G$277),$B$183=1),$G$277,HLOOKUP(INDIRECT(ADDRESS(2,COLUMN())),OFFSET($BN$2,0,0,ROW()-1,60),ROW()-1,FALSE))</f>
        <v>2658.4229999999998</v>
      </c>
      <c r="H46">
        <f ca="1">IF(AND(ISNUMBER($H$277),$B$183=1),$H$277,HLOOKUP(INDIRECT(ADDRESS(2,COLUMN())),OFFSET($BN$2,0,0,ROW()-1,60),ROW()-1,FALSE))</f>
        <v>2646.4009999999998</v>
      </c>
      <c r="I46">
        <f ca="1">IF(AND(ISNUMBER($I$277),$B$183=1),$I$277,HLOOKUP(INDIRECT(ADDRESS(2,COLUMN())),OFFSET($BN$2,0,0,ROW()-1,60),ROW()-1,FALSE))</f>
        <v>2665.9070000000002</v>
      </c>
      <c r="J46">
        <f ca="1">IF(AND(ISNUMBER($J$277),$B$183=1),$J$277,HLOOKUP(INDIRECT(ADDRESS(2,COLUMN())),OFFSET($BN$2,0,0,ROW()-1,60),ROW()-1,FALSE))</f>
        <v>2456.0439999999999</v>
      </c>
      <c r="K46">
        <f ca="1">IF(AND(ISNUMBER($K$277),$B$183=1),$K$277,HLOOKUP(INDIRECT(ADDRESS(2,COLUMN())),OFFSET($BN$2,0,0,ROW()-1,60),ROW()-1,FALSE))</f>
        <v>2392.5770000000002</v>
      </c>
      <c r="L46">
        <f ca="1">IF(AND(ISNUMBER($L$277),$B$183=1),$L$277,HLOOKUP(INDIRECT(ADDRESS(2,COLUMN())),OFFSET($BN$2,0,0,ROW()-1,60),ROW()-1,FALSE))</f>
        <v>2357.018</v>
      </c>
      <c r="M46">
        <f ca="1">IF(AND(ISNUMBER($M$277),$B$183=1),$M$277,HLOOKUP(INDIRECT(ADDRESS(2,COLUMN())),OFFSET($BN$2,0,0,ROW()-1,60),ROW()-1,FALSE))</f>
        <v>2353.482</v>
      </c>
      <c r="N46">
        <f ca="1">IF(AND(ISNUMBER($N$277),$B$183=1),$N$277,HLOOKUP(INDIRECT(ADDRESS(2,COLUMN())),OFFSET($BN$2,0,0,ROW()-1,60),ROW()-1,FALSE))</f>
        <v>2360.35</v>
      </c>
      <c r="O46">
        <f ca="1">IF(AND(ISNUMBER($O$277),$B$183=1),$O$277,HLOOKUP(INDIRECT(ADDRESS(2,COLUMN())),OFFSET($BN$2,0,0,ROW()-1,60),ROW()-1,FALSE))</f>
        <v>2232.3710000000001</v>
      </c>
      <c r="P46">
        <f ca="1">IF(AND(ISNUMBER($P$277),$B$183=1),$P$277,HLOOKUP(INDIRECT(ADDRESS(2,COLUMN())),OFFSET($BN$2,0,0,ROW()-1,60),ROW()-1,FALSE))</f>
        <v>2355.3719999999998</v>
      </c>
      <c r="Q46">
        <f ca="1">IF(AND(ISNUMBER($Q$277),$B$183=1),$Q$277,HLOOKUP(INDIRECT(ADDRESS(2,COLUMN())),OFFSET($BN$2,0,0,ROW()-1,60),ROW()-1,FALSE))</f>
        <v>2275.674</v>
      </c>
      <c r="R46">
        <f ca="1">IF(AND(ISNUMBER($R$277),$B$183=1),$R$277,HLOOKUP(INDIRECT(ADDRESS(2,COLUMN())),OFFSET($BN$2,0,0,ROW()-1,60),ROW()-1,FALSE))</f>
        <v>2225.5715</v>
      </c>
      <c r="S46">
        <f ca="1">IF(AND(ISNUMBER($S$277),$B$183=1),$S$277,HLOOKUP(INDIRECT(ADDRESS(2,COLUMN())),OFFSET($BN$2,0,0,ROW()-1,60),ROW()-1,FALSE))</f>
        <v>2077.9290000000001</v>
      </c>
      <c r="T46">
        <f ca="1">IF(AND(ISNUMBER($T$277),$B$183=1),$T$277,HLOOKUP(INDIRECT(ADDRESS(2,COLUMN())),OFFSET($BN$2,0,0,ROW()-1,60),ROW()-1,FALSE))</f>
        <v>2037.04</v>
      </c>
      <c r="U46">
        <f ca="1">IF(AND(ISNUMBER($U$277),$B$183=1),$U$277,HLOOKUP(INDIRECT(ADDRESS(2,COLUMN())),OFFSET($BN$2,0,0,ROW()-1,60),ROW()-1,FALSE))</f>
        <v>1902.9390000000001</v>
      </c>
      <c r="V46">
        <f ca="1">IF(AND(ISNUMBER($V$277),$B$183=1),$V$277,HLOOKUP(INDIRECT(ADDRESS(2,COLUMN())),OFFSET($BN$2,0,0,ROW()-1,60),ROW()-1,FALSE))</f>
        <v>1972.425</v>
      </c>
      <c r="W46">
        <f ca="1">IF(AND(ISNUMBER($W$277),$B$183=1),$W$277,HLOOKUP(INDIRECT(ADDRESS(2,COLUMN())),OFFSET($BN$2,0,0,ROW()-1,60),ROW()-1,FALSE))</f>
        <v>1815.75</v>
      </c>
      <c r="X46">
        <f ca="1">IF(AND(ISNUMBER($X$277),$B$183=1),$X$277,HLOOKUP(INDIRECT(ADDRESS(2,COLUMN())),OFFSET($BN$2,0,0,ROW()-1,60),ROW()-1,FALSE))</f>
        <v>1855.6859999999999</v>
      </c>
      <c r="Y46">
        <f ca="1">IF(AND(ISNUMBER($Y$277),$B$183=1),$Y$277,HLOOKUP(INDIRECT(ADDRESS(2,COLUMN())),OFFSET($BN$2,0,0,ROW()-1,60),ROW()-1,FALSE))</f>
        <v>1733.444</v>
      </c>
      <c r="Z46">
        <f ca="1">IF(AND(ISNUMBER($Z$277),$B$183=1),$Z$277,HLOOKUP(INDIRECT(ADDRESS(2,COLUMN())),OFFSET($BN$2,0,0,ROW()-1,60),ROW()-1,FALSE))</f>
        <v>1687.6990000000001</v>
      </c>
      <c r="AA46">
        <f ca="1">IF(AND(ISNUMBER($AA$277),$B$183=1),$AA$277,HLOOKUP(INDIRECT(ADDRESS(2,COLUMN())),OFFSET($BN$2,0,0,ROW()-1,60),ROW()-1,FALSE))</f>
        <v>1621.655</v>
      </c>
      <c r="AB46">
        <f ca="1">IF(AND(ISNUMBER($AB$277),$B$183=1),$AB$277,HLOOKUP(INDIRECT(ADDRESS(2,COLUMN())),OFFSET($BN$2,0,0,ROW()-1,60),ROW()-1,FALSE))</f>
        <v>1592.5530000000001</v>
      </c>
      <c r="AC46">
        <f ca="1">IF(AND(ISNUMBER($AC$277),$B$183=1),$AC$277,HLOOKUP(INDIRECT(ADDRESS(2,COLUMN())),OFFSET($BN$2,0,0,ROW()-1,60),ROW()-1,FALSE))</f>
        <v>1571.6479999999999</v>
      </c>
      <c r="AD46">
        <f ca="1">IF(AND(ISNUMBER($AD$277),$B$183=1),$AD$277,HLOOKUP(INDIRECT(ADDRESS(2,COLUMN())),OFFSET($BN$2,0,0,ROW()-1,60),ROW()-1,FALSE))</f>
        <v>1538.701</v>
      </c>
      <c r="AE46">
        <f ca="1">IF(AND(ISNUMBER($AE$277),$B$183=1),$AE$277,HLOOKUP(INDIRECT(ADDRESS(2,COLUMN())),OFFSET($BN$2,0,0,ROW()-1,60),ROW()-1,FALSE))</f>
        <v>1462.8009999999999</v>
      </c>
      <c r="AF46">
        <f ca="1">IF(AND(ISNUMBER($AF$277),$B$183=1),$AF$277,HLOOKUP(INDIRECT(ADDRESS(2,COLUMN())),OFFSET($BN$2,0,0,ROW()-1,60),ROW()-1,FALSE))</f>
        <v>1425.921</v>
      </c>
      <c r="AG46">
        <f ca="1">IF(AND(ISNUMBER($AG$277),$B$183=1),$AG$277,HLOOKUP(INDIRECT(ADDRESS(2,COLUMN())),OFFSET($BN$2,0,0,ROW()-1,60),ROW()-1,FALSE))</f>
        <v>1405.64</v>
      </c>
      <c r="AH46">
        <f ca="1">IF(AND(ISNUMBER($AH$277),$B$183=1),$AH$277,HLOOKUP(INDIRECT(ADDRESS(2,COLUMN())),OFFSET($BN$2,0,0,ROW()-1,60),ROW()-1,FALSE))</f>
        <v>1380.7460000000001</v>
      </c>
      <c r="AI46">
        <f ca="1">IF(AND(ISNUMBER($AI$277),$B$183=1),$AI$277,HLOOKUP(INDIRECT(ADDRESS(2,COLUMN())),OFFSET($BN$2,0,0,ROW()-1,60),ROW()-1,FALSE))</f>
        <v>1316.0909999999999</v>
      </c>
      <c r="AJ46">
        <f ca="1">IF(AND(ISNUMBER($AJ$277),$B$183=1),$AJ$277,HLOOKUP(INDIRECT(ADDRESS(2,COLUMN())),OFFSET($BN$2,0,0,ROW()-1,60),ROW()-1,FALSE))</f>
        <v>1295.627</v>
      </c>
      <c r="AK46">
        <f ca="1">IF(AND(ISNUMBER($AK$277),$B$183=1),$AK$277,HLOOKUP(INDIRECT(ADDRESS(2,COLUMN())),OFFSET($BN$2,0,0,ROW()-1,60),ROW()-1,FALSE))</f>
        <v>1271.4159999999999</v>
      </c>
      <c r="AL46">
        <f ca="1">IF(AND(ISNUMBER($AL$277),$B$183=1),$AL$277,HLOOKUP(INDIRECT(ADDRESS(2,COLUMN())),OFFSET($BN$2,0,0,ROW()-1,60),ROW()-1,FALSE))</f>
        <v>1285.4929999999999</v>
      </c>
      <c r="AM46">
        <f ca="1">IF(AND(ISNUMBER($AM$277),$B$183=1),$AM$277,HLOOKUP(INDIRECT(ADDRESS(2,COLUMN())),OFFSET($BN$2,0,0,ROW()-1,60),ROW()-1,FALSE))</f>
        <v>1271.22</v>
      </c>
      <c r="AN46">
        <f ca="1">IF(AND(ISNUMBER($AN$277),$B$183=1),$AN$277,HLOOKUP(INDIRECT(ADDRESS(2,COLUMN())),OFFSET($BN$2,0,0,ROW()-1,60),ROW()-1,FALSE))</f>
        <v>1323.952</v>
      </c>
      <c r="AO46">
        <f ca="1">IF(AND(ISNUMBER($AO$277),$B$183=1),$AO$277,HLOOKUP(INDIRECT(ADDRESS(2,COLUMN())),OFFSET($BN$2,0,0,ROW()-1,60),ROW()-1,FALSE))</f>
        <v>1342.9670000000001</v>
      </c>
      <c r="AP46">
        <f ca="1">IF(AND(ISNUMBER($AP$277),$B$183=1),$AP$277,HLOOKUP(INDIRECT(ADDRESS(2,COLUMN())),OFFSET($BN$2,0,0,ROW()-1,60),ROW()-1,FALSE))</f>
        <v>1298.1495</v>
      </c>
      <c r="AQ46">
        <f ca="1">IF(AND(ISNUMBER($AQ$277),$B$183=1),$AQ$277,HLOOKUP(INDIRECT(ADDRESS(2,COLUMN())),OFFSET($BN$2,0,0,ROW()-1,60),ROW()-1,FALSE))</f>
        <v>1328.4179999999999</v>
      </c>
      <c r="AR46">
        <f ca="1">IF(AND(ISNUMBER($AR$277),$B$183=1),$AR$277,HLOOKUP(INDIRECT(ADDRESS(2,COLUMN())),OFFSET($BN$2,0,0,ROW()-1,60),ROW()-1,FALSE))</f>
        <v>1354.479</v>
      </c>
      <c r="AS46">
        <f ca="1">IF(AND(ISNUMBER($AS$277),$B$183=1),$AS$277,HLOOKUP(INDIRECT(ADDRESS(2,COLUMN())),OFFSET($BN$2,0,0,ROW()-1,60),ROW()-1,FALSE))</f>
        <v>1369.528</v>
      </c>
      <c r="AT46">
        <f ca="1">IF(AND(ISNUMBER($AT$277),$B$183=1),$AT$277,HLOOKUP(INDIRECT(ADDRESS(2,COLUMN())),OFFSET($BN$2,0,0,ROW()-1,60),ROW()-1,FALSE))</f>
        <v>1402.9390000000001</v>
      </c>
      <c r="AU46">
        <f ca="1">IF(AND(ISNUMBER($AU$277),$B$183=1),$AU$277,HLOOKUP(INDIRECT(ADDRESS(2,COLUMN())),OFFSET($BN$2,0,0,ROW()-1,60),ROW()-1,FALSE))</f>
        <v>1375.337</v>
      </c>
      <c r="AV46">
        <f ca="1">IF(AND(ISNUMBER($AV$277),$B$183=1),$AV$277,HLOOKUP(INDIRECT(ADDRESS(2,COLUMN())),OFFSET($BN$2,0,0,ROW()-1,60),ROW()-1,FALSE))</f>
        <v>1536.7429999999999</v>
      </c>
      <c r="AW46">
        <f ca="1">IF(AND(ISNUMBER($AW$277),$B$183=1),$AW$277,HLOOKUP(INDIRECT(ADDRESS(2,COLUMN())),OFFSET($BN$2,0,0,ROW()-1,60),ROW()-1,FALSE))</f>
        <v>1512.7</v>
      </c>
      <c r="AX46">
        <f ca="1">IF(AND(ISNUMBER($AX$277),$B$183=1),$AX$277,HLOOKUP(INDIRECT(ADDRESS(2,COLUMN())),OFFSET($BN$2,0,0,ROW()-1,60),ROW()-1,FALSE))</f>
        <v>1505.9925000000001</v>
      </c>
      <c r="AY46">
        <f ca="1">IF(AND(ISNUMBER($AY$277),$B$183=1),$AY$277,HLOOKUP(INDIRECT(ADDRESS(2,COLUMN())),OFFSET($BN$2,0,0,ROW()-1,60),ROW()-1,FALSE))</f>
        <v>1494.13</v>
      </c>
      <c r="AZ46">
        <f ca="1">IF(AND(ISNUMBER($AZ$277),$B$183=1),$AZ$277,HLOOKUP(INDIRECT(ADDRESS(2,COLUMN())),OFFSET($BN$2,0,0,ROW()-1,60),ROW()-1,FALSE))</f>
        <v>1483.5029999999999</v>
      </c>
      <c r="BA46">
        <f ca="1">IF(AND(ISNUMBER($BA$277),$B$183=1),$BA$277,HLOOKUP(INDIRECT(ADDRESS(2,COLUMN())),OFFSET($BN$2,0,0,ROW()-1,60),ROW()-1,FALSE))</f>
        <v>1455.1849999999999</v>
      </c>
      <c r="BB46">
        <f ca="1">IF(AND(ISNUMBER($BB$277),$B$183=1),$BB$277,HLOOKUP(INDIRECT(ADDRESS(2,COLUMN())),OFFSET($BN$2,0,0,ROW()-1,60),ROW()-1,FALSE))</f>
        <v>1439.086</v>
      </c>
      <c r="BC46">
        <f ca="1">IF(AND(ISNUMBER($BC$277),$B$183=1),$BC$277,HLOOKUP(INDIRECT(ADDRESS(2,COLUMN())),OFFSET($BN$2,0,0,ROW()-1,60),ROW()-1,FALSE))</f>
        <v>1387.6489999999999</v>
      </c>
      <c r="BD46">
        <f ca="1">IF(AND(ISNUMBER($BD$277),$B$183=1),$BD$277,HLOOKUP(INDIRECT(ADDRESS(2,COLUMN())),OFFSET($BN$2,0,0,ROW()-1,60),ROW()-1,FALSE))</f>
        <v>1437.442</v>
      </c>
      <c r="BE46">
        <f ca="1">IF(AND(ISNUMBER($BE$277),$B$183=1),$BE$277,HLOOKUP(INDIRECT(ADDRESS(2,COLUMN())),OFFSET($BN$2,0,0,ROW()-1,60),ROW()-1,FALSE))</f>
        <v>1380.9970000000001</v>
      </c>
      <c r="BF46">
        <f ca="1">IF(AND(ISNUMBER($BF$277),$B$183=1),$BF$277,HLOOKUP(INDIRECT(ADDRESS(2,COLUMN())),OFFSET($BN$2,0,0,ROW()-1,60),ROW()-1,FALSE))</f>
        <v>1345.4369999999999</v>
      </c>
      <c r="BG46">
        <f ca="1">IF(AND(ISNUMBER($BG$277),$B$183=1),$BG$277,HLOOKUP(INDIRECT(ADDRESS(2,COLUMN())),OFFSET($BN$2,0,0,ROW()-1,60),ROW()-1,FALSE))</f>
        <v>1343.6210000000001</v>
      </c>
      <c r="BH46">
        <f ca="1">IF(AND(ISNUMBER($BH$277),$B$183=1),$BH$277,HLOOKUP(INDIRECT(ADDRESS(2,COLUMN())),OFFSET($BN$2,0,0,ROW()-1,60),ROW()-1,FALSE))</f>
        <v>1369.287</v>
      </c>
      <c r="BI46">
        <f ca="1">IF(AND(ISNUMBER($BI$277),$B$183=1),$BI$277,HLOOKUP(INDIRECT(ADDRESS(2,COLUMN())),OFFSET($BN$2,0,0,ROW()-1,60),ROW()-1,FALSE))</f>
        <v>1332.9960000000001</v>
      </c>
      <c r="BJ46">
        <f ca="1">IF(AND(ISNUMBER($BJ$277),$B$183=1),$BJ$277,HLOOKUP(INDIRECT(ADDRESS(2,COLUMN())),OFFSET($BN$2,0,0,ROW()-1,60),ROW()-1,FALSE))</f>
        <v>1291.0039999999999</v>
      </c>
      <c r="BK46">
        <f ca="1">IF(AND(ISNUMBER($BK$277),$B$183=1),$BK$277,HLOOKUP(INDIRECT(ADDRESS(2,COLUMN())),OFFSET($BN$2,0,0,ROW()-1,60),ROW()-1,FALSE))</f>
        <v>1294.6759999999999</v>
      </c>
      <c r="BL46">
        <f ca="1">IF(AND(ISNUMBER($BL$277),$B$183=1),$BL$277,HLOOKUP(INDIRECT(ADDRESS(2,COLUMN())),OFFSET($BN$2,0,0,ROW()-1,60),ROW()-1,FALSE))</f>
        <v>1360.5429999999999</v>
      </c>
      <c r="BM46">
        <f ca="1">IF(AND(ISNUMBER($BM$277),$B$183=1),$BM$277,HLOOKUP(INDIRECT(ADDRESS(2,COLUMN())),OFFSET($BN$2,0,0,ROW()-1,60),ROW()-1,FALSE))</f>
        <v>1331.904</v>
      </c>
      <c r="BN46">
        <f>2754.119467</f>
        <v>2754.119467</v>
      </c>
      <c r="BO46">
        <f>2658.423</f>
        <v>2658.4229999999998</v>
      </c>
      <c r="BP46">
        <f>2646.401</f>
        <v>2646.4009999999998</v>
      </c>
      <c r="BQ46">
        <f>2665.907</f>
        <v>2665.9070000000002</v>
      </c>
      <c r="BR46">
        <f>2456.044</f>
        <v>2456.0439999999999</v>
      </c>
      <c r="BS46">
        <f>2392.577</f>
        <v>2392.5770000000002</v>
      </c>
      <c r="BT46">
        <f>2357.018</f>
        <v>2357.018</v>
      </c>
      <c r="BU46">
        <f>2353.482</f>
        <v>2353.482</v>
      </c>
      <c r="BV46">
        <f>2360.35</f>
        <v>2360.35</v>
      </c>
      <c r="BW46">
        <f>2232.371</f>
        <v>2232.3710000000001</v>
      </c>
      <c r="BX46">
        <f>2355.372</f>
        <v>2355.3719999999998</v>
      </c>
      <c r="BY46">
        <f>2275.674</f>
        <v>2275.674</v>
      </c>
      <c r="BZ46">
        <f>2225.5715</f>
        <v>2225.5715</v>
      </c>
      <c r="CA46">
        <f>2077.929</f>
        <v>2077.9290000000001</v>
      </c>
      <c r="CB46">
        <f>2037.04</f>
        <v>2037.04</v>
      </c>
      <c r="CC46">
        <f>1902.939</f>
        <v>1902.9390000000001</v>
      </c>
      <c r="CD46">
        <f>1972.425</f>
        <v>1972.425</v>
      </c>
      <c r="CE46">
        <f>1815.75</f>
        <v>1815.75</v>
      </c>
      <c r="CF46">
        <f>1855.686</f>
        <v>1855.6859999999999</v>
      </c>
      <c r="CG46">
        <f>1733.444</f>
        <v>1733.444</v>
      </c>
      <c r="CH46">
        <f>1687.699</f>
        <v>1687.6990000000001</v>
      </c>
      <c r="CI46">
        <f>1621.655</f>
        <v>1621.655</v>
      </c>
      <c r="CJ46">
        <f>1592.553</f>
        <v>1592.5530000000001</v>
      </c>
      <c r="CK46">
        <f>1571.648</f>
        <v>1571.6479999999999</v>
      </c>
      <c r="CL46">
        <f>1538.701</f>
        <v>1538.701</v>
      </c>
      <c r="CM46">
        <f>1462.801</f>
        <v>1462.8009999999999</v>
      </c>
      <c r="CN46">
        <f>1425.921</f>
        <v>1425.921</v>
      </c>
      <c r="CO46">
        <f>1405.64</f>
        <v>1405.64</v>
      </c>
      <c r="CP46">
        <f>1380.746</f>
        <v>1380.7460000000001</v>
      </c>
      <c r="CQ46">
        <f>1316.091</f>
        <v>1316.0909999999999</v>
      </c>
      <c r="CR46">
        <f>1295.627</f>
        <v>1295.627</v>
      </c>
      <c r="CS46">
        <f>1271.416</f>
        <v>1271.4159999999999</v>
      </c>
      <c r="CT46">
        <f>1285.493</f>
        <v>1285.4929999999999</v>
      </c>
      <c r="CU46">
        <f>1271.22</f>
        <v>1271.22</v>
      </c>
      <c r="CV46">
        <f>1323.952</f>
        <v>1323.952</v>
      </c>
      <c r="CW46">
        <f>1342.967</f>
        <v>1342.9670000000001</v>
      </c>
      <c r="CX46">
        <f>1298.1495</f>
        <v>1298.1495</v>
      </c>
      <c r="CY46">
        <f>1328.418</f>
        <v>1328.4179999999999</v>
      </c>
      <c r="CZ46">
        <f>1354.479</f>
        <v>1354.479</v>
      </c>
      <c r="DA46">
        <f>1369.528</f>
        <v>1369.528</v>
      </c>
      <c r="DB46">
        <f>1402.939</f>
        <v>1402.9390000000001</v>
      </c>
      <c r="DC46">
        <f>1375.337</f>
        <v>1375.337</v>
      </c>
      <c r="DD46">
        <f>1536.743</f>
        <v>1536.7429999999999</v>
      </c>
      <c r="DE46">
        <f>1512.7</f>
        <v>1512.7</v>
      </c>
      <c r="DF46">
        <f>1505.9925</f>
        <v>1505.9925000000001</v>
      </c>
      <c r="DG46">
        <f>1494.13</f>
        <v>1494.13</v>
      </c>
      <c r="DH46">
        <f>1483.503</f>
        <v>1483.5029999999999</v>
      </c>
      <c r="DI46">
        <f>1455.185</f>
        <v>1455.1849999999999</v>
      </c>
      <c r="DJ46">
        <f>1439.086</f>
        <v>1439.086</v>
      </c>
      <c r="DK46">
        <f>1387.649</f>
        <v>1387.6489999999999</v>
      </c>
      <c r="DL46">
        <f>1437.442</f>
        <v>1437.442</v>
      </c>
      <c r="DM46">
        <f>1380.997</f>
        <v>1380.9970000000001</v>
      </c>
      <c r="DN46">
        <f>1345.437</f>
        <v>1345.4369999999999</v>
      </c>
      <c r="DO46">
        <f>1343.621</f>
        <v>1343.6210000000001</v>
      </c>
      <c r="DP46">
        <f>1369.287</f>
        <v>1369.287</v>
      </c>
      <c r="DQ46">
        <f>1332.996</f>
        <v>1332.9960000000001</v>
      </c>
      <c r="DR46">
        <f>1291.004</f>
        <v>1291.0039999999999</v>
      </c>
      <c r="DS46">
        <f>1294.676</f>
        <v>1294.6759999999999</v>
      </c>
      <c r="DT46">
        <f>1360.543</f>
        <v>1360.5429999999999</v>
      </c>
      <c r="DU46">
        <f>1331.904</f>
        <v>1331.904</v>
      </c>
    </row>
    <row r="47" spans="1:125">
      <c r="A47" t="str">
        <f>"    Apartment REITs"</f>
        <v xml:space="preserve">    Apartment REITs</v>
      </c>
      <c r="B47" t="str">
        <f>"RECFNOAP Index"</f>
        <v>RECFNOAP Index</v>
      </c>
      <c r="C47" t="str">
        <f t="shared" si="7"/>
        <v>PR005</v>
      </c>
      <c r="D47" t="str">
        <f t="shared" si="8"/>
        <v>PX_LAST</v>
      </c>
      <c r="E47" t="str">
        <f t="shared" si="9"/>
        <v>动态</v>
      </c>
      <c r="F47">
        <f ca="1">IF(AND(ISNUMBER($F$278),$B$183=1),$F$278,HLOOKUP(INDIRECT(ADDRESS(2,COLUMN())),OFFSET($BN$2,0,0,ROW()-1,60),ROW()-1,FALSE))</f>
        <v>2141.3017209999998</v>
      </c>
      <c r="G47">
        <f ca="1">IF(AND(ISNUMBER($G$278),$B$183=1),$G$278,HLOOKUP(INDIRECT(ADDRESS(2,COLUMN())),OFFSET($BN$2,0,0,ROW()-1,60),ROW()-1,FALSE))</f>
        <v>2003.3030000000001</v>
      </c>
      <c r="H47">
        <f ca="1">IF(AND(ISNUMBER($H$278),$B$183=1),$H$278,HLOOKUP(INDIRECT(ADDRESS(2,COLUMN())),OFFSET($BN$2,0,0,ROW()-1,60),ROW()-1,FALSE))</f>
        <v>2023.7049999999999</v>
      </c>
      <c r="I47">
        <f ca="1">IF(AND(ISNUMBER($I$278),$B$183=1),$I$278,HLOOKUP(INDIRECT(ADDRESS(2,COLUMN())),OFFSET($BN$2,0,0,ROW()-1,60),ROW()-1,FALSE))</f>
        <v>2012.2619999999999</v>
      </c>
      <c r="J47">
        <f ca="1">IF(AND(ISNUMBER($J$278),$B$183=1),$J$278,HLOOKUP(INDIRECT(ADDRESS(2,COLUMN())),OFFSET($BN$2,0,0,ROW()-1,60),ROW()-1,FALSE))</f>
        <v>1978.77</v>
      </c>
      <c r="K47">
        <f ca="1">IF(AND(ISNUMBER($K$278),$B$183=1),$K$278,HLOOKUP(INDIRECT(ADDRESS(2,COLUMN())),OFFSET($BN$2,0,0,ROW()-1,60),ROW()-1,FALSE))</f>
        <v>1924.7080000000001</v>
      </c>
      <c r="L47">
        <f ca="1">IF(AND(ISNUMBER($L$278),$B$183=1),$L$278,HLOOKUP(INDIRECT(ADDRESS(2,COLUMN())),OFFSET($BN$2,0,0,ROW()-1,60),ROW()-1,FALSE))</f>
        <v>1919.617</v>
      </c>
      <c r="M47">
        <f ca="1">IF(AND(ISNUMBER($M$278),$B$183=1),$M$278,HLOOKUP(INDIRECT(ADDRESS(2,COLUMN())),OFFSET($BN$2,0,0,ROW()-1,60),ROW()-1,FALSE))</f>
        <v>1921.7159999999999</v>
      </c>
      <c r="N47">
        <f ca="1">IF(AND(ISNUMBER($N$278),$B$183=1),$N$278,HLOOKUP(INDIRECT(ADDRESS(2,COLUMN())),OFFSET($BN$2,0,0,ROW()-1,60),ROW()-1,FALSE))</f>
        <v>1986.1179999999999</v>
      </c>
      <c r="O47">
        <f ca="1">IF(AND(ISNUMBER($O$278),$B$183=1),$O$278,HLOOKUP(INDIRECT(ADDRESS(2,COLUMN())),OFFSET($BN$2,0,0,ROW()-1,60),ROW()-1,FALSE))</f>
        <v>1853.348</v>
      </c>
      <c r="P47">
        <f ca="1">IF(AND(ISNUMBER($P$278),$B$183=1),$P$278,HLOOKUP(INDIRECT(ADDRESS(2,COLUMN())),OFFSET($BN$2,0,0,ROW()-1,60),ROW()-1,FALSE))</f>
        <v>2017.0650000000001</v>
      </c>
      <c r="Q47">
        <f ca="1">IF(AND(ISNUMBER($Q$278),$B$183=1),$Q$278,HLOOKUP(INDIRECT(ADDRESS(2,COLUMN())),OFFSET($BN$2,0,0,ROW()-1,60),ROW()-1,FALSE))</f>
        <v>1941.152</v>
      </c>
      <c r="R47">
        <f ca="1">IF(AND(ISNUMBER($R$278),$B$183=1),$R$278,HLOOKUP(INDIRECT(ADDRESS(2,COLUMN())),OFFSET($BN$2,0,0,ROW()-1,60),ROW()-1,FALSE))</f>
        <v>1953.6344999999999</v>
      </c>
      <c r="S47">
        <f ca="1">IF(AND(ISNUMBER($S$278),$B$183=1),$S$278,HLOOKUP(INDIRECT(ADDRESS(2,COLUMN())),OFFSET($BN$2,0,0,ROW()-1,60),ROW()-1,FALSE))</f>
        <v>1817.4929999999999</v>
      </c>
      <c r="T47">
        <f ca="1">IF(AND(ISNUMBER($T$278),$B$183=1),$T$278,HLOOKUP(INDIRECT(ADDRESS(2,COLUMN())),OFFSET($BN$2,0,0,ROW()-1,60),ROW()-1,FALSE))</f>
        <v>1791.0239999999999</v>
      </c>
      <c r="U47">
        <f ca="1">IF(AND(ISNUMBER($U$278),$B$183=1),$U$278,HLOOKUP(INDIRECT(ADDRESS(2,COLUMN())),OFFSET($BN$2,0,0,ROW()-1,60),ROW()-1,FALSE))</f>
        <v>1670.5530000000001</v>
      </c>
      <c r="V47">
        <f ca="1">IF(AND(ISNUMBER($V$278),$B$183=1),$V$278,HLOOKUP(INDIRECT(ADDRESS(2,COLUMN())),OFFSET($BN$2,0,0,ROW()-1,60),ROW()-1,FALSE))</f>
        <v>1775.7729999999999</v>
      </c>
      <c r="W47">
        <f ca="1">IF(AND(ISNUMBER($W$278),$B$183=1),$W$278,HLOOKUP(INDIRECT(ADDRESS(2,COLUMN())),OFFSET($BN$2,0,0,ROW()-1,60),ROW()-1,FALSE))</f>
        <v>1629.01</v>
      </c>
      <c r="X47">
        <f ca="1">IF(AND(ISNUMBER($X$278),$B$183=1),$X$278,HLOOKUP(INDIRECT(ADDRESS(2,COLUMN())),OFFSET($BN$2,0,0,ROW()-1,60),ROW()-1,FALSE))</f>
        <v>1702.7149999999999</v>
      </c>
      <c r="Y47">
        <f ca="1">IF(AND(ISNUMBER($Y$278),$B$183=1),$Y$278,HLOOKUP(INDIRECT(ADDRESS(2,COLUMN())),OFFSET($BN$2,0,0,ROW()-1,60),ROW()-1,FALSE))</f>
        <v>1567.925</v>
      </c>
      <c r="Z47">
        <f ca="1">IF(AND(ISNUMBER($Z$278),$B$183=1),$Z$278,HLOOKUP(INDIRECT(ADDRESS(2,COLUMN())),OFFSET($BN$2,0,0,ROW()-1,60),ROW()-1,FALSE))</f>
        <v>1545.973</v>
      </c>
      <c r="AA47">
        <f ca="1">IF(AND(ISNUMBER($AA$278),$B$183=1),$AA$278,HLOOKUP(INDIRECT(ADDRESS(2,COLUMN())),OFFSET($BN$2,0,0,ROW()-1,60),ROW()-1,FALSE))</f>
        <v>1484.886</v>
      </c>
      <c r="AB47">
        <f ca="1">IF(AND(ISNUMBER($AB$278),$B$183=1),$AB$278,HLOOKUP(INDIRECT(ADDRESS(2,COLUMN())),OFFSET($BN$2,0,0,ROW()-1,60),ROW()-1,FALSE))</f>
        <v>1460.11</v>
      </c>
      <c r="AC47">
        <f ca="1">IF(AND(ISNUMBER($AC$278),$B$183=1),$AC$278,HLOOKUP(INDIRECT(ADDRESS(2,COLUMN())),OFFSET($BN$2,0,0,ROW()-1,60),ROW()-1,FALSE))</f>
        <v>1425.346</v>
      </c>
      <c r="AD47">
        <f ca="1">IF(AND(ISNUMBER($AD$278),$B$183=1),$AD$278,HLOOKUP(INDIRECT(ADDRESS(2,COLUMN())),OFFSET($BN$2,0,0,ROW()-1,60),ROW()-1,FALSE))</f>
        <v>1411.42</v>
      </c>
      <c r="AE47">
        <f ca="1">IF(AND(ISNUMBER($AE$278),$B$183=1),$AE$278,HLOOKUP(INDIRECT(ADDRESS(2,COLUMN())),OFFSET($BN$2,0,0,ROW()-1,60),ROW()-1,FALSE))</f>
        <v>1342.7</v>
      </c>
      <c r="AF47">
        <f ca="1">IF(AND(ISNUMBER($AF$278),$B$183=1),$AF$278,HLOOKUP(INDIRECT(ADDRESS(2,COLUMN())),OFFSET($BN$2,0,0,ROW()-1,60),ROW()-1,FALSE))</f>
        <v>1327.5630000000001</v>
      </c>
      <c r="AG47">
        <f ca="1">IF(AND(ISNUMBER($AG$278),$B$183=1),$AG$278,HLOOKUP(INDIRECT(ADDRESS(2,COLUMN())),OFFSET($BN$2,0,0,ROW()-1,60),ROW()-1,FALSE))</f>
        <v>1293.971</v>
      </c>
      <c r="AH47">
        <f ca="1">IF(AND(ISNUMBER($AH$278),$B$183=1),$AH$278,HLOOKUP(INDIRECT(ADDRESS(2,COLUMN())),OFFSET($BN$2,0,0,ROW()-1,60),ROW()-1,FALSE))</f>
        <v>1282.1400000000001</v>
      </c>
      <c r="AI47">
        <f ca="1">IF(AND(ISNUMBER($AI$278),$B$183=1),$AI$278,HLOOKUP(INDIRECT(ADDRESS(2,COLUMN())),OFFSET($BN$2,0,0,ROW()-1,60),ROW()-1,FALSE))</f>
        <v>1218.6579999999999</v>
      </c>
      <c r="AJ47">
        <f ca="1">IF(AND(ISNUMBER($AJ$278),$B$183=1),$AJ$278,HLOOKUP(INDIRECT(ADDRESS(2,COLUMN())),OFFSET($BN$2,0,0,ROW()-1,60),ROW()-1,FALSE))</f>
        <v>1202.251</v>
      </c>
      <c r="AK47">
        <f ca="1">IF(AND(ISNUMBER($AK$278),$B$183=1),$AK$278,HLOOKUP(INDIRECT(ADDRESS(2,COLUMN())),OFFSET($BN$2,0,0,ROW()-1,60),ROW()-1,FALSE))</f>
        <v>1164.643</v>
      </c>
      <c r="AL47">
        <f ca="1">IF(AND(ISNUMBER($AL$278),$B$183=1),$AL$278,HLOOKUP(INDIRECT(ADDRESS(2,COLUMN())),OFFSET($BN$2,0,0,ROW()-1,60),ROW()-1,FALSE))</f>
        <v>1190.2439999999999</v>
      </c>
      <c r="AM47">
        <f ca="1">IF(AND(ISNUMBER($AM$278),$B$183=1),$AM$278,HLOOKUP(INDIRECT(ADDRESS(2,COLUMN())),OFFSET($BN$2,0,0,ROW()-1,60),ROW()-1,FALSE))</f>
        <v>1176.896</v>
      </c>
      <c r="AN47">
        <f ca="1">IF(AND(ISNUMBER($AN$278),$B$183=1),$AN$278,HLOOKUP(INDIRECT(ADDRESS(2,COLUMN())),OFFSET($BN$2,0,0,ROW()-1,60),ROW()-1,FALSE))</f>
        <v>1233.0719999999999</v>
      </c>
      <c r="AO47">
        <f ca="1">IF(AND(ISNUMBER($AO$278),$B$183=1),$AO$278,HLOOKUP(INDIRECT(ADDRESS(2,COLUMN())),OFFSET($BN$2,0,0,ROW()-1,60),ROW()-1,FALSE))</f>
        <v>1239.9749999999999</v>
      </c>
      <c r="AP47">
        <f ca="1">IF(AND(ISNUMBER($AP$278),$B$183=1),$AP$278,HLOOKUP(INDIRECT(ADDRESS(2,COLUMN())),OFFSET($BN$2,0,0,ROW()-1,60),ROW()-1,FALSE))</f>
        <v>1208.9804999999999</v>
      </c>
      <c r="AQ47">
        <f ca="1">IF(AND(ISNUMBER($AQ$278),$B$183=1),$AQ$278,HLOOKUP(INDIRECT(ADDRESS(2,COLUMN())),OFFSET($BN$2,0,0,ROW()-1,60),ROW()-1,FALSE))</f>
        <v>1235.2149999999999</v>
      </c>
      <c r="AR47">
        <f ca="1">IF(AND(ISNUMBER($AR$278),$B$183=1),$AR$278,HLOOKUP(INDIRECT(ADDRESS(2,COLUMN())),OFFSET($BN$2,0,0,ROW()-1,60),ROW()-1,FALSE))</f>
        <v>1265.6210000000001</v>
      </c>
      <c r="AS47">
        <f ca="1">IF(AND(ISNUMBER($AS$278),$B$183=1),$AS$278,HLOOKUP(INDIRECT(ADDRESS(2,COLUMN())),OFFSET($BN$2,0,0,ROW()-1,60),ROW()-1,FALSE))</f>
        <v>1263.931</v>
      </c>
      <c r="AT47">
        <f ca="1">IF(AND(ISNUMBER($AT$278),$B$183=1),$AT$278,HLOOKUP(INDIRECT(ADDRESS(2,COLUMN())),OFFSET($BN$2,0,0,ROW()-1,60),ROW()-1,FALSE))</f>
        <v>1305.3209999999999</v>
      </c>
      <c r="AU47">
        <f ca="1">IF(AND(ISNUMBER($AU$278),$B$183=1),$AU$278,HLOOKUP(INDIRECT(ADDRESS(2,COLUMN())),OFFSET($BN$2,0,0,ROW()-1,60),ROW()-1,FALSE))</f>
        <v>1285.4780000000001</v>
      </c>
      <c r="AV47">
        <f ca="1">IF(AND(ISNUMBER($AV$278),$B$183=1),$AV$278,HLOOKUP(INDIRECT(ADDRESS(2,COLUMN())),OFFSET($BN$2,0,0,ROW()-1,60),ROW()-1,FALSE))</f>
        <v>1447.394</v>
      </c>
      <c r="AW47">
        <f ca="1">IF(AND(ISNUMBER($AW$278),$B$183=1),$AW$278,HLOOKUP(INDIRECT(ADDRESS(2,COLUMN())),OFFSET($BN$2,0,0,ROW()-1,60),ROW()-1,FALSE))</f>
        <v>1409.61</v>
      </c>
      <c r="AX47">
        <f ca="1">IF(AND(ISNUMBER($AX$278),$B$183=1),$AX$278,HLOOKUP(INDIRECT(ADDRESS(2,COLUMN())),OFFSET($BN$2,0,0,ROW()-1,60),ROW()-1,FALSE))</f>
        <v>1416.9565</v>
      </c>
      <c r="AY47">
        <f ca="1">IF(AND(ISNUMBER($AY$278),$B$183=1),$AY$278,HLOOKUP(INDIRECT(ADDRESS(2,COLUMN())),OFFSET($BN$2,0,0,ROW()-1,60),ROW()-1,FALSE))</f>
        <v>1406.585</v>
      </c>
      <c r="AZ47">
        <f ca="1">IF(AND(ISNUMBER($AZ$278),$B$183=1),$AZ$278,HLOOKUP(INDIRECT(ADDRESS(2,COLUMN())),OFFSET($BN$2,0,0,ROW()-1,60),ROW()-1,FALSE))</f>
        <v>1396.5329999999999</v>
      </c>
      <c r="BA47">
        <f ca="1">IF(AND(ISNUMBER($BA$278),$B$183=1),$BA$278,HLOOKUP(INDIRECT(ADDRESS(2,COLUMN())),OFFSET($BN$2,0,0,ROW()-1,60),ROW()-1,FALSE))</f>
        <v>1357.4839999999999</v>
      </c>
      <c r="BB47">
        <f ca="1">IF(AND(ISNUMBER($BB$278),$B$183=1),$BB$278,HLOOKUP(INDIRECT(ADDRESS(2,COLUMN())),OFFSET($BN$2,0,0,ROW()-1,60),ROW()-1,FALSE))</f>
        <v>1329.1949999999999</v>
      </c>
      <c r="BC47">
        <f ca="1">IF(AND(ISNUMBER($BC$278),$B$183=1),$BC$278,HLOOKUP(INDIRECT(ADDRESS(2,COLUMN())),OFFSET($BN$2,0,0,ROW()-1,60),ROW()-1,FALSE))</f>
        <v>1288.33</v>
      </c>
      <c r="BD47">
        <f ca="1">IF(AND(ISNUMBER($BD$278),$B$183=1),$BD$278,HLOOKUP(INDIRECT(ADDRESS(2,COLUMN())),OFFSET($BN$2,0,0,ROW()-1,60),ROW()-1,FALSE))</f>
        <v>1330.7670000000001</v>
      </c>
      <c r="BE47">
        <f ca="1">IF(AND(ISNUMBER($BE$278),$B$183=1),$BE$278,HLOOKUP(INDIRECT(ADDRESS(2,COLUMN())),OFFSET($BN$2,0,0,ROW()-1,60),ROW()-1,FALSE))</f>
        <v>1263.6110000000001</v>
      </c>
      <c r="BF47">
        <f ca="1">IF(AND(ISNUMBER($BF$278),$B$183=1),$BF$278,HLOOKUP(INDIRECT(ADDRESS(2,COLUMN())),OFFSET($BN$2,0,0,ROW()-1,60),ROW()-1,FALSE))</f>
        <v>1247.71</v>
      </c>
      <c r="BG47">
        <f ca="1">IF(AND(ISNUMBER($BG$278),$B$183=1),$BG$278,HLOOKUP(INDIRECT(ADDRESS(2,COLUMN())),OFFSET($BN$2,0,0,ROW()-1,60),ROW()-1,FALSE))</f>
        <v>1239.903</v>
      </c>
      <c r="BH47">
        <f ca="1">IF(AND(ISNUMBER($BH$278),$B$183=1),$BH$278,HLOOKUP(INDIRECT(ADDRESS(2,COLUMN())),OFFSET($BN$2,0,0,ROW()-1,60),ROW()-1,FALSE))</f>
        <v>1263.6959999999999</v>
      </c>
      <c r="BI47">
        <f ca="1">IF(AND(ISNUMBER($BI$278),$B$183=1),$BI$278,HLOOKUP(INDIRECT(ADDRESS(2,COLUMN())),OFFSET($BN$2,0,0,ROW()-1,60),ROW()-1,FALSE))</f>
        <v>1228.4929999999999</v>
      </c>
      <c r="BJ47">
        <f ca="1">IF(AND(ISNUMBER($BJ$278),$B$183=1),$BJ$278,HLOOKUP(INDIRECT(ADDRESS(2,COLUMN())),OFFSET($BN$2,0,0,ROW()-1,60),ROW()-1,FALSE))</f>
        <v>1221.1189999999999</v>
      </c>
      <c r="BK47">
        <f ca="1">IF(AND(ISNUMBER($BK$278),$B$183=1),$BK$278,HLOOKUP(INDIRECT(ADDRESS(2,COLUMN())),OFFSET($BN$2,0,0,ROW()-1,60),ROW()-1,FALSE))</f>
        <v>1228.498</v>
      </c>
      <c r="BL47">
        <f ca="1">IF(AND(ISNUMBER($BL$278),$B$183=1),$BL$278,HLOOKUP(INDIRECT(ADDRESS(2,COLUMN())),OFFSET($BN$2,0,0,ROW()-1,60),ROW()-1,FALSE))</f>
        <v>1247.357</v>
      </c>
      <c r="BM47">
        <f ca="1">IF(AND(ISNUMBER($BM$278),$B$183=1),$BM$278,HLOOKUP(INDIRECT(ADDRESS(2,COLUMN())),OFFSET($BN$2,0,0,ROW()-1,60),ROW()-1,FALSE))</f>
        <v>1219.6610000000001</v>
      </c>
      <c r="BN47">
        <f>2141.301721</f>
        <v>2141.3017209999998</v>
      </c>
      <c r="BO47">
        <f>2003.303</f>
        <v>2003.3030000000001</v>
      </c>
      <c r="BP47">
        <f>2023.705</f>
        <v>2023.7049999999999</v>
      </c>
      <c r="BQ47">
        <f>2012.262</f>
        <v>2012.2619999999999</v>
      </c>
      <c r="BR47">
        <f>1978.77</f>
        <v>1978.77</v>
      </c>
      <c r="BS47">
        <f>1924.708</f>
        <v>1924.7080000000001</v>
      </c>
      <c r="BT47">
        <f>1919.617</f>
        <v>1919.617</v>
      </c>
      <c r="BU47">
        <f>1921.716</f>
        <v>1921.7159999999999</v>
      </c>
      <c r="BV47">
        <f>1986.118</f>
        <v>1986.1179999999999</v>
      </c>
      <c r="BW47">
        <f>1853.348</f>
        <v>1853.348</v>
      </c>
      <c r="BX47">
        <f>2017.065</f>
        <v>2017.0650000000001</v>
      </c>
      <c r="BY47">
        <f>1941.152</f>
        <v>1941.152</v>
      </c>
      <c r="BZ47">
        <f>1953.6345</f>
        <v>1953.6344999999999</v>
      </c>
      <c r="CA47">
        <f>1817.493</f>
        <v>1817.4929999999999</v>
      </c>
      <c r="CB47">
        <f>1791.024</f>
        <v>1791.0239999999999</v>
      </c>
      <c r="CC47">
        <f>1670.553</f>
        <v>1670.5530000000001</v>
      </c>
      <c r="CD47">
        <f>1775.773</f>
        <v>1775.7729999999999</v>
      </c>
      <c r="CE47">
        <f>1629.01</f>
        <v>1629.01</v>
      </c>
      <c r="CF47">
        <f>1702.715</f>
        <v>1702.7149999999999</v>
      </c>
      <c r="CG47">
        <f>1567.925</f>
        <v>1567.925</v>
      </c>
      <c r="CH47">
        <f>1545.973</f>
        <v>1545.973</v>
      </c>
      <c r="CI47">
        <f>1484.886</f>
        <v>1484.886</v>
      </c>
      <c r="CJ47">
        <f>1460.11</f>
        <v>1460.11</v>
      </c>
      <c r="CK47">
        <f>1425.346</f>
        <v>1425.346</v>
      </c>
      <c r="CL47">
        <f>1411.42</f>
        <v>1411.42</v>
      </c>
      <c r="CM47">
        <f>1342.7</f>
        <v>1342.7</v>
      </c>
      <c r="CN47">
        <f>1327.563</f>
        <v>1327.5630000000001</v>
      </c>
      <c r="CO47">
        <f>1293.971</f>
        <v>1293.971</v>
      </c>
      <c r="CP47">
        <f>1282.14</f>
        <v>1282.1400000000001</v>
      </c>
      <c r="CQ47">
        <f>1218.658</f>
        <v>1218.6579999999999</v>
      </c>
      <c r="CR47">
        <f>1202.251</f>
        <v>1202.251</v>
      </c>
      <c r="CS47">
        <f>1164.643</f>
        <v>1164.643</v>
      </c>
      <c r="CT47">
        <f>1190.244</f>
        <v>1190.2439999999999</v>
      </c>
      <c r="CU47">
        <f>1176.896</f>
        <v>1176.896</v>
      </c>
      <c r="CV47">
        <f>1233.072</f>
        <v>1233.0719999999999</v>
      </c>
      <c r="CW47">
        <f>1239.975</f>
        <v>1239.9749999999999</v>
      </c>
      <c r="CX47">
        <f>1208.9805</f>
        <v>1208.9804999999999</v>
      </c>
      <c r="CY47">
        <f>1235.215</f>
        <v>1235.2149999999999</v>
      </c>
      <c r="CZ47">
        <f>1265.621</f>
        <v>1265.6210000000001</v>
      </c>
      <c r="DA47">
        <f>1263.931</f>
        <v>1263.931</v>
      </c>
      <c r="DB47">
        <f>1305.321</f>
        <v>1305.3209999999999</v>
      </c>
      <c r="DC47">
        <f>1285.478</f>
        <v>1285.4780000000001</v>
      </c>
      <c r="DD47">
        <f>1447.394</f>
        <v>1447.394</v>
      </c>
      <c r="DE47">
        <f>1409.61</f>
        <v>1409.61</v>
      </c>
      <c r="DF47">
        <f>1416.9565</f>
        <v>1416.9565</v>
      </c>
      <c r="DG47">
        <f>1406.585</f>
        <v>1406.585</v>
      </c>
      <c r="DH47">
        <f>1396.533</f>
        <v>1396.5329999999999</v>
      </c>
      <c r="DI47">
        <f>1357.484</f>
        <v>1357.4839999999999</v>
      </c>
      <c r="DJ47">
        <f>1329.195</f>
        <v>1329.1949999999999</v>
      </c>
      <c r="DK47">
        <f>1288.33</f>
        <v>1288.33</v>
      </c>
      <c r="DL47">
        <f>1330.767</f>
        <v>1330.7670000000001</v>
      </c>
      <c r="DM47">
        <f>1263.611</f>
        <v>1263.6110000000001</v>
      </c>
      <c r="DN47">
        <f>1247.71</f>
        <v>1247.71</v>
      </c>
      <c r="DO47">
        <f>1239.903</f>
        <v>1239.903</v>
      </c>
      <c r="DP47">
        <f>1263.696</f>
        <v>1263.6959999999999</v>
      </c>
      <c r="DQ47">
        <f>1228.493</f>
        <v>1228.4929999999999</v>
      </c>
      <c r="DR47">
        <f>1221.119</f>
        <v>1221.1189999999999</v>
      </c>
      <c r="DS47">
        <f>1228.498</f>
        <v>1228.498</v>
      </c>
      <c r="DT47">
        <f>1247.357</f>
        <v>1247.357</v>
      </c>
      <c r="DU47">
        <f>1219.661</f>
        <v>1219.6610000000001</v>
      </c>
    </row>
    <row r="48" spans="1:125">
      <c r="A48" t="str">
        <f>"    Manufactured Home REITs"</f>
        <v xml:space="preserve">    Manufactured Home REITs</v>
      </c>
      <c r="B48" t="str">
        <f>"RECFNOMH Index"</f>
        <v>RECFNOMH Index</v>
      </c>
      <c r="C48" t="str">
        <f t="shared" si="7"/>
        <v>PR005</v>
      </c>
      <c r="D48" t="str">
        <f t="shared" si="8"/>
        <v>PX_LAST</v>
      </c>
      <c r="E48" t="str">
        <f t="shared" si="9"/>
        <v>动态</v>
      </c>
      <c r="F48">
        <f ca="1">IF(AND(ISNUMBER($F$279),$B$183=1),$F$279,HLOOKUP(INDIRECT(ADDRESS(2,COLUMN())),OFFSET($BN$2,0,0,ROW()-1,60),ROW()-1,FALSE))</f>
        <v>258.4562401</v>
      </c>
      <c r="G48">
        <f ca="1">IF(AND(ISNUMBER($G$279),$B$183=1),$G$279,HLOOKUP(INDIRECT(ADDRESS(2,COLUMN())),OFFSET($BN$2,0,0,ROW()-1,60),ROW()-1,FALSE))</f>
        <v>267.2</v>
      </c>
      <c r="H48">
        <f ca="1">IF(AND(ISNUMBER($H$279),$B$183=1),$H$279,HLOOKUP(INDIRECT(ADDRESS(2,COLUMN())),OFFSET($BN$2,0,0,ROW()-1,60),ROW()-1,FALSE))</f>
        <v>248.06899999999999</v>
      </c>
      <c r="I48">
        <f ca="1">IF(AND(ISNUMBER($I$279),$B$183=1),$I$279,HLOOKUP(INDIRECT(ADDRESS(2,COLUMN())),OFFSET($BN$2,0,0,ROW()-1,60),ROW()-1,FALSE))</f>
        <v>272.077</v>
      </c>
      <c r="J48">
        <f ca="1">IF(AND(ISNUMBER($J$279),$B$183=1),$J$279,HLOOKUP(INDIRECT(ADDRESS(2,COLUMN())),OFFSET($BN$2,0,0,ROW()-1,60),ROW()-1,FALSE))</f>
        <v>239.17</v>
      </c>
      <c r="K48">
        <f ca="1">IF(AND(ISNUMBER($K$279),$B$183=1),$K$279,HLOOKUP(INDIRECT(ADDRESS(2,COLUMN())),OFFSET($BN$2,0,0,ROW()-1,60),ROW()-1,FALSE))</f>
        <v>248.583</v>
      </c>
      <c r="L48">
        <f ca="1">IF(AND(ISNUMBER($L$279),$B$183=1),$L$279,HLOOKUP(INDIRECT(ADDRESS(2,COLUMN())),OFFSET($BN$2,0,0,ROW()-1,60),ROW()-1,FALSE))</f>
        <v>218.28200000000001</v>
      </c>
      <c r="M48">
        <f ca="1">IF(AND(ISNUMBER($M$279),$B$183=1),$M$279,HLOOKUP(INDIRECT(ADDRESS(2,COLUMN())),OFFSET($BN$2,0,0,ROW()-1,60),ROW()-1,FALSE))</f>
        <v>227.29599999999999</v>
      </c>
      <c r="N48">
        <f ca="1">IF(AND(ISNUMBER($N$279),$B$183=1),$N$279,HLOOKUP(INDIRECT(ADDRESS(2,COLUMN())),OFFSET($BN$2,0,0,ROW()-1,60),ROW()-1,FALSE))</f>
        <v>202.667</v>
      </c>
      <c r="O48">
        <f ca="1">IF(AND(ISNUMBER($O$279),$B$183=1),$O$279,HLOOKUP(INDIRECT(ADDRESS(2,COLUMN())),OFFSET($BN$2,0,0,ROW()-1,60),ROW()-1,FALSE))</f>
        <v>210.02</v>
      </c>
      <c r="P48">
        <f ca="1">IF(AND(ISNUMBER($P$279),$B$183=1),$P$279,HLOOKUP(INDIRECT(ADDRESS(2,COLUMN())),OFFSET($BN$2,0,0,ROW()-1,60),ROW()-1,FALSE))</f>
        <v>197.48099999999999</v>
      </c>
      <c r="Q48">
        <f ca="1">IF(AND(ISNUMBER($Q$279),$B$183=1),$Q$279,HLOOKUP(INDIRECT(ADDRESS(2,COLUMN())),OFFSET($BN$2,0,0,ROW()-1,60),ROW()-1,FALSE))</f>
        <v>208.48500000000001</v>
      </c>
      <c r="R48">
        <f ca="1">IF(AND(ISNUMBER($R$279),$B$183=1),$R$279,HLOOKUP(INDIRECT(ADDRESS(2,COLUMN())),OFFSET($BN$2,0,0,ROW()-1,60),ROW()-1,FALSE))</f>
        <v>169.608</v>
      </c>
      <c r="S48">
        <f ca="1">IF(AND(ISNUMBER($S$279),$B$183=1),$S$279,HLOOKUP(INDIRECT(ADDRESS(2,COLUMN())),OFFSET($BN$2,0,0,ROW()-1,60),ROW()-1,FALSE))</f>
        <v>169.17599999999999</v>
      </c>
      <c r="T48">
        <f ca="1">IF(AND(ISNUMBER($T$279),$B$183=1),$T$279,HLOOKUP(INDIRECT(ADDRESS(2,COLUMN())),OFFSET($BN$2,0,0,ROW()-1,60),ROW()-1,FALSE))</f>
        <v>160.29</v>
      </c>
      <c r="U48">
        <f ca="1">IF(AND(ISNUMBER($U$279),$B$183=1),$U$279,HLOOKUP(INDIRECT(ADDRESS(2,COLUMN())),OFFSET($BN$2,0,0,ROW()-1,60),ROW()-1,FALSE))</f>
        <v>171.58</v>
      </c>
      <c r="V48">
        <f ca="1">IF(AND(ISNUMBER($V$279),$B$183=1),$V$279,HLOOKUP(INDIRECT(ADDRESS(2,COLUMN())),OFFSET($BN$2,0,0,ROW()-1,60),ROW()-1,FALSE))</f>
        <v>152.06800000000001</v>
      </c>
      <c r="W48">
        <f ca="1">IF(AND(ISNUMBER($W$279),$B$183=1),$W$279,HLOOKUP(INDIRECT(ADDRESS(2,COLUMN())),OFFSET($BN$2,0,0,ROW()-1,60),ROW()-1,FALSE))</f>
        <v>152.99</v>
      </c>
      <c r="X48">
        <f ca="1">IF(AND(ISNUMBER($X$279),$B$183=1),$X$279,HLOOKUP(INDIRECT(ADDRESS(2,COLUMN())),OFFSET($BN$2,0,0,ROW()-1,60),ROW()-1,FALSE))</f>
        <v>145.881</v>
      </c>
      <c r="Y48">
        <f ca="1">IF(AND(ISNUMBER($Y$279),$B$183=1),$Y$279,HLOOKUP(INDIRECT(ADDRESS(2,COLUMN())),OFFSET($BN$2,0,0,ROW()-1,60),ROW()-1,FALSE))</f>
        <v>163.36799999999999</v>
      </c>
      <c r="Z48">
        <f ca="1">IF(AND(ISNUMBER($Z$279),$B$183=1),$Z$279,HLOOKUP(INDIRECT(ADDRESS(2,COLUMN())),OFFSET($BN$2,0,0,ROW()-1,60),ROW()-1,FALSE))</f>
        <v>141.18899999999999</v>
      </c>
      <c r="AA48">
        <f ca="1">IF(AND(ISNUMBER($AA$279),$B$183=1),$AA$279,HLOOKUP(INDIRECT(ADDRESS(2,COLUMN())),OFFSET($BN$2,0,0,ROW()-1,60),ROW()-1,FALSE))</f>
        <v>136.76900000000001</v>
      </c>
      <c r="AB48">
        <f ca="1">IF(AND(ISNUMBER($AB$279),$B$183=1),$AB$279,HLOOKUP(INDIRECT(ADDRESS(2,COLUMN())),OFFSET($BN$2,0,0,ROW()-1,60),ROW()-1,FALSE))</f>
        <v>132.44300000000001</v>
      </c>
      <c r="AC48">
        <f ca="1">IF(AND(ISNUMBER($AC$279),$B$183=1),$AC$279,HLOOKUP(INDIRECT(ADDRESS(2,COLUMN())),OFFSET($BN$2,0,0,ROW()-1,60),ROW()-1,FALSE))</f>
        <v>146.30199999999999</v>
      </c>
      <c r="AD48">
        <f ca="1">IF(AND(ISNUMBER($AD$279),$B$183=1),$AD$279,HLOOKUP(INDIRECT(ADDRESS(2,COLUMN())),OFFSET($BN$2,0,0,ROW()-1,60),ROW()-1,FALSE))</f>
        <v>127.28100000000001</v>
      </c>
      <c r="AE48">
        <f ca="1">IF(AND(ISNUMBER($AE$279),$B$183=1),$AE$279,HLOOKUP(INDIRECT(ADDRESS(2,COLUMN())),OFFSET($BN$2,0,0,ROW()-1,60),ROW()-1,FALSE))</f>
        <v>120.101</v>
      </c>
      <c r="AF48">
        <f ca="1">IF(AND(ISNUMBER($AF$279),$B$183=1),$AF$279,HLOOKUP(INDIRECT(ADDRESS(2,COLUMN())),OFFSET($BN$2,0,0,ROW()-1,60),ROW()-1,FALSE))</f>
        <v>98.358000000000004</v>
      </c>
      <c r="AG48">
        <f ca="1">IF(AND(ISNUMBER($AG$279),$B$183=1),$AG$279,HLOOKUP(INDIRECT(ADDRESS(2,COLUMN())),OFFSET($BN$2,0,0,ROW()-1,60),ROW()-1,FALSE))</f>
        <v>111.669</v>
      </c>
      <c r="AH48">
        <f ca="1">IF(AND(ISNUMBER($AH$279),$B$183=1),$AH$279,HLOOKUP(INDIRECT(ADDRESS(2,COLUMN())),OFFSET($BN$2,0,0,ROW()-1,60),ROW()-1,FALSE))</f>
        <v>98.605999999999995</v>
      </c>
      <c r="AI48">
        <f ca="1">IF(AND(ISNUMBER($AI$279),$B$183=1),$AI$279,HLOOKUP(INDIRECT(ADDRESS(2,COLUMN())),OFFSET($BN$2,0,0,ROW()-1,60),ROW()-1,FALSE))</f>
        <v>97.433000000000007</v>
      </c>
      <c r="AJ48">
        <f ca="1">IF(AND(ISNUMBER($AJ$279),$B$183=1),$AJ$279,HLOOKUP(INDIRECT(ADDRESS(2,COLUMN())),OFFSET($BN$2,0,0,ROW()-1,60),ROW()-1,FALSE))</f>
        <v>93.376000000000005</v>
      </c>
      <c r="AK48">
        <f ca="1">IF(AND(ISNUMBER($AK$279),$B$183=1),$AK$279,HLOOKUP(INDIRECT(ADDRESS(2,COLUMN())),OFFSET($BN$2,0,0,ROW()-1,60),ROW()-1,FALSE))</f>
        <v>106.773</v>
      </c>
      <c r="AL48">
        <f ca="1">IF(AND(ISNUMBER($AL$279),$B$183=1),$AL$279,HLOOKUP(INDIRECT(ADDRESS(2,COLUMN())),OFFSET($BN$2,0,0,ROW()-1,60),ROW()-1,FALSE))</f>
        <v>95.248999999999995</v>
      </c>
      <c r="AM48">
        <f ca="1">IF(AND(ISNUMBER($AM$279),$B$183=1),$AM$279,HLOOKUP(INDIRECT(ADDRESS(2,COLUMN())),OFFSET($BN$2,0,0,ROW()-1,60),ROW()-1,FALSE))</f>
        <v>94.323999999999998</v>
      </c>
      <c r="AN48">
        <f ca="1">IF(AND(ISNUMBER($AN$279),$B$183=1),$AN$279,HLOOKUP(INDIRECT(ADDRESS(2,COLUMN())),OFFSET($BN$2,0,0,ROW()-1,60),ROW()-1,FALSE))</f>
        <v>90.88</v>
      </c>
      <c r="AO48">
        <f ca="1">IF(AND(ISNUMBER($AO$279),$B$183=1),$AO$279,HLOOKUP(INDIRECT(ADDRESS(2,COLUMN())),OFFSET($BN$2,0,0,ROW()-1,60),ROW()-1,FALSE))</f>
        <v>102.992</v>
      </c>
      <c r="AP48">
        <f ca="1">IF(AND(ISNUMBER($AP$279),$B$183=1),$AP$279,HLOOKUP(INDIRECT(ADDRESS(2,COLUMN())),OFFSET($BN$2,0,0,ROW()-1,60),ROW()-1,FALSE))</f>
        <v>89.168999999999997</v>
      </c>
      <c r="AQ48">
        <f ca="1">IF(AND(ISNUMBER($AQ$279),$B$183=1),$AQ$279,HLOOKUP(INDIRECT(ADDRESS(2,COLUMN())),OFFSET($BN$2,0,0,ROW()-1,60),ROW()-1,FALSE))</f>
        <v>93.203000000000003</v>
      </c>
      <c r="AR48">
        <f ca="1">IF(AND(ISNUMBER($AR$279),$B$183=1),$AR$279,HLOOKUP(INDIRECT(ADDRESS(2,COLUMN())),OFFSET($BN$2,0,0,ROW()-1,60),ROW()-1,FALSE))</f>
        <v>88.858000000000004</v>
      </c>
      <c r="AS48">
        <f ca="1">IF(AND(ISNUMBER($AS$279),$B$183=1),$AS$279,HLOOKUP(INDIRECT(ADDRESS(2,COLUMN())),OFFSET($BN$2,0,0,ROW()-1,60),ROW()-1,FALSE))</f>
        <v>105.59699999999999</v>
      </c>
      <c r="AT48">
        <f ca="1">IF(AND(ISNUMBER($AT$279),$B$183=1),$AT$279,HLOOKUP(INDIRECT(ADDRESS(2,COLUMN())),OFFSET($BN$2,0,0,ROW()-1,60),ROW()-1,FALSE))</f>
        <v>97.617999999999995</v>
      </c>
      <c r="AU48">
        <f ca="1">IF(AND(ISNUMBER($AU$279),$B$183=1),$AU$279,HLOOKUP(INDIRECT(ADDRESS(2,COLUMN())),OFFSET($BN$2,0,0,ROW()-1,60),ROW()-1,FALSE))</f>
        <v>89.858999999999995</v>
      </c>
      <c r="AV48">
        <f ca="1">IF(AND(ISNUMBER($AV$279),$B$183=1),$AV$279,HLOOKUP(INDIRECT(ADDRESS(2,COLUMN())),OFFSET($BN$2,0,0,ROW()-1,60),ROW()-1,FALSE))</f>
        <v>89.349000000000004</v>
      </c>
      <c r="AW48">
        <f ca="1">IF(AND(ISNUMBER($AW$279),$B$183=1),$AW$279,HLOOKUP(INDIRECT(ADDRESS(2,COLUMN())),OFFSET($BN$2,0,0,ROW()-1,60),ROW()-1,FALSE))</f>
        <v>103.09</v>
      </c>
      <c r="AX48">
        <f ca="1">IF(AND(ISNUMBER($AX$279),$B$183=1),$AX$279,HLOOKUP(INDIRECT(ADDRESS(2,COLUMN())),OFFSET($BN$2,0,0,ROW()-1,60),ROW()-1,FALSE))</f>
        <v>89.036000000000001</v>
      </c>
      <c r="AY48">
        <f ca="1">IF(AND(ISNUMBER($AY$279),$B$183=1),$AY$279,HLOOKUP(INDIRECT(ADDRESS(2,COLUMN())),OFFSET($BN$2,0,0,ROW()-1,60),ROW()-1,FALSE))</f>
        <v>87.545000000000002</v>
      </c>
      <c r="AZ48">
        <f ca="1">IF(AND(ISNUMBER($AZ$279),$B$183=1),$AZ$279,HLOOKUP(INDIRECT(ADDRESS(2,COLUMN())),OFFSET($BN$2,0,0,ROW()-1,60),ROW()-1,FALSE))</f>
        <v>86.97</v>
      </c>
      <c r="BA48">
        <f ca="1">IF(AND(ISNUMBER($BA$279),$B$183=1),$BA$279,HLOOKUP(INDIRECT(ADDRESS(2,COLUMN())),OFFSET($BN$2,0,0,ROW()-1,60),ROW()-1,FALSE))</f>
        <v>97.700999999999993</v>
      </c>
      <c r="BB48">
        <f ca="1">IF(AND(ISNUMBER($BB$279),$B$183=1),$BB$279,HLOOKUP(INDIRECT(ADDRESS(2,COLUMN())),OFFSET($BN$2,0,0,ROW()-1,60),ROW()-1,FALSE))</f>
        <v>109.89100000000001</v>
      </c>
      <c r="BC48">
        <f ca="1">IF(AND(ISNUMBER($BC$279),$B$183=1),$BC$279,HLOOKUP(INDIRECT(ADDRESS(2,COLUMN())),OFFSET($BN$2,0,0,ROW()-1,60),ROW()-1,FALSE))</f>
        <v>99.319000000000003</v>
      </c>
      <c r="BD48">
        <f ca="1">IF(AND(ISNUMBER($BD$279),$B$183=1),$BD$279,HLOOKUP(INDIRECT(ADDRESS(2,COLUMN())),OFFSET($BN$2,0,0,ROW()-1,60),ROW()-1,FALSE))</f>
        <v>106.675</v>
      </c>
      <c r="BE48">
        <f ca="1">IF(AND(ISNUMBER($BE$279),$B$183=1),$BE$279,HLOOKUP(INDIRECT(ADDRESS(2,COLUMN())),OFFSET($BN$2,0,0,ROW()-1,60),ROW()-1,FALSE))</f>
        <v>117.386</v>
      </c>
      <c r="BF48">
        <f ca="1">IF(AND(ISNUMBER($BF$279),$B$183=1),$BF$279,HLOOKUP(INDIRECT(ADDRESS(2,COLUMN())),OFFSET($BN$2,0,0,ROW()-1,60),ROW()-1,FALSE))</f>
        <v>97.727000000000004</v>
      </c>
      <c r="BG48">
        <f ca="1">IF(AND(ISNUMBER($BG$279),$B$183=1),$BG$279,HLOOKUP(INDIRECT(ADDRESS(2,COLUMN())),OFFSET($BN$2,0,0,ROW()-1,60),ROW()-1,FALSE))</f>
        <v>103.718</v>
      </c>
      <c r="BH48">
        <f ca="1">IF(AND(ISNUMBER($BH$279),$B$183=1),$BH$279,HLOOKUP(INDIRECT(ADDRESS(2,COLUMN())),OFFSET($BN$2,0,0,ROW()-1,60),ROW()-1,FALSE))</f>
        <v>105.59099999999999</v>
      </c>
      <c r="BI48">
        <f ca="1">IF(AND(ISNUMBER($BI$279),$B$183=1),$BI$279,HLOOKUP(INDIRECT(ADDRESS(2,COLUMN())),OFFSET($BN$2,0,0,ROW()-1,60),ROW()-1,FALSE))</f>
        <v>104.503</v>
      </c>
      <c r="BJ48">
        <f ca="1">IF(AND(ISNUMBER($BJ$279),$B$183=1),$BJ$279,HLOOKUP(INDIRECT(ADDRESS(2,COLUMN())),OFFSET($BN$2,0,0,ROW()-1,60),ROW()-1,FALSE))</f>
        <v>69.885000000000005</v>
      </c>
      <c r="BK48">
        <f ca="1">IF(AND(ISNUMBER($BK$279),$B$183=1),$BK$279,HLOOKUP(INDIRECT(ADDRESS(2,COLUMN())),OFFSET($BN$2,0,0,ROW()-1,60),ROW()-1,FALSE))</f>
        <v>66.177999999999997</v>
      </c>
      <c r="BL48">
        <f ca="1">IF(AND(ISNUMBER($BL$279),$B$183=1),$BL$279,HLOOKUP(INDIRECT(ADDRESS(2,COLUMN())),OFFSET($BN$2,0,0,ROW()-1,60),ROW()-1,FALSE))</f>
        <v>113.18600000000001</v>
      </c>
      <c r="BM48">
        <f ca="1">IF(AND(ISNUMBER($BM$279),$B$183=1),$BM$279,HLOOKUP(INDIRECT(ADDRESS(2,COLUMN())),OFFSET($BN$2,0,0,ROW()-1,60),ROW()-1,FALSE))</f>
        <v>112.24299999999999</v>
      </c>
      <c r="BN48">
        <f>258.4562401</f>
        <v>258.4562401</v>
      </c>
      <c r="BO48">
        <f>267.2</f>
        <v>267.2</v>
      </c>
      <c r="BP48">
        <f>248.069</f>
        <v>248.06899999999999</v>
      </c>
      <c r="BQ48">
        <f>272.077</f>
        <v>272.077</v>
      </c>
      <c r="BR48">
        <f>239.17</f>
        <v>239.17</v>
      </c>
      <c r="BS48">
        <f>248.583</f>
        <v>248.583</v>
      </c>
      <c r="BT48">
        <f>218.282</f>
        <v>218.28200000000001</v>
      </c>
      <c r="BU48">
        <f>227.296</f>
        <v>227.29599999999999</v>
      </c>
      <c r="BV48">
        <f>202.667</f>
        <v>202.667</v>
      </c>
      <c r="BW48">
        <f>210.02</f>
        <v>210.02</v>
      </c>
      <c r="BX48">
        <f>197.481</f>
        <v>197.48099999999999</v>
      </c>
      <c r="BY48">
        <f>208.485</f>
        <v>208.48500000000001</v>
      </c>
      <c r="BZ48">
        <f>169.608</f>
        <v>169.608</v>
      </c>
      <c r="CA48">
        <f>169.176</f>
        <v>169.17599999999999</v>
      </c>
      <c r="CB48">
        <f>160.29</f>
        <v>160.29</v>
      </c>
      <c r="CC48">
        <f>171.58</f>
        <v>171.58</v>
      </c>
      <c r="CD48">
        <f>152.068</f>
        <v>152.06800000000001</v>
      </c>
      <c r="CE48">
        <f>152.99</f>
        <v>152.99</v>
      </c>
      <c r="CF48">
        <f>145.881</f>
        <v>145.881</v>
      </c>
      <c r="CG48">
        <f>163.368</f>
        <v>163.36799999999999</v>
      </c>
      <c r="CH48">
        <f>141.189</f>
        <v>141.18899999999999</v>
      </c>
      <c r="CI48">
        <f>136.769</f>
        <v>136.76900000000001</v>
      </c>
      <c r="CJ48">
        <f>132.443</f>
        <v>132.44300000000001</v>
      </c>
      <c r="CK48">
        <f>146.302</f>
        <v>146.30199999999999</v>
      </c>
      <c r="CL48">
        <f>127.281</f>
        <v>127.28100000000001</v>
      </c>
      <c r="CM48">
        <f>120.101</f>
        <v>120.101</v>
      </c>
      <c r="CN48">
        <f>98.358</f>
        <v>98.358000000000004</v>
      </c>
      <c r="CO48">
        <f>111.669</f>
        <v>111.669</v>
      </c>
      <c r="CP48">
        <f>98.606</f>
        <v>98.605999999999995</v>
      </c>
      <c r="CQ48">
        <f>97.433</f>
        <v>97.433000000000007</v>
      </c>
      <c r="CR48">
        <f>93.376</f>
        <v>93.376000000000005</v>
      </c>
      <c r="CS48">
        <f>106.773</f>
        <v>106.773</v>
      </c>
      <c r="CT48">
        <f>95.249</f>
        <v>95.248999999999995</v>
      </c>
      <c r="CU48">
        <f>94.324</f>
        <v>94.323999999999998</v>
      </c>
      <c r="CV48">
        <f>90.88</f>
        <v>90.88</v>
      </c>
      <c r="CW48">
        <f>102.992</f>
        <v>102.992</v>
      </c>
      <c r="CX48">
        <f>89.169</f>
        <v>89.168999999999997</v>
      </c>
      <c r="CY48">
        <f>93.203</f>
        <v>93.203000000000003</v>
      </c>
      <c r="CZ48">
        <f>88.858</f>
        <v>88.858000000000004</v>
      </c>
      <c r="DA48">
        <f>105.597</f>
        <v>105.59699999999999</v>
      </c>
      <c r="DB48">
        <f>97.618</f>
        <v>97.617999999999995</v>
      </c>
      <c r="DC48">
        <f>89.859</f>
        <v>89.858999999999995</v>
      </c>
      <c r="DD48">
        <f>89.349</f>
        <v>89.349000000000004</v>
      </c>
      <c r="DE48">
        <f>103.09</f>
        <v>103.09</v>
      </c>
      <c r="DF48">
        <f>89.036</f>
        <v>89.036000000000001</v>
      </c>
      <c r="DG48">
        <f>87.545</f>
        <v>87.545000000000002</v>
      </c>
      <c r="DH48">
        <f>86.97</f>
        <v>86.97</v>
      </c>
      <c r="DI48">
        <f>97.701</f>
        <v>97.700999999999993</v>
      </c>
      <c r="DJ48">
        <f>109.891</f>
        <v>109.89100000000001</v>
      </c>
      <c r="DK48">
        <f>99.319</f>
        <v>99.319000000000003</v>
      </c>
      <c r="DL48">
        <f>106.675</f>
        <v>106.675</v>
      </c>
      <c r="DM48">
        <f>117.386</f>
        <v>117.386</v>
      </c>
      <c r="DN48">
        <f>97.727</f>
        <v>97.727000000000004</v>
      </c>
      <c r="DO48">
        <f>103.718</f>
        <v>103.718</v>
      </c>
      <c r="DP48">
        <f>105.591</f>
        <v>105.59099999999999</v>
      </c>
      <c r="DQ48">
        <f>104.503</f>
        <v>104.503</v>
      </c>
      <c r="DR48">
        <f>69.885</f>
        <v>69.885000000000005</v>
      </c>
      <c r="DS48">
        <f>66.178</f>
        <v>66.177999999999997</v>
      </c>
      <c r="DT48">
        <f>113.186</f>
        <v>113.18600000000001</v>
      </c>
      <c r="DU48">
        <f>112.243</f>
        <v>112.24299999999999</v>
      </c>
    </row>
    <row r="49" spans="1:125">
      <c r="A49" t="str">
        <f>"    Single Family Rental REITs"</f>
        <v xml:space="preserve">    Single Family Rental REITs</v>
      </c>
      <c r="B49" t="str">
        <f>"RECFNOSF Index"</f>
        <v>RECFNOSF Index</v>
      </c>
      <c r="C49" t="str">
        <f t="shared" si="7"/>
        <v>PR005</v>
      </c>
      <c r="D49" t="str">
        <f t="shared" si="8"/>
        <v>PX_LAST</v>
      </c>
      <c r="E49" t="str">
        <f t="shared" si="9"/>
        <v>动态</v>
      </c>
      <c r="F49">
        <f ca="1">IF(AND(ISNUMBER($F$280),$B$183=1),$F$280,HLOOKUP(INDIRECT(ADDRESS(2,COLUMN())),OFFSET($BN$2,0,0,ROW()-1,60),ROW()-1,FALSE))</f>
        <v>354.36150579999997</v>
      </c>
      <c r="G49">
        <f ca="1">IF(AND(ISNUMBER($G$280),$B$183=1),$G$280,HLOOKUP(INDIRECT(ADDRESS(2,COLUMN())),OFFSET($BN$2,0,0,ROW()-1,60),ROW()-1,FALSE))</f>
        <v>387.92</v>
      </c>
      <c r="H49">
        <f ca="1">IF(AND(ISNUMBER($H$280),$B$183=1),$H$280,HLOOKUP(INDIRECT(ADDRESS(2,COLUMN())),OFFSET($BN$2,0,0,ROW()-1,60),ROW()-1,FALSE))</f>
        <v>374.62700000000001</v>
      </c>
      <c r="I49">
        <f ca="1">IF(AND(ISNUMBER($I$280),$B$183=1),$I$280,HLOOKUP(INDIRECT(ADDRESS(2,COLUMN())),OFFSET($BN$2,0,0,ROW()-1,60),ROW()-1,FALSE))</f>
        <v>381.56799999999998</v>
      </c>
      <c r="J49">
        <f ca="1">IF(AND(ISNUMBER($J$280),$B$183=1),$J$280,HLOOKUP(INDIRECT(ADDRESS(2,COLUMN())),OFFSET($BN$2,0,0,ROW()-1,60),ROW()-1,FALSE))</f>
        <v>238.10400000000001</v>
      </c>
      <c r="K49">
        <f ca="1">IF(AND(ISNUMBER($K$280),$B$183=1),$K$280,HLOOKUP(INDIRECT(ADDRESS(2,COLUMN())),OFFSET($BN$2,0,0,ROW()-1,60),ROW()-1,FALSE))</f>
        <v>219.286</v>
      </c>
      <c r="L49">
        <f ca="1">IF(AND(ISNUMBER($L$280),$B$183=1),$L$280,HLOOKUP(INDIRECT(ADDRESS(2,COLUMN())),OFFSET($BN$2,0,0,ROW()-1,60),ROW()-1,FALSE))</f>
        <v>219.119</v>
      </c>
      <c r="M49">
        <f ca="1">IF(AND(ISNUMBER($M$280),$B$183=1),$M$280,HLOOKUP(INDIRECT(ADDRESS(2,COLUMN())),OFFSET($BN$2,0,0,ROW()-1,60),ROW()-1,FALSE))</f>
        <v>204.47</v>
      </c>
      <c r="N49">
        <f ca="1">IF(AND(ISNUMBER($N$280),$B$183=1),$N$280,HLOOKUP(INDIRECT(ADDRESS(2,COLUMN())),OFFSET($BN$2,0,0,ROW()-1,60),ROW()-1,FALSE))</f>
        <v>171.565</v>
      </c>
      <c r="O49">
        <f ca="1">IF(AND(ISNUMBER($O$280),$B$183=1),$O$280,HLOOKUP(INDIRECT(ADDRESS(2,COLUMN())),OFFSET($BN$2,0,0,ROW()-1,60),ROW()-1,FALSE))</f>
        <v>169.00299999999999</v>
      </c>
      <c r="P49">
        <f ca="1">IF(AND(ISNUMBER($P$280),$B$183=1),$P$280,HLOOKUP(INDIRECT(ADDRESS(2,COLUMN())),OFFSET($BN$2,0,0,ROW()-1,60),ROW()-1,FALSE))</f>
        <v>140.82599999999999</v>
      </c>
      <c r="Q49">
        <f ca="1">IF(AND(ISNUMBER($Q$280),$B$183=1),$Q$280,HLOOKUP(INDIRECT(ADDRESS(2,COLUMN())),OFFSET($BN$2,0,0,ROW()-1,60),ROW()-1,FALSE))</f>
        <v>126.03700000000001</v>
      </c>
      <c r="R49">
        <f ca="1">IF(AND(ISNUMBER($R$280),$B$183=1),$R$280,HLOOKUP(INDIRECT(ADDRESS(2,COLUMN())),OFFSET($BN$2,0,0,ROW()-1,60),ROW()-1,FALSE))</f>
        <v>102.32899999999999</v>
      </c>
      <c r="S49">
        <f ca="1">IF(AND(ISNUMBER($S$280),$B$183=1),$S$280,HLOOKUP(INDIRECT(ADDRESS(2,COLUMN())),OFFSET($BN$2,0,0,ROW()-1,60),ROW()-1,FALSE))</f>
        <v>91.26</v>
      </c>
      <c r="T49">
        <f ca="1">IF(AND(ISNUMBER($T$280),$B$183=1),$T$280,HLOOKUP(INDIRECT(ADDRESS(2,COLUMN())),OFFSET($BN$2,0,0,ROW()-1,60),ROW()-1,FALSE))</f>
        <v>85.725999999999999</v>
      </c>
      <c r="U49">
        <f ca="1">IF(AND(ISNUMBER($U$280),$B$183=1),$U$280,HLOOKUP(INDIRECT(ADDRESS(2,COLUMN())),OFFSET($BN$2,0,0,ROW()-1,60),ROW()-1,FALSE))</f>
        <v>60.805999999999997</v>
      </c>
      <c r="V49">
        <f ca="1">IF(AND(ISNUMBER($V$280),$B$183=1),$V$280,HLOOKUP(INDIRECT(ADDRESS(2,COLUMN())),OFFSET($BN$2,0,0,ROW()-1,60),ROW()-1,FALSE))</f>
        <v>44.584000000000003</v>
      </c>
      <c r="W49">
        <f ca="1">IF(AND(ISNUMBER($W$280),$B$183=1),$W$280,HLOOKUP(INDIRECT(ADDRESS(2,COLUMN())),OFFSET($BN$2,0,0,ROW()-1,60),ROW()-1,FALSE))</f>
        <v>33.75</v>
      </c>
      <c r="X49">
        <f ca="1">IF(AND(ISNUMBER($X$280),$B$183=1),$X$280,HLOOKUP(INDIRECT(ADDRESS(2,COLUMN())),OFFSET($BN$2,0,0,ROW()-1,60),ROW()-1,FALSE))</f>
        <v>7.09</v>
      </c>
      <c r="Y49">
        <f ca="1">IF(AND(ISNUMBER($Y$280),$B$183=1),$Y$280,HLOOKUP(INDIRECT(ADDRESS(2,COLUMN())),OFFSET($BN$2,0,0,ROW()-1,60),ROW()-1,FALSE))</f>
        <v>2.1509999999999998</v>
      </c>
      <c r="Z49">
        <f ca="1">IF(AND(ISNUMBER($Z$280),$B$183=1),$Z$280,HLOOKUP(INDIRECT(ADDRESS(2,COLUMN())),OFFSET($BN$2,0,0,ROW()-1,60),ROW()-1,FALSE))</f>
        <v>0.53700000000000003</v>
      </c>
      <c r="AA49">
        <f ca="1">IF(AND(ISNUMBER($AA$280),$B$183=1),$AA$280,HLOOKUP(INDIRECT(ADDRESS(2,COLUMN())),OFFSET($BN$2,0,0,ROW()-1,60),ROW()-1,FALSE))</f>
        <v>0</v>
      </c>
      <c r="AB49">
        <f ca="1">IF(AND(ISNUMBER($AB$280),$B$183=1),$AB$280,HLOOKUP(INDIRECT(ADDRESS(2,COLUMN())),OFFSET($BN$2,0,0,ROW()-1,60),ROW()-1,FALSE))</f>
        <v>0</v>
      </c>
      <c r="AC49">
        <f ca="1">IF(AND(ISNUMBER($AC$280),$B$183=1),$AC$280,HLOOKUP(INDIRECT(ADDRESS(2,COLUMN())),OFFSET($BN$2,0,0,ROW()-1,60),ROW()-1,FALSE))</f>
        <v>0</v>
      </c>
      <c r="AD49">
        <f ca="1">IF(AND(ISNUMBER($AD$280),$B$183=1),$AD$280,HLOOKUP(INDIRECT(ADDRESS(2,COLUMN())),OFFSET($BN$2,0,0,ROW()-1,60),ROW()-1,FALSE))</f>
        <v>0</v>
      </c>
      <c r="AE49">
        <f ca="1">IF(AND(ISNUMBER($AE$280),$B$183=1),$AE$280,HLOOKUP(INDIRECT(ADDRESS(2,COLUMN())),OFFSET($BN$2,0,0,ROW()-1,60),ROW()-1,FALSE))</f>
        <v>0</v>
      </c>
      <c r="AF49">
        <f ca="1">IF(AND(ISNUMBER($AF$280),$B$183=1),$AF$280,HLOOKUP(INDIRECT(ADDRESS(2,COLUMN())),OFFSET($BN$2,0,0,ROW()-1,60),ROW()-1,FALSE))</f>
        <v>0</v>
      </c>
      <c r="AG49">
        <f ca="1">IF(AND(ISNUMBER($AG$280),$B$183=1),$AG$280,HLOOKUP(INDIRECT(ADDRESS(2,COLUMN())),OFFSET($BN$2,0,0,ROW()-1,60),ROW()-1,FALSE))</f>
        <v>0</v>
      </c>
      <c r="AH49">
        <f ca="1">IF(AND(ISNUMBER($AH$280),$B$183=1),$AH$280,HLOOKUP(INDIRECT(ADDRESS(2,COLUMN())),OFFSET($BN$2,0,0,ROW()-1,60),ROW()-1,FALSE))</f>
        <v>0</v>
      </c>
      <c r="AI49">
        <f ca="1">IF(AND(ISNUMBER($AI$280),$B$183=1),$AI$280,HLOOKUP(INDIRECT(ADDRESS(2,COLUMN())),OFFSET($BN$2,0,0,ROW()-1,60),ROW()-1,FALSE))</f>
        <v>0</v>
      </c>
      <c r="AJ49">
        <f ca="1">IF(AND(ISNUMBER($AJ$280),$B$183=1),$AJ$280,HLOOKUP(INDIRECT(ADDRESS(2,COLUMN())),OFFSET($BN$2,0,0,ROW()-1,60),ROW()-1,FALSE))</f>
        <v>0</v>
      </c>
      <c r="AK49">
        <f ca="1">IF(AND(ISNUMBER($AK$280),$B$183=1),$AK$280,HLOOKUP(INDIRECT(ADDRESS(2,COLUMN())),OFFSET($BN$2,0,0,ROW()-1,60),ROW()-1,FALSE))</f>
        <v>0</v>
      </c>
      <c r="AL49">
        <f ca="1">IF(AND(ISNUMBER($AL$280),$B$183=1),$AL$280,HLOOKUP(INDIRECT(ADDRESS(2,COLUMN())),OFFSET($BN$2,0,0,ROW()-1,60),ROW()-1,FALSE))</f>
        <v>0</v>
      </c>
      <c r="AM49">
        <f ca="1">IF(AND(ISNUMBER($AM$280),$B$183=1),$AM$280,HLOOKUP(INDIRECT(ADDRESS(2,COLUMN())),OFFSET($BN$2,0,0,ROW()-1,60),ROW()-1,FALSE))</f>
        <v>0</v>
      </c>
      <c r="AN49">
        <f ca="1">IF(AND(ISNUMBER($AN$280),$B$183=1),$AN$280,HLOOKUP(INDIRECT(ADDRESS(2,COLUMN())),OFFSET($BN$2,0,0,ROW()-1,60),ROW()-1,FALSE))</f>
        <v>0</v>
      </c>
      <c r="AO49">
        <f ca="1">IF(AND(ISNUMBER($AO$280),$B$183=1),$AO$280,HLOOKUP(INDIRECT(ADDRESS(2,COLUMN())),OFFSET($BN$2,0,0,ROW()-1,60),ROW()-1,FALSE))</f>
        <v>0</v>
      </c>
      <c r="AP49">
        <f ca="1">IF(AND(ISNUMBER($AP$280),$B$183=1),$AP$280,HLOOKUP(INDIRECT(ADDRESS(2,COLUMN())),OFFSET($BN$2,0,0,ROW()-1,60),ROW()-1,FALSE))</f>
        <v>0</v>
      </c>
      <c r="AQ49">
        <f ca="1">IF(AND(ISNUMBER($AQ$280),$B$183=1),$AQ$280,HLOOKUP(INDIRECT(ADDRESS(2,COLUMN())),OFFSET($BN$2,0,0,ROW()-1,60),ROW()-1,FALSE))</f>
        <v>0</v>
      </c>
      <c r="AR49">
        <f ca="1">IF(AND(ISNUMBER($AR$280),$B$183=1),$AR$280,HLOOKUP(INDIRECT(ADDRESS(2,COLUMN())),OFFSET($BN$2,0,0,ROW()-1,60),ROW()-1,FALSE))</f>
        <v>0</v>
      </c>
      <c r="AS49">
        <f ca="1">IF(AND(ISNUMBER($AS$280),$B$183=1),$AS$280,HLOOKUP(INDIRECT(ADDRESS(2,COLUMN())),OFFSET($BN$2,0,0,ROW()-1,60),ROW()-1,FALSE))</f>
        <v>0</v>
      </c>
      <c r="AT49">
        <f ca="1">IF(AND(ISNUMBER($AT$280),$B$183=1),$AT$280,HLOOKUP(INDIRECT(ADDRESS(2,COLUMN())),OFFSET($BN$2,0,0,ROW()-1,60),ROW()-1,FALSE))</f>
        <v>0</v>
      </c>
      <c r="AU49">
        <f ca="1">IF(AND(ISNUMBER($AU$280),$B$183=1),$AU$280,HLOOKUP(INDIRECT(ADDRESS(2,COLUMN())),OFFSET($BN$2,0,0,ROW()-1,60),ROW()-1,FALSE))</f>
        <v>0</v>
      </c>
      <c r="AV49">
        <f ca="1">IF(AND(ISNUMBER($AV$280),$B$183=1),$AV$280,HLOOKUP(INDIRECT(ADDRESS(2,COLUMN())),OFFSET($BN$2,0,0,ROW()-1,60),ROW()-1,FALSE))</f>
        <v>0</v>
      </c>
      <c r="AW49">
        <f ca="1">IF(AND(ISNUMBER($AW$280),$B$183=1),$AW$280,HLOOKUP(INDIRECT(ADDRESS(2,COLUMN())),OFFSET($BN$2,0,0,ROW()-1,60),ROW()-1,FALSE))</f>
        <v>0</v>
      </c>
      <c r="AX49">
        <f ca="1">IF(AND(ISNUMBER($AX$280),$B$183=1),$AX$280,HLOOKUP(INDIRECT(ADDRESS(2,COLUMN())),OFFSET($BN$2,0,0,ROW()-1,60),ROW()-1,FALSE))</f>
        <v>0</v>
      </c>
      <c r="AY49">
        <f ca="1">IF(AND(ISNUMBER($AY$280),$B$183=1),$AY$280,HLOOKUP(INDIRECT(ADDRESS(2,COLUMN())),OFFSET($BN$2,0,0,ROW()-1,60),ROW()-1,FALSE))</f>
        <v>0</v>
      </c>
      <c r="AZ49">
        <f ca="1">IF(AND(ISNUMBER($AZ$280),$B$183=1),$AZ$280,HLOOKUP(INDIRECT(ADDRESS(2,COLUMN())),OFFSET($BN$2,0,0,ROW()-1,60),ROW()-1,FALSE))</f>
        <v>0</v>
      </c>
      <c r="BA49">
        <f ca="1">IF(AND(ISNUMBER($BA$280),$B$183=1),$BA$280,HLOOKUP(INDIRECT(ADDRESS(2,COLUMN())),OFFSET($BN$2,0,0,ROW()-1,60),ROW()-1,FALSE))</f>
        <v>0</v>
      </c>
      <c r="BB49">
        <f ca="1">IF(AND(ISNUMBER($BB$280),$B$183=1),$BB$280,HLOOKUP(INDIRECT(ADDRESS(2,COLUMN())),OFFSET($BN$2,0,0,ROW()-1,60),ROW()-1,FALSE))</f>
        <v>0</v>
      </c>
      <c r="BC49">
        <f ca="1">IF(AND(ISNUMBER($BC$280),$B$183=1),$BC$280,HLOOKUP(INDIRECT(ADDRESS(2,COLUMN())),OFFSET($BN$2,0,0,ROW()-1,60),ROW()-1,FALSE))</f>
        <v>0</v>
      </c>
      <c r="BD49">
        <f ca="1">IF(AND(ISNUMBER($BD$280),$B$183=1),$BD$280,HLOOKUP(INDIRECT(ADDRESS(2,COLUMN())),OFFSET($BN$2,0,0,ROW()-1,60),ROW()-1,FALSE))</f>
        <v>0</v>
      </c>
      <c r="BE49">
        <f ca="1">IF(AND(ISNUMBER($BE$280),$B$183=1),$BE$280,HLOOKUP(INDIRECT(ADDRESS(2,COLUMN())),OFFSET($BN$2,0,0,ROW()-1,60),ROW()-1,FALSE))</f>
        <v>0</v>
      </c>
      <c r="BF49">
        <f ca="1">IF(AND(ISNUMBER($BF$280),$B$183=1),$BF$280,HLOOKUP(INDIRECT(ADDRESS(2,COLUMN())),OFFSET($BN$2,0,0,ROW()-1,60),ROW()-1,FALSE))</f>
        <v>0</v>
      </c>
      <c r="BG49">
        <f ca="1">IF(AND(ISNUMBER($BG$280),$B$183=1),$BG$280,HLOOKUP(INDIRECT(ADDRESS(2,COLUMN())),OFFSET($BN$2,0,0,ROW()-1,60),ROW()-1,FALSE))</f>
        <v>0</v>
      </c>
      <c r="BH49">
        <f ca="1">IF(AND(ISNUMBER($BH$280),$B$183=1),$BH$280,HLOOKUP(INDIRECT(ADDRESS(2,COLUMN())),OFFSET($BN$2,0,0,ROW()-1,60),ROW()-1,FALSE))</f>
        <v>0</v>
      </c>
      <c r="BI49">
        <f ca="1">IF(AND(ISNUMBER($BI$280),$B$183=1),$BI$280,HLOOKUP(INDIRECT(ADDRESS(2,COLUMN())),OFFSET($BN$2,0,0,ROW()-1,60),ROW()-1,FALSE))</f>
        <v>0</v>
      </c>
      <c r="BJ49">
        <f ca="1">IF(AND(ISNUMBER($BJ$280),$B$183=1),$BJ$280,HLOOKUP(INDIRECT(ADDRESS(2,COLUMN())),OFFSET($BN$2,0,0,ROW()-1,60),ROW()-1,FALSE))</f>
        <v>0</v>
      </c>
      <c r="BK49">
        <f ca="1">IF(AND(ISNUMBER($BK$280),$B$183=1),$BK$280,HLOOKUP(INDIRECT(ADDRESS(2,COLUMN())),OFFSET($BN$2,0,0,ROW()-1,60),ROW()-1,FALSE))</f>
        <v>0</v>
      </c>
      <c r="BL49">
        <f ca="1">IF(AND(ISNUMBER($BL$280),$B$183=1),$BL$280,HLOOKUP(INDIRECT(ADDRESS(2,COLUMN())),OFFSET($BN$2,0,0,ROW()-1,60),ROW()-1,FALSE))</f>
        <v>0</v>
      </c>
      <c r="BM49">
        <f ca="1">IF(AND(ISNUMBER($BM$280),$B$183=1),$BM$280,HLOOKUP(INDIRECT(ADDRESS(2,COLUMN())),OFFSET($BN$2,0,0,ROW()-1,60),ROW()-1,FALSE))</f>
        <v>0</v>
      </c>
      <c r="BN49">
        <f>354.3615058</f>
        <v>354.36150579999997</v>
      </c>
      <c r="BO49">
        <f>387.92</f>
        <v>387.92</v>
      </c>
      <c r="BP49">
        <f>374.627</f>
        <v>374.62700000000001</v>
      </c>
      <c r="BQ49">
        <f>381.568</f>
        <v>381.56799999999998</v>
      </c>
      <c r="BR49">
        <f>238.104</f>
        <v>238.10400000000001</v>
      </c>
      <c r="BS49">
        <f>219.286</f>
        <v>219.286</v>
      </c>
      <c r="BT49">
        <f>219.119</f>
        <v>219.119</v>
      </c>
      <c r="BU49">
        <f>204.47</f>
        <v>204.47</v>
      </c>
      <c r="BV49">
        <f>171.565</f>
        <v>171.565</v>
      </c>
      <c r="BW49">
        <f>169.003</f>
        <v>169.00299999999999</v>
      </c>
      <c r="BX49">
        <f>140.826</f>
        <v>140.82599999999999</v>
      </c>
      <c r="BY49">
        <f>126.037</f>
        <v>126.03700000000001</v>
      </c>
      <c r="BZ49">
        <f>102.329</f>
        <v>102.32899999999999</v>
      </c>
      <c r="CA49">
        <f>91.26</f>
        <v>91.26</v>
      </c>
      <c r="CB49">
        <f>85.726</f>
        <v>85.725999999999999</v>
      </c>
      <c r="CC49">
        <f>60.806</f>
        <v>60.805999999999997</v>
      </c>
      <c r="CD49">
        <f>44.584</f>
        <v>44.584000000000003</v>
      </c>
      <c r="CE49">
        <f>33.75</f>
        <v>33.75</v>
      </c>
      <c r="CF49">
        <f>7.09</f>
        <v>7.09</v>
      </c>
      <c r="CG49">
        <f>2.151</f>
        <v>2.1509999999999998</v>
      </c>
      <c r="CH49">
        <f>0.537</f>
        <v>0.53700000000000003</v>
      </c>
      <c r="CI49">
        <f>0</f>
        <v>0</v>
      </c>
      <c r="CJ49">
        <f>0</f>
        <v>0</v>
      </c>
      <c r="CK49">
        <f>0</f>
        <v>0</v>
      </c>
      <c r="CL49">
        <f>0</f>
        <v>0</v>
      </c>
      <c r="CM49">
        <f>0</f>
        <v>0</v>
      </c>
      <c r="CN49">
        <f>0</f>
        <v>0</v>
      </c>
      <c r="CO49">
        <f>0</f>
        <v>0</v>
      </c>
      <c r="CP49">
        <f>0</f>
        <v>0</v>
      </c>
      <c r="CQ49">
        <f>0</f>
        <v>0</v>
      </c>
      <c r="CR49">
        <f>0</f>
        <v>0</v>
      </c>
      <c r="CS49">
        <f>0</f>
        <v>0</v>
      </c>
      <c r="CT49">
        <f>0</f>
        <v>0</v>
      </c>
      <c r="CU49">
        <f>0</f>
        <v>0</v>
      </c>
      <c r="CV49">
        <f>0</f>
        <v>0</v>
      </c>
      <c r="CW49">
        <f>0</f>
        <v>0</v>
      </c>
      <c r="CX49">
        <f>0</f>
        <v>0</v>
      </c>
      <c r="CY49">
        <f>0</f>
        <v>0</v>
      </c>
      <c r="CZ49">
        <f>0</f>
        <v>0</v>
      </c>
      <c r="DA49">
        <f>0</f>
        <v>0</v>
      </c>
      <c r="DB49">
        <f>0</f>
        <v>0</v>
      </c>
      <c r="DC49">
        <f>0</f>
        <v>0</v>
      </c>
      <c r="DD49">
        <f>0</f>
        <v>0</v>
      </c>
      <c r="DE49">
        <f>0</f>
        <v>0</v>
      </c>
      <c r="DF49">
        <f>0</f>
        <v>0</v>
      </c>
      <c r="DG49">
        <f>0</f>
        <v>0</v>
      </c>
      <c r="DH49">
        <f>0</f>
        <v>0</v>
      </c>
      <c r="DI49">
        <f>0</f>
        <v>0</v>
      </c>
      <c r="DJ49">
        <f>0</f>
        <v>0</v>
      </c>
      <c r="DK49">
        <f>0</f>
        <v>0</v>
      </c>
      <c r="DL49">
        <f>0</f>
        <v>0</v>
      </c>
      <c r="DM49">
        <f>0</f>
        <v>0</v>
      </c>
      <c r="DN49">
        <f>0</f>
        <v>0</v>
      </c>
      <c r="DO49">
        <f>0</f>
        <v>0</v>
      </c>
      <c r="DP49">
        <f>0</f>
        <v>0</v>
      </c>
      <c r="DQ49">
        <f>0</f>
        <v>0</v>
      </c>
      <c r="DR49">
        <f>0</f>
        <v>0</v>
      </c>
      <c r="DS49">
        <f>0</f>
        <v>0</v>
      </c>
      <c r="DT49">
        <f>0</f>
        <v>0</v>
      </c>
      <c r="DU49">
        <f>0</f>
        <v>0</v>
      </c>
    </row>
    <row r="50" spans="1:125">
      <c r="A50" t="str">
        <f>"    Diversified REITs"</f>
        <v xml:space="preserve">    Diversified REITs</v>
      </c>
      <c r="B50" t="str">
        <f>"RECFNODV Index"</f>
        <v>RECFNODV Index</v>
      </c>
      <c r="C50" t="str">
        <f t="shared" si="7"/>
        <v>PR005</v>
      </c>
      <c r="D50" t="str">
        <f t="shared" si="8"/>
        <v>PX_LAST</v>
      </c>
      <c r="E50" t="str">
        <f t="shared" si="9"/>
        <v>动态</v>
      </c>
      <c r="F50">
        <f ca="1">IF(AND(ISNUMBER($F$281),$B$183=1),$F$281,HLOOKUP(INDIRECT(ADDRESS(2,COLUMN())),OFFSET($BN$2,0,0,ROW()-1,60),ROW()-1,FALSE))</f>
        <v>1745.7711690000001</v>
      </c>
      <c r="G50">
        <f ca="1">IF(AND(ISNUMBER($G$281),$B$183=1),$G$281,HLOOKUP(INDIRECT(ADDRESS(2,COLUMN())),OFFSET($BN$2,0,0,ROW()-1,60),ROW()-1,FALSE))</f>
        <v>1727.1079999999999</v>
      </c>
      <c r="H50">
        <f ca="1">IF(AND(ISNUMBER($H$281),$B$183=1),$H$281,HLOOKUP(INDIRECT(ADDRESS(2,COLUMN())),OFFSET($BN$2,0,0,ROW()-1,60),ROW()-1,FALSE))</f>
        <v>1666.732</v>
      </c>
      <c r="I50">
        <f ca="1">IF(AND(ISNUMBER($I$281),$B$183=1),$I$281,HLOOKUP(INDIRECT(ADDRESS(2,COLUMN())),OFFSET($BN$2,0,0,ROW()-1,60),ROW()-1,FALSE))</f>
        <v>1604.2139999999999</v>
      </c>
      <c r="J50">
        <f ca="1">IF(AND(ISNUMBER($J$281),$B$183=1),$J$281,HLOOKUP(INDIRECT(ADDRESS(2,COLUMN())),OFFSET($BN$2,0,0,ROW()-1,60),ROW()-1,FALSE))</f>
        <v>1469.271</v>
      </c>
      <c r="K50">
        <f ca="1">IF(AND(ISNUMBER($K$281),$B$183=1),$K$281,HLOOKUP(INDIRECT(ADDRESS(2,COLUMN())),OFFSET($BN$2,0,0,ROW()-1,60),ROW()-1,FALSE))</f>
        <v>1598.567</v>
      </c>
      <c r="L50">
        <f ca="1">IF(AND(ISNUMBER($L$281),$B$183=1),$L$281,HLOOKUP(INDIRECT(ADDRESS(2,COLUMN())),OFFSET($BN$2,0,0,ROW()-1,60),ROW()-1,FALSE))</f>
        <v>1526.3810000000001</v>
      </c>
      <c r="M50">
        <f ca="1">IF(AND(ISNUMBER($M$281),$B$183=1),$M$281,HLOOKUP(INDIRECT(ADDRESS(2,COLUMN())),OFFSET($BN$2,0,0,ROW()-1,60),ROW()-1,FALSE))</f>
        <v>1422.5070000000001</v>
      </c>
      <c r="N50">
        <f ca="1">IF(AND(ISNUMBER($N$281),$B$183=1),$N$281,HLOOKUP(INDIRECT(ADDRESS(2,COLUMN())),OFFSET($BN$2,0,0,ROW()-1,60),ROW()-1,FALSE))</f>
        <v>1412.604</v>
      </c>
      <c r="O50">
        <f ca="1">IF(AND(ISNUMBER($O$281),$B$183=1),$O$281,HLOOKUP(INDIRECT(ADDRESS(2,COLUMN())),OFFSET($BN$2,0,0,ROW()-1,60),ROW()-1,FALSE))</f>
        <v>2608.223</v>
      </c>
      <c r="P50">
        <f ca="1">IF(AND(ISNUMBER($P$281),$B$183=1),$P$281,HLOOKUP(INDIRECT(ADDRESS(2,COLUMN())),OFFSET($BN$2,0,0,ROW()-1,60),ROW()-1,FALSE))</f>
        <v>2585.308</v>
      </c>
      <c r="Q50">
        <f ca="1">IF(AND(ISNUMBER($Q$281),$B$183=1),$Q$281,HLOOKUP(INDIRECT(ADDRESS(2,COLUMN())),OFFSET($BN$2,0,0,ROW()-1,60),ROW()-1,FALSE))</f>
        <v>2174.2020000000002</v>
      </c>
      <c r="R50">
        <f ca="1">IF(AND(ISNUMBER($R$281),$B$183=1),$R$281,HLOOKUP(INDIRECT(ADDRESS(2,COLUMN())),OFFSET($BN$2,0,0,ROW()-1,60),ROW()-1,FALSE))</f>
        <v>1930.0360000000001</v>
      </c>
      <c r="S50">
        <f ca="1">IF(AND(ISNUMBER($S$281),$B$183=1),$S$281,HLOOKUP(INDIRECT(ADDRESS(2,COLUMN())),OFFSET($BN$2,0,0,ROW()-1,60),ROW()-1,FALSE))</f>
        <v>1187.867</v>
      </c>
      <c r="T50">
        <f ca="1">IF(AND(ISNUMBER($T$281),$B$183=1),$T$281,HLOOKUP(INDIRECT(ADDRESS(2,COLUMN())),OFFSET($BN$2,0,0,ROW()-1,60),ROW()-1,FALSE))</f>
        <v>1181.194</v>
      </c>
      <c r="U50">
        <f ca="1">IF(AND(ISNUMBER($U$281),$B$183=1),$U$281,HLOOKUP(INDIRECT(ADDRESS(2,COLUMN())),OFFSET($BN$2,0,0,ROW()-1,60),ROW()-1,FALSE))</f>
        <v>1100.703</v>
      </c>
      <c r="V50">
        <f ca="1">IF(AND(ISNUMBER($V$281),$B$183=1),$V$281,HLOOKUP(INDIRECT(ADDRESS(2,COLUMN())),OFFSET($BN$2,0,0,ROW()-1,60),ROW()-1,FALSE))</f>
        <v>979.84199999999998</v>
      </c>
      <c r="W50">
        <f ca="1">IF(AND(ISNUMBER($W$281),$B$183=1),$W$281,HLOOKUP(INDIRECT(ADDRESS(2,COLUMN())),OFFSET($BN$2,0,0,ROW()-1,60),ROW()-1,FALSE))</f>
        <v>961.61</v>
      </c>
      <c r="X50">
        <f ca="1">IF(AND(ISNUMBER($X$281),$B$183=1),$X$281,HLOOKUP(INDIRECT(ADDRESS(2,COLUMN())),OFFSET($BN$2,0,0,ROW()-1,60),ROW()-1,FALSE))</f>
        <v>956.85400000000004</v>
      </c>
      <c r="Y50">
        <f ca="1">IF(AND(ISNUMBER($Y$281),$B$183=1),$Y$281,HLOOKUP(INDIRECT(ADDRESS(2,COLUMN())),OFFSET($BN$2,0,0,ROW()-1,60),ROW()-1,FALSE))</f>
        <v>887.64700000000005</v>
      </c>
      <c r="Z50">
        <f ca="1">IF(AND(ISNUMBER($Z$281),$B$183=1),$Z$281,HLOOKUP(INDIRECT(ADDRESS(2,COLUMN())),OFFSET($BN$2,0,0,ROW()-1,60),ROW()-1,FALSE))</f>
        <v>791.23699999999997</v>
      </c>
      <c r="AA50">
        <f ca="1">IF(AND(ISNUMBER($AA$281),$B$183=1),$AA$281,HLOOKUP(INDIRECT(ADDRESS(2,COLUMN())),OFFSET($BN$2,0,0,ROW()-1,60),ROW()-1,FALSE))</f>
        <v>703.553</v>
      </c>
      <c r="AB50">
        <f ca="1">IF(AND(ISNUMBER($AB$281),$B$183=1),$AB$281,HLOOKUP(INDIRECT(ADDRESS(2,COLUMN())),OFFSET($BN$2,0,0,ROW()-1,60),ROW()-1,FALSE))</f>
        <v>712.39200000000005</v>
      </c>
      <c r="AC50">
        <f ca="1">IF(AND(ISNUMBER($AC$281),$B$183=1),$AC$281,HLOOKUP(INDIRECT(ADDRESS(2,COLUMN())),OFFSET($BN$2,0,0,ROW()-1,60),ROW()-1,FALSE))</f>
        <v>709.28399999999999</v>
      </c>
      <c r="AD50">
        <f ca="1">IF(AND(ISNUMBER($AD$281),$B$183=1),$AD$281,HLOOKUP(INDIRECT(ADDRESS(2,COLUMN())),OFFSET($BN$2,0,0,ROW()-1,60),ROW()-1,FALSE))</f>
        <v>724.42200000000003</v>
      </c>
      <c r="AE50">
        <f ca="1">IF(AND(ISNUMBER($AE$281),$B$183=1),$AE$281,HLOOKUP(INDIRECT(ADDRESS(2,COLUMN())),OFFSET($BN$2,0,0,ROW()-1,60),ROW()-1,FALSE))</f>
        <v>682.33900000000006</v>
      </c>
      <c r="AF50">
        <f ca="1">IF(AND(ISNUMBER($AF$281),$B$183=1),$AF$281,HLOOKUP(INDIRECT(ADDRESS(2,COLUMN())),OFFSET($BN$2,0,0,ROW()-1,60),ROW()-1,FALSE))</f>
        <v>694.52200000000005</v>
      </c>
      <c r="AG50">
        <f ca="1">IF(AND(ISNUMBER($AG$281),$B$183=1),$AG$281,HLOOKUP(INDIRECT(ADDRESS(2,COLUMN())),OFFSET($BN$2,0,0,ROW()-1,60),ROW()-1,FALSE))</f>
        <v>682.03</v>
      </c>
      <c r="AH50">
        <f ca="1">IF(AND(ISNUMBER($AH$281),$B$183=1),$AH$281,HLOOKUP(INDIRECT(ADDRESS(2,COLUMN())),OFFSET($BN$2,0,0,ROW()-1,60),ROW()-1,FALSE))</f>
        <v>678.33399999999995</v>
      </c>
      <c r="AI50">
        <f ca="1">IF(AND(ISNUMBER($AI$281),$B$183=1),$AI$281,HLOOKUP(INDIRECT(ADDRESS(2,COLUMN())),OFFSET($BN$2,0,0,ROW()-1,60),ROW()-1,FALSE))</f>
        <v>627.80999999999995</v>
      </c>
      <c r="AJ50">
        <f ca="1">IF(AND(ISNUMBER($AJ$281),$B$183=1),$AJ$281,HLOOKUP(INDIRECT(ADDRESS(2,COLUMN())),OFFSET($BN$2,0,0,ROW()-1,60),ROW()-1,FALSE))</f>
        <v>622.92999999999995</v>
      </c>
      <c r="AK50">
        <f ca="1">IF(AND(ISNUMBER($AK$281),$B$183=1),$AK$281,HLOOKUP(INDIRECT(ADDRESS(2,COLUMN())),OFFSET($BN$2,0,0,ROW()-1,60),ROW()-1,FALSE))</f>
        <v>605.26099999999997</v>
      </c>
      <c r="AL50">
        <f ca="1">IF(AND(ISNUMBER($AL$281),$B$183=1),$AL$281,HLOOKUP(INDIRECT(ADDRESS(2,COLUMN())),OFFSET($BN$2,0,0,ROW()-1,60),ROW()-1,FALSE))</f>
        <v>615.26300000000003</v>
      </c>
      <c r="AM50">
        <f ca="1">IF(AND(ISNUMBER($AM$281),$B$183=1),$AM$281,HLOOKUP(INDIRECT(ADDRESS(2,COLUMN())),OFFSET($BN$2,0,0,ROW()-1,60),ROW()-1,FALSE))</f>
        <v>610.77200000000005</v>
      </c>
      <c r="AN50">
        <f ca="1">IF(AND(ISNUMBER($AN$281),$B$183=1),$AN$281,HLOOKUP(INDIRECT(ADDRESS(2,COLUMN())),OFFSET($BN$2,0,0,ROW()-1,60),ROW()-1,FALSE))</f>
        <v>614.92399999999998</v>
      </c>
      <c r="AO50">
        <f ca="1">IF(AND(ISNUMBER($AO$281),$B$183=1),$AO$281,HLOOKUP(INDIRECT(ADDRESS(2,COLUMN())),OFFSET($BN$2,0,0,ROW()-1,60),ROW()-1,FALSE))</f>
        <v>610.45899999999995</v>
      </c>
      <c r="AP50">
        <f ca="1">IF(AND(ISNUMBER($AP$281),$B$183=1),$AP$281,HLOOKUP(INDIRECT(ADDRESS(2,COLUMN())),OFFSET($BN$2,0,0,ROW()-1,60),ROW()-1,FALSE))</f>
        <v>623.03549999999996</v>
      </c>
      <c r="AQ50">
        <f ca="1">IF(AND(ISNUMBER($AQ$281),$B$183=1),$AQ$281,HLOOKUP(INDIRECT(ADDRESS(2,COLUMN())),OFFSET($BN$2,0,0,ROW()-1,60),ROW()-1,FALSE))</f>
        <v>626.88199999999995</v>
      </c>
      <c r="AR50">
        <f ca="1">IF(AND(ISNUMBER($AR$281),$B$183=1),$AR$281,HLOOKUP(INDIRECT(ADDRESS(2,COLUMN())),OFFSET($BN$2,0,0,ROW()-1,60),ROW()-1,FALSE))</f>
        <v>652.38699999999994</v>
      </c>
      <c r="AS50">
        <f ca="1">IF(AND(ISNUMBER($AS$281),$B$183=1),$AS$281,HLOOKUP(INDIRECT(ADDRESS(2,COLUMN())),OFFSET($BN$2,0,0,ROW()-1,60),ROW()-1,FALSE))</f>
        <v>603.33500000000004</v>
      </c>
      <c r="AT50">
        <f ca="1">IF(AND(ISNUMBER($AT$281),$B$183=1),$AT$281,HLOOKUP(INDIRECT(ADDRESS(2,COLUMN())),OFFSET($BN$2,0,0,ROW()-1,60),ROW()-1,FALSE))</f>
        <v>621.62649999999996</v>
      </c>
      <c r="AU50">
        <f ca="1">IF(AND(ISNUMBER($AU$281),$B$183=1),$AU$281,HLOOKUP(INDIRECT(ADDRESS(2,COLUMN())),OFFSET($BN$2,0,0,ROW()-1,60),ROW()-1,FALSE))</f>
        <v>649.36300000000006</v>
      </c>
      <c r="AV50">
        <f ca="1">IF(AND(ISNUMBER($AV$281),$B$183=1),$AV$281,HLOOKUP(INDIRECT(ADDRESS(2,COLUMN())),OFFSET($BN$2,0,0,ROW()-1,60),ROW()-1,FALSE))</f>
        <v>681.73</v>
      </c>
      <c r="AW50">
        <f ca="1">IF(AND(ISNUMBER($AW$281),$B$183=1),$AW$281,HLOOKUP(INDIRECT(ADDRESS(2,COLUMN())),OFFSET($BN$2,0,0,ROW()-1,60),ROW()-1,FALSE))</f>
        <v>682.27099999999996</v>
      </c>
      <c r="AX50">
        <f ca="1">IF(AND(ISNUMBER($AX$281),$B$183=1),$AX$281,HLOOKUP(INDIRECT(ADDRESS(2,COLUMN())),OFFSET($BN$2,0,0,ROW()-1,60),ROW()-1,FALSE))</f>
        <v>624.79549999999995</v>
      </c>
      <c r="AY50">
        <f ca="1">IF(AND(ISNUMBER($AY$281),$B$183=1),$AY$281,HLOOKUP(INDIRECT(ADDRESS(2,COLUMN())),OFFSET($BN$2,0,0,ROW()-1,60),ROW()-1,FALSE))</f>
        <v>710.78399999999999</v>
      </c>
      <c r="AZ50">
        <f ca="1">IF(AND(ISNUMBER($AZ$281),$B$183=1),$AZ$281,HLOOKUP(INDIRECT(ADDRESS(2,COLUMN())),OFFSET($BN$2,0,0,ROW()-1,60),ROW()-1,FALSE))</f>
        <v>739.71100000000001</v>
      </c>
      <c r="BA50">
        <f ca="1">IF(AND(ISNUMBER($BA$281),$B$183=1),$BA$281,HLOOKUP(INDIRECT(ADDRESS(2,COLUMN())),OFFSET($BN$2,0,0,ROW()-1,60),ROW()-1,FALSE))</f>
        <v>703.11599999999999</v>
      </c>
      <c r="BB50">
        <f ca="1">IF(AND(ISNUMBER($BB$281),$B$183=1),$BB$281,HLOOKUP(INDIRECT(ADDRESS(2,COLUMN())),OFFSET($BN$2,0,0,ROW()-1,60),ROW()-1,FALSE))</f>
        <v>709.35649999999998</v>
      </c>
      <c r="BC50">
        <f ca="1">IF(AND(ISNUMBER($BC$281),$B$183=1),$BC$281,HLOOKUP(INDIRECT(ADDRESS(2,COLUMN())),OFFSET($BN$2,0,0,ROW()-1,60),ROW()-1,FALSE))</f>
        <v>611.05499999999995</v>
      </c>
      <c r="BD50">
        <f ca="1">IF(AND(ISNUMBER($BD$281),$B$183=1),$BD$281,HLOOKUP(INDIRECT(ADDRESS(2,COLUMN())),OFFSET($BN$2,0,0,ROW()-1,60),ROW()-1,FALSE))</f>
        <v>590.66800000000001</v>
      </c>
      <c r="BE50">
        <f ca="1">IF(AND(ISNUMBER($BE$281),$B$183=1),$BE$281,HLOOKUP(INDIRECT(ADDRESS(2,COLUMN())),OFFSET($BN$2,0,0,ROW()-1,60),ROW()-1,FALSE))</f>
        <v>529.10400000000004</v>
      </c>
      <c r="BF50">
        <f ca="1">IF(AND(ISNUMBER($BF$281),$B$183=1),$BF$281,HLOOKUP(INDIRECT(ADDRESS(2,COLUMN())),OFFSET($BN$2,0,0,ROW()-1,60),ROW()-1,FALSE))</f>
        <v>528.23199999999997</v>
      </c>
      <c r="BG50">
        <f ca="1">IF(AND(ISNUMBER($BG$281),$B$183=1),$BG$281,HLOOKUP(INDIRECT(ADDRESS(2,COLUMN())),OFFSET($BN$2,0,0,ROW()-1,60),ROW()-1,FALSE))</f>
        <v>487.67200000000003</v>
      </c>
      <c r="BH50">
        <f ca="1">IF(AND(ISNUMBER($BH$281),$B$183=1),$BH$281,HLOOKUP(INDIRECT(ADDRESS(2,COLUMN())),OFFSET($BN$2,0,0,ROW()-1,60),ROW()-1,FALSE))</f>
        <v>505.53449999999998</v>
      </c>
      <c r="BI50">
        <f ca="1">IF(AND(ISNUMBER($BI$281),$B$183=1),$BI$281,HLOOKUP(INDIRECT(ADDRESS(2,COLUMN())),OFFSET($BN$2,0,0,ROW()-1,60),ROW()-1,FALSE))</f>
        <v>487.428</v>
      </c>
      <c r="BJ50">
        <f ca="1">IF(AND(ISNUMBER($BJ$281),$B$183=1),$BJ$281,HLOOKUP(INDIRECT(ADDRESS(2,COLUMN())),OFFSET($BN$2,0,0,ROW()-1,60),ROW()-1,FALSE))</f>
        <v>520.06849999999997</v>
      </c>
      <c r="BK50">
        <f ca="1">IF(AND(ISNUMBER($BK$281),$B$183=1),$BK$281,HLOOKUP(INDIRECT(ADDRESS(2,COLUMN())),OFFSET($BN$2,0,0,ROW()-1,60),ROW()-1,FALSE))</f>
        <v>469.80700000000002</v>
      </c>
      <c r="BL50">
        <f ca="1">IF(AND(ISNUMBER($BL$281),$B$183=1),$BL$281,HLOOKUP(INDIRECT(ADDRESS(2,COLUMN())),OFFSET($BN$2,0,0,ROW()-1,60),ROW()-1,FALSE))</f>
        <v>469.27</v>
      </c>
      <c r="BM50">
        <f ca="1">IF(AND(ISNUMBER($BM$281),$B$183=1),$BM$281,HLOOKUP(INDIRECT(ADDRESS(2,COLUMN())),OFFSET($BN$2,0,0,ROW()-1,60),ROW()-1,FALSE))</f>
        <v>473.38200000000001</v>
      </c>
      <c r="BN50">
        <f>1745.771169</f>
        <v>1745.7711690000001</v>
      </c>
      <c r="BO50">
        <f>1727.108</f>
        <v>1727.1079999999999</v>
      </c>
      <c r="BP50">
        <f>1666.732</f>
        <v>1666.732</v>
      </c>
      <c r="BQ50">
        <f>1604.214</f>
        <v>1604.2139999999999</v>
      </c>
      <c r="BR50">
        <f>1469.271</f>
        <v>1469.271</v>
      </c>
      <c r="BS50">
        <f>1598.567</f>
        <v>1598.567</v>
      </c>
      <c r="BT50">
        <f>1526.381</f>
        <v>1526.3810000000001</v>
      </c>
      <c r="BU50">
        <f>1422.507</f>
        <v>1422.5070000000001</v>
      </c>
      <c r="BV50">
        <f>1412.604</f>
        <v>1412.604</v>
      </c>
      <c r="BW50">
        <f>2608.223</f>
        <v>2608.223</v>
      </c>
      <c r="BX50">
        <f>2585.308</f>
        <v>2585.308</v>
      </c>
      <c r="BY50">
        <f>2174.202</f>
        <v>2174.2020000000002</v>
      </c>
      <c r="BZ50">
        <f>1930.036</f>
        <v>1930.0360000000001</v>
      </c>
      <c r="CA50">
        <f>1187.867</f>
        <v>1187.867</v>
      </c>
      <c r="CB50">
        <f>1181.194</f>
        <v>1181.194</v>
      </c>
      <c r="CC50">
        <f>1100.703</f>
        <v>1100.703</v>
      </c>
      <c r="CD50">
        <f>979.842</f>
        <v>979.84199999999998</v>
      </c>
      <c r="CE50">
        <f>961.61</f>
        <v>961.61</v>
      </c>
      <c r="CF50">
        <f>956.854</f>
        <v>956.85400000000004</v>
      </c>
      <c r="CG50">
        <f>887.647</f>
        <v>887.64700000000005</v>
      </c>
      <c r="CH50">
        <f>791.237</f>
        <v>791.23699999999997</v>
      </c>
      <c r="CI50">
        <f>703.553</f>
        <v>703.553</v>
      </c>
      <c r="CJ50">
        <f>712.392</f>
        <v>712.39200000000005</v>
      </c>
      <c r="CK50">
        <f>709.284</f>
        <v>709.28399999999999</v>
      </c>
      <c r="CL50">
        <f>724.422</f>
        <v>724.42200000000003</v>
      </c>
      <c r="CM50">
        <f>682.339</f>
        <v>682.33900000000006</v>
      </c>
      <c r="CN50">
        <f>694.522</f>
        <v>694.52200000000005</v>
      </c>
      <c r="CO50">
        <f>682.03</f>
        <v>682.03</v>
      </c>
      <c r="CP50">
        <f>678.334</f>
        <v>678.33399999999995</v>
      </c>
      <c r="CQ50">
        <f>627.81</f>
        <v>627.80999999999995</v>
      </c>
      <c r="CR50">
        <f>622.93</f>
        <v>622.92999999999995</v>
      </c>
      <c r="CS50">
        <f>605.261</f>
        <v>605.26099999999997</v>
      </c>
      <c r="CT50">
        <f>615.263</f>
        <v>615.26300000000003</v>
      </c>
      <c r="CU50">
        <f>610.772</f>
        <v>610.77200000000005</v>
      </c>
      <c r="CV50">
        <f>614.924</f>
        <v>614.92399999999998</v>
      </c>
      <c r="CW50">
        <f>610.459</f>
        <v>610.45899999999995</v>
      </c>
      <c r="CX50">
        <f>623.0355</f>
        <v>623.03549999999996</v>
      </c>
      <c r="CY50">
        <f>626.882</f>
        <v>626.88199999999995</v>
      </c>
      <c r="CZ50">
        <f>652.387</f>
        <v>652.38699999999994</v>
      </c>
      <c r="DA50">
        <f>603.335</f>
        <v>603.33500000000004</v>
      </c>
      <c r="DB50">
        <f>621.6265</f>
        <v>621.62649999999996</v>
      </c>
      <c r="DC50">
        <f>649.363</f>
        <v>649.36300000000006</v>
      </c>
      <c r="DD50">
        <f>681.73</f>
        <v>681.73</v>
      </c>
      <c r="DE50">
        <f>682.271</f>
        <v>682.27099999999996</v>
      </c>
      <c r="DF50">
        <f>624.7955</f>
        <v>624.79549999999995</v>
      </c>
      <c r="DG50">
        <f>710.784</f>
        <v>710.78399999999999</v>
      </c>
      <c r="DH50">
        <f>739.711</f>
        <v>739.71100000000001</v>
      </c>
      <c r="DI50">
        <f>703.116</f>
        <v>703.11599999999999</v>
      </c>
      <c r="DJ50">
        <f>709.3565</f>
        <v>709.35649999999998</v>
      </c>
      <c r="DK50">
        <f>611.055</f>
        <v>611.05499999999995</v>
      </c>
      <c r="DL50">
        <f>590.668</f>
        <v>590.66800000000001</v>
      </c>
      <c r="DM50">
        <f>529.104</f>
        <v>529.10400000000004</v>
      </c>
      <c r="DN50">
        <f>528.232</f>
        <v>528.23199999999997</v>
      </c>
      <c r="DO50">
        <f>487.672</f>
        <v>487.67200000000003</v>
      </c>
      <c r="DP50">
        <f>505.5345</f>
        <v>505.53449999999998</v>
      </c>
      <c r="DQ50">
        <f>487.428</f>
        <v>487.428</v>
      </c>
      <c r="DR50">
        <f>520.0685</f>
        <v>520.06849999999997</v>
      </c>
      <c r="DS50">
        <f>469.807</f>
        <v>469.80700000000002</v>
      </c>
      <c r="DT50">
        <f>469.27</f>
        <v>469.27</v>
      </c>
      <c r="DU50">
        <f>473.382</f>
        <v>473.38200000000001</v>
      </c>
    </row>
    <row r="51" spans="1:125">
      <c r="A51" t="str">
        <f>"    Lodging/Resort REITs"</f>
        <v xml:space="preserve">    Lodging/Resort REITs</v>
      </c>
      <c r="B51" t="str">
        <f>"RECFNOLR Index"</f>
        <v>RECFNOLR Index</v>
      </c>
      <c r="C51" t="str">
        <f t="shared" si="7"/>
        <v>PR005</v>
      </c>
      <c r="D51" t="str">
        <f t="shared" si="8"/>
        <v>PX_LAST</v>
      </c>
      <c r="E51" t="str">
        <f t="shared" si="9"/>
        <v>动态</v>
      </c>
      <c r="F51">
        <f ca="1">IF(AND(ISNUMBER($F$282),$B$183=1),$F$282,HLOOKUP(INDIRECT(ADDRESS(2,COLUMN())),OFFSET($BN$2,0,0,ROW()-1,60),ROW()-1,FALSE))</f>
        <v>1861.1641669999999</v>
      </c>
      <c r="G51">
        <f ca="1">IF(AND(ISNUMBER($G$282),$B$183=1),$G$282,HLOOKUP(INDIRECT(ADDRESS(2,COLUMN())),OFFSET($BN$2,0,0,ROW()-1,60),ROW()-1,FALSE))</f>
        <v>1801.1020000000001</v>
      </c>
      <c r="H51">
        <f ca="1">IF(AND(ISNUMBER($H$282),$B$183=1),$H$282,HLOOKUP(INDIRECT(ADDRESS(2,COLUMN())),OFFSET($BN$2,0,0,ROW()-1,60),ROW()-1,FALSE))</f>
        <v>2150.373</v>
      </c>
      <c r="I51">
        <f ca="1">IF(AND(ISNUMBER($I$282),$B$183=1),$I$282,HLOOKUP(INDIRECT(ADDRESS(2,COLUMN())),OFFSET($BN$2,0,0,ROW()-1,60),ROW()-1,FALSE))</f>
        <v>1693.934</v>
      </c>
      <c r="J51">
        <f ca="1">IF(AND(ISNUMBER($J$282),$B$183=1),$J$282,HLOOKUP(INDIRECT(ADDRESS(2,COLUMN())),OFFSET($BN$2,0,0,ROW()-1,60),ROW()-1,FALSE))</f>
        <v>1554.12</v>
      </c>
      <c r="K51">
        <f ca="1">IF(AND(ISNUMBER($K$282),$B$183=1),$K$282,HLOOKUP(INDIRECT(ADDRESS(2,COLUMN())),OFFSET($BN$2,0,0,ROW()-1,60),ROW()-1,FALSE))</f>
        <v>1711.67</v>
      </c>
      <c r="L51">
        <f ca="1">IF(AND(ISNUMBER($L$282),$B$183=1),$L$282,HLOOKUP(INDIRECT(ADDRESS(2,COLUMN())),OFFSET($BN$2,0,0,ROW()-1,60),ROW()-1,FALSE))</f>
        <v>1979.1890000000001</v>
      </c>
      <c r="M51">
        <f ca="1">IF(AND(ISNUMBER($M$282),$B$183=1),$M$282,HLOOKUP(INDIRECT(ADDRESS(2,COLUMN())),OFFSET($BN$2,0,0,ROW()-1,60),ROW()-1,FALSE))</f>
        <v>1476.9269999999999</v>
      </c>
      <c r="N51">
        <f ca="1">IF(AND(ISNUMBER($N$282),$B$183=1),$N$282,HLOOKUP(INDIRECT(ADDRESS(2,COLUMN())),OFFSET($BN$2,0,0,ROW()-1,60),ROW()-1,FALSE))</f>
        <v>1544.922</v>
      </c>
      <c r="O51">
        <f ca="1">IF(AND(ISNUMBER($O$282),$B$183=1),$O$282,HLOOKUP(INDIRECT(ADDRESS(2,COLUMN())),OFFSET($BN$2,0,0,ROW()-1,60),ROW()-1,FALSE))</f>
        <v>1759.355</v>
      </c>
      <c r="P51">
        <f ca="1">IF(AND(ISNUMBER($P$282),$B$183=1),$P$282,HLOOKUP(INDIRECT(ADDRESS(2,COLUMN())),OFFSET($BN$2,0,0,ROW()-1,60),ROW()-1,FALSE))</f>
        <v>1965.56</v>
      </c>
      <c r="Q51">
        <f ca="1">IF(AND(ISNUMBER($Q$282),$B$183=1),$Q$282,HLOOKUP(INDIRECT(ADDRESS(2,COLUMN())),OFFSET($BN$2,0,0,ROW()-1,60),ROW()-1,FALSE))</f>
        <v>1355.3869999999999</v>
      </c>
      <c r="R51">
        <f ca="1">IF(AND(ISNUMBER($R$282),$B$183=1),$R$282,HLOOKUP(INDIRECT(ADDRESS(2,COLUMN())),OFFSET($BN$2,0,0,ROW()-1,60),ROW()-1,FALSE))</f>
        <v>1329.846</v>
      </c>
      <c r="S51">
        <f ca="1">IF(AND(ISNUMBER($S$282),$B$183=1),$S$282,HLOOKUP(INDIRECT(ADDRESS(2,COLUMN())),OFFSET($BN$2,0,0,ROW()-1,60),ROW()-1,FALSE))</f>
        <v>1436.298</v>
      </c>
      <c r="T51">
        <f ca="1">IF(AND(ISNUMBER($T$282),$B$183=1),$T$282,HLOOKUP(INDIRECT(ADDRESS(2,COLUMN())),OFFSET($BN$2,0,0,ROW()-1,60),ROW()-1,FALSE))</f>
        <v>1559.06</v>
      </c>
      <c r="U51">
        <f ca="1">IF(AND(ISNUMBER($U$282),$B$183=1),$U$282,HLOOKUP(INDIRECT(ADDRESS(2,COLUMN())),OFFSET($BN$2,0,0,ROW()-1,60),ROW()-1,FALSE))</f>
        <v>1072.5029999999999</v>
      </c>
      <c r="V51">
        <f ca="1">IF(AND(ISNUMBER($V$282),$B$183=1),$V$282,HLOOKUP(INDIRECT(ADDRESS(2,COLUMN())),OFFSET($BN$2,0,0,ROW()-1,60),ROW()-1,FALSE))</f>
        <v>1186.6890000000001</v>
      </c>
      <c r="W51">
        <f ca="1">IF(AND(ISNUMBER($W$282),$B$183=1),$W$282,HLOOKUP(INDIRECT(ADDRESS(2,COLUMN())),OFFSET($BN$2,0,0,ROW()-1,60),ROW()-1,FALSE))</f>
        <v>1168.317</v>
      </c>
      <c r="X51">
        <f ca="1">IF(AND(ISNUMBER($X$282),$B$183=1),$X$282,HLOOKUP(INDIRECT(ADDRESS(2,COLUMN())),OFFSET($BN$2,0,0,ROW()-1,60),ROW()-1,FALSE))</f>
        <v>1382.6759999999999</v>
      </c>
      <c r="Y51">
        <f ca="1">IF(AND(ISNUMBER($Y$282),$B$183=1),$Y$282,HLOOKUP(INDIRECT(ADDRESS(2,COLUMN())),OFFSET($BN$2,0,0,ROW()-1,60),ROW()-1,FALSE))</f>
        <v>920.13699999999994</v>
      </c>
      <c r="Z51">
        <f ca="1">IF(AND(ISNUMBER($Z$282),$B$183=1),$Z$282,HLOOKUP(INDIRECT(ADDRESS(2,COLUMN())),OFFSET($BN$2,0,0,ROW()-1,60),ROW()-1,FALSE))</f>
        <v>1205.463</v>
      </c>
      <c r="AA51">
        <f ca="1">IF(AND(ISNUMBER($AA$282),$B$183=1),$AA$282,HLOOKUP(INDIRECT(ADDRESS(2,COLUMN())),OFFSET($BN$2,0,0,ROW()-1,60),ROW()-1,FALSE))</f>
        <v>974.35400000000004</v>
      </c>
      <c r="AB51">
        <f ca="1">IF(AND(ISNUMBER($AB$282),$B$183=1),$AB$282,HLOOKUP(INDIRECT(ADDRESS(2,COLUMN())),OFFSET($BN$2,0,0,ROW()-1,60),ROW()-1,FALSE))</f>
        <v>1134.184</v>
      </c>
      <c r="AC51">
        <f ca="1">IF(AND(ISNUMBER($AC$282),$B$183=1),$AC$282,HLOOKUP(INDIRECT(ADDRESS(2,COLUMN())),OFFSET($BN$2,0,0,ROW()-1,60),ROW()-1,FALSE))</f>
        <v>720.452</v>
      </c>
      <c r="AD51">
        <f ca="1">IF(AND(ISNUMBER($AD$282),$B$183=1),$AD$282,HLOOKUP(INDIRECT(ADDRESS(2,COLUMN())),OFFSET($BN$2,0,0,ROW()-1,60),ROW()-1,FALSE))</f>
        <v>1010.73</v>
      </c>
      <c r="AE51">
        <f ca="1">IF(AND(ISNUMBER($AE$282),$B$183=1),$AE$282,HLOOKUP(INDIRECT(ADDRESS(2,COLUMN())),OFFSET($BN$2,0,0,ROW()-1,60),ROW()-1,FALSE))</f>
        <v>859.774</v>
      </c>
      <c r="AF51">
        <f ca="1">IF(AND(ISNUMBER($AF$282),$B$183=1),$AF$282,HLOOKUP(INDIRECT(ADDRESS(2,COLUMN())),OFFSET($BN$2,0,0,ROW()-1,60),ROW()-1,FALSE))</f>
        <v>1022.5</v>
      </c>
      <c r="AG51">
        <f ca="1">IF(AND(ISNUMBER($AG$282),$B$183=1),$AG$282,HLOOKUP(INDIRECT(ADDRESS(2,COLUMN())),OFFSET($BN$2,0,0,ROW()-1,60),ROW()-1,FALSE))</f>
        <v>582.66899999999998</v>
      </c>
      <c r="AH51">
        <f ca="1">IF(AND(ISNUMBER($AH$282),$B$183=1),$AH$282,HLOOKUP(INDIRECT(ADDRESS(2,COLUMN())),OFFSET($BN$2,0,0,ROW()-1,60),ROW()-1,FALSE))</f>
        <v>797.02</v>
      </c>
      <c r="AI51">
        <f ca="1">IF(AND(ISNUMBER($AI$282),$B$183=1),$AI$282,HLOOKUP(INDIRECT(ADDRESS(2,COLUMN())),OFFSET($BN$2,0,0,ROW()-1,60),ROW()-1,FALSE))</f>
        <v>640.73500000000001</v>
      </c>
      <c r="AJ51">
        <f ca="1">IF(AND(ISNUMBER($AJ$282),$B$183=1),$AJ$282,HLOOKUP(INDIRECT(ADDRESS(2,COLUMN())),OFFSET($BN$2,0,0,ROW()-1,60),ROW()-1,FALSE))</f>
        <v>777.73199999999997</v>
      </c>
      <c r="AK51">
        <f ca="1">IF(AND(ISNUMBER($AK$282),$B$183=1),$AK$282,HLOOKUP(INDIRECT(ADDRESS(2,COLUMN())),OFFSET($BN$2,0,0,ROW()-1,60),ROW()-1,FALSE))</f>
        <v>520.98099999999999</v>
      </c>
      <c r="AL51">
        <f ca="1">IF(AND(ISNUMBER($AL$282),$B$183=1),$AL$282,HLOOKUP(INDIRECT(ADDRESS(2,COLUMN())),OFFSET($BN$2,0,0,ROW()-1,60),ROW()-1,FALSE))</f>
        <v>685.03300000000002</v>
      </c>
      <c r="AM51">
        <f ca="1">IF(AND(ISNUMBER($AM$282),$B$183=1),$AM$282,HLOOKUP(INDIRECT(ADDRESS(2,COLUMN())),OFFSET($BN$2,0,0,ROW()-1,60),ROW()-1,FALSE))</f>
        <v>567.798</v>
      </c>
      <c r="AN51">
        <f ca="1">IF(AND(ISNUMBER($AN$282),$B$183=1),$AN$282,HLOOKUP(INDIRECT(ADDRESS(2,COLUMN())),OFFSET($BN$2,0,0,ROW()-1,60),ROW()-1,FALSE))</f>
        <v>725.41200000000003</v>
      </c>
      <c r="AO51">
        <f ca="1">IF(AND(ISNUMBER($AO$282),$B$183=1),$AO$282,HLOOKUP(INDIRECT(ADDRESS(2,COLUMN())),OFFSET($BN$2,0,0,ROW()-1,60),ROW()-1,FALSE))</f>
        <v>579.10500000000002</v>
      </c>
      <c r="AP51">
        <f ca="1">IF(AND(ISNUMBER($AP$282),$B$183=1),$AP$282,HLOOKUP(INDIRECT(ADDRESS(2,COLUMN())),OFFSET($BN$2,0,0,ROW()-1,60),ROW()-1,FALSE))</f>
        <v>753.13199999999995</v>
      </c>
      <c r="AQ51">
        <f ca="1">IF(AND(ISNUMBER($AQ$282),$B$183=1),$AQ$282,HLOOKUP(INDIRECT(ADDRESS(2,COLUMN())),OFFSET($BN$2,0,0,ROW()-1,60),ROW()-1,FALSE))</f>
        <v>830.98800000000006</v>
      </c>
      <c r="AR51">
        <f ca="1">IF(AND(ISNUMBER($AR$282),$B$183=1),$AR$282,HLOOKUP(INDIRECT(ADDRESS(2,COLUMN())),OFFSET($BN$2,0,0,ROW()-1,60),ROW()-1,FALSE))</f>
        <v>1092.9369999999999</v>
      </c>
      <c r="AS51">
        <f ca="1">IF(AND(ISNUMBER($AS$282),$B$183=1),$AS$282,HLOOKUP(INDIRECT(ADDRESS(2,COLUMN())),OFFSET($BN$2,0,0,ROW()-1,60),ROW()-1,FALSE))</f>
        <v>796.11800000000005</v>
      </c>
      <c r="AT51">
        <f ca="1">IF(AND(ISNUMBER($AT$282),$B$183=1),$AT$282,HLOOKUP(INDIRECT(ADDRESS(2,COLUMN())),OFFSET($BN$2,0,0,ROW()-1,60),ROW()-1,FALSE))</f>
        <v>889.23199999999997</v>
      </c>
      <c r="AU51">
        <f ca="1">IF(AND(ISNUMBER($AU$282),$B$183=1),$AU$282,HLOOKUP(INDIRECT(ADDRESS(2,COLUMN())),OFFSET($BN$2,0,0,ROW()-1,60),ROW()-1,FALSE))</f>
        <v>888.36199999999997</v>
      </c>
      <c r="AV51">
        <f ca="1">IF(AND(ISNUMBER($AV$282),$B$183=1),$AV$282,HLOOKUP(INDIRECT(ADDRESS(2,COLUMN())),OFFSET($BN$2,0,0,ROW()-1,60),ROW()-1,FALSE))</f>
        <v>1139.521</v>
      </c>
      <c r="AW51">
        <f ca="1">IF(AND(ISNUMBER($AW$282),$B$183=1),$AW$282,HLOOKUP(INDIRECT(ADDRESS(2,COLUMN())),OFFSET($BN$2,0,0,ROW()-1,60),ROW()-1,FALSE))</f>
        <v>856.947</v>
      </c>
      <c r="AX51">
        <f ca="1">IF(AND(ISNUMBER($AX$282),$B$183=1),$AX$282,HLOOKUP(INDIRECT(ADDRESS(2,COLUMN())),OFFSET($BN$2,0,0,ROW()-1,60),ROW()-1,FALSE))</f>
        <v>1036.5889999999999</v>
      </c>
      <c r="AY51">
        <f ca="1">IF(AND(ISNUMBER($AY$282),$B$183=1),$AY$282,HLOOKUP(INDIRECT(ADDRESS(2,COLUMN())),OFFSET($BN$2,0,0,ROW()-1,60),ROW()-1,FALSE))</f>
        <v>824.65499999999997</v>
      </c>
      <c r="AZ51">
        <f ca="1">IF(AND(ISNUMBER($AZ$282),$B$183=1),$AZ$282,HLOOKUP(INDIRECT(ADDRESS(2,COLUMN())),OFFSET($BN$2,0,0,ROW()-1,60),ROW()-1,FALSE))</f>
        <v>968.85199999999998</v>
      </c>
      <c r="BA51">
        <f ca="1">IF(AND(ISNUMBER($BA$282),$B$183=1),$BA$282,HLOOKUP(INDIRECT(ADDRESS(2,COLUMN())),OFFSET($BN$2,0,0,ROW()-1,60),ROW()-1,FALSE))</f>
        <v>700.18499999999995</v>
      </c>
      <c r="BB51">
        <f ca="1">IF(AND(ISNUMBER($BB$282),$B$183=1),$BB$282,HLOOKUP(INDIRECT(ADDRESS(2,COLUMN())),OFFSET($BN$2,0,0,ROW()-1,60),ROW()-1,FALSE))</f>
        <v>835.43700000000001</v>
      </c>
      <c r="BC51">
        <f ca="1">IF(AND(ISNUMBER($BC$282),$B$183=1),$BC$282,HLOOKUP(INDIRECT(ADDRESS(2,COLUMN())),OFFSET($BN$2,0,0,ROW()-1,60),ROW()-1,FALSE))</f>
        <v>677.86500000000001</v>
      </c>
      <c r="BD51">
        <f ca="1">IF(AND(ISNUMBER($BD$282),$B$183=1),$BD$282,HLOOKUP(INDIRECT(ADDRESS(2,COLUMN())),OFFSET($BN$2,0,0,ROW()-1,60),ROW()-1,FALSE))</f>
        <v>795.98699999999997</v>
      </c>
      <c r="BE51">
        <f ca="1">IF(AND(ISNUMBER($BE$282),$B$183=1),$BE$282,HLOOKUP(INDIRECT(ADDRESS(2,COLUMN())),OFFSET($BN$2,0,0,ROW()-1,60),ROW()-1,FALSE))</f>
        <v>596.28</v>
      </c>
      <c r="BF51">
        <f ca="1">IF(AND(ISNUMBER($BF$282),$B$183=1),$BF$282,HLOOKUP(INDIRECT(ADDRESS(2,COLUMN())),OFFSET($BN$2,0,0,ROW()-1,60),ROW()-1,FALSE))</f>
        <v>612.92999999999995</v>
      </c>
      <c r="BG51">
        <f ca="1">IF(AND(ISNUMBER($BG$282),$B$183=1),$BG$282,HLOOKUP(INDIRECT(ADDRESS(2,COLUMN())),OFFSET($BN$2,0,0,ROW()-1,60),ROW()-1,FALSE))</f>
        <v>489.24900000000002</v>
      </c>
      <c r="BH51">
        <f ca="1">IF(AND(ISNUMBER($BH$282),$B$183=1),$BH$282,HLOOKUP(INDIRECT(ADDRESS(2,COLUMN())),OFFSET($BN$2,0,0,ROW()-1,60),ROW()-1,FALSE))</f>
        <v>581.43299999999999</v>
      </c>
      <c r="BI51">
        <f ca="1">IF(AND(ISNUMBER($BI$282),$B$183=1),$BI$282,HLOOKUP(INDIRECT(ADDRESS(2,COLUMN())),OFFSET($BN$2,0,0,ROW()-1,60),ROW()-1,FALSE))</f>
        <v>466.19499999999999</v>
      </c>
      <c r="BJ51">
        <f ca="1">IF(AND(ISNUMBER($BJ$282),$B$183=1),$BJ$282,HLOOKUP(INDIRECT(ADDRESS(2,COLUMN())),OFFSET($BN$2,0,0,ROW()-1,60),ROW()-1,FALSE))</f>
        <v>528.23</v>
      </c>
      <c r="BK51">
        <f ca="1">IF(AND(ISNUMBER($BK$282),$B$183=1),$BK$282,HLOOKUP(INDIRECT(ADDRESS(2,COLUMN())),OFFSET($BN$2,0,0,ROW()-1,60),ROW()-1,FALSE))</f>
        <v>428.26299999999998</v>
      </c>
      <c r="BL51">
        <f ca="1">IF(AND(ISNUMBER($BL$282),$B$183=1),$BL$282,HLOOKUP(INDIRECT(ADDRESS(2,COLUMN())),OFFSET($BN$2,0,0,ROW()-1,60),ROW()-1,FALSE))</f>
        <v>595.11199999999997</v>
      </c>
      <c r="BM51">
        <f ca="1">IF(AND(ISNUMBER($BM$282),$B$183=1),$BM$282,HLOOKUP(INDIRECT(ADDRESS(2,COLUMN())),OFFSET($BN$2,0,0,ROW()-1,60),ROW()-1,FALSE))</f>
        <v>523.30200000000002</v>
      </c>
      <c r="BN51">
        <f>1861.164167</f>
        <v>1861.1641669999999</v>
      </c>
      <c r="BO51">
        <f>1801.102</f>
        <v>1801.1020000000001</v>
      </c>
      <c r="BP51">
        <f>2150.373</f>
        <v>2150.373</v>
      </c>
      <c r="BQ51">
        <f>1693.934</f>
        <v>1693.934</v>
      </c>
      <c r="BR51">
        <f>1554.12</f>
        <v>1554.12</v>
      </c>
      <c r="BS51">
        <f>1711.67</f>
        <v>1711.67</v>
      </c>
      <c r="BT51">
        <f>1979.189</f>
        <v>1979.1890000000001</v>
      </c>
      <c r="BU51">
        <f>1476.927</f>
        <v>1476.9269999999999</v>
      </c>
      <c r="BV51">
        <f>1544.922</f>
        <v>1544.922</v>
      </c>
      <c r="BW51">
        <f>1759.355</f>
        <v>1759.355</v>
      </c>
      <c r="BX51">
        <f>1965.56</f>
        <v>1965.56</v>
      </c>
      <c r="BY51">
        <f>1355.387</f>
        <v>1355.3869999999999</v>
      </c>
      <c r="BZ51">
        <f>1329.846</f>
        <v>1329.846</v>
      </c>
      <c r="CA51">
        <f>1436.298</f>
        <v>1436.298</v>
      </c>
      <c r="CB51">
        <f>1559.06</f>
        <v>1559.06</v>
      </c>
      <c r="CC51">
        <f>1072.503</f>
        <v>1072.5029999999999</v>
      </c>
      <c r="CD51">
        <f>1186.689</f>
        <v>1186.6890000000001</v>
      </c>
      <c r="CE51">
        <f>1168.317</f>
        <v>1168.317</v>
      </c>
      <c r="CF51">
        <f>1382.676</f>
        <v>1382.6759999999999</v>
      </c>
      <c r="CG51">
        <f>920.137</f>
        <v>920.13699999999994</v>
      </c>
      <c r="CH51">
        <f>1205.463</f>
        <v>1205.463</v>
      </c>
      <c r="CI51">
        <f>974.354</f>
        <v>974.35400000000004</v>
      </c>
      <c r="CJ51">
        <f>1134.184</f>
        <v>1134.184</v>
      </c>
      <c r="CK51">
        <f>720.452</f>
        <v>720.452</v>
      </c>
      <c r="CL51">
        <f>1010.73</f>
        <v>1010.73</v>
      </c>
      <c r="CM51">
        <f>859.774</f>
        <v>859.774</v>
      </c>
      <c r="CN51">
        <f>1022.5</f>
        <v>1022.5</v>
      </c>
      <c r="CO51">
        <f>582.669</f>
        <v>582.66899999999998</v>
      </c>
      <c r="CP51">
        <f>797.02</f>
        <v>797.02</v>
      </c>
      <c r="CQ51">
        <f>640.735</f>
        <v>640.73500000000001</v>
      </c>
      <c r="CR51">
        <f>777.732</f>
        <v>777.73199999999997</v>
      </c>
      <c r="CS51">
        <f>520.981</f>
        <v>520.98099999999999</v>
      </c>
      <c r="CT51">
        <f>685.033</f>
        <v>685.03300000000002</v>
      </c>
      <c r="CU51">
        <f>567.798</f>
        <v>567.798</v>
      </c>
      <c r="CV51">
        <f>725.412</f>
        <v>725.41200000000003</v>
      </c>
      <c r="CW51">
        <f>579.105</f>
        <v>579.10500000000002</v>
      </c>
      <c r="CX51">
        <f>753.132</f>
        <v>753.13199999999995</v>
      </c>
      <c r="CY51">
        <f>830.988</f>
        <v>830.98800000000006</v>
      </c>
      <c r="CZ51">
        <f>1092.937</f>
        <v>1092.9369999999999</v>
      </c>
      <c r="DA51">
        <f>796.118</f>
        <v>796.11800000000005</v>
      </c>
      <c r="DB51">
        <f>889.232</f>
        <v>889.23199999999997</v>
      </c>
      <c r="DC51">
        <f>888.362</f>
        <v>888.36199999999997</v>
      </c>
      <c r="DD51">
        <f>1139.521</f>
        <v>1139.521</v>
      </c>
      <c r="DE51">
        <f>856.947</f>
        <v>856.947</v>
      </c>
      <c r="DF51">
        <f>1036.589</f>
        <v>1036.5889999999999</v>
      </c>
      <c r="DG51">
        <f>824.655</f>
        <v>824.65499999999997</v>
      </c>
      <c r="DH51">
        <f>968.852</f>
        <v>968.85199999999998</v>
      </c>
      <c r="DI51">
        <f>700.185</f>
        <v>700.18499999999995</v>
      </c>
      <c r="DJ51">
        <f>835.437</f>
        <v>835.43700000000001</v>
      </c>
      <c r="DK51">
        <f>677.865</f>
        <v>677.86500000000001</v>
      </c>
      <c r="DL51">
        <f>795.987</f>
        <v>795.98699999999997</v>
      </c>
      <c r="DM51">
        <f>596.28</f>
        <v>596.28</v>
      </c>
      <c r="DN51">
        <f>612.93</f>
        <v>612.92999999999995</v>
      </c>
      <c r="DO51">
        <f>489.249</f>
        <v>489.24900000000002</v>
      </c>
      <c r="DP51">
        <f>581.433</f>
        <v>581.43299999999999</v>
      </c>
      <c r="DQ51">
        <f>466.195</f>
        <v>466.19499999999999</v>
      </c>
      <c r="DR51">
        <f>528.23</f>
        <v>528.23</v>
      </c>
      <c r="DS51">
        <f>428.263</f>
        <v>428.26299999999998</v>
      </c>
      <c r="DT51">
        <f>595.112</f>
        <v>595.11199999999997</v>
      </c>
      <c r="DU51">
        <f>523.302</f>
        <v>523.30200000000002</v>
      </c>
    </row>
    <row r="52" spans="1:125">
      <c r="A52" t="str">
        <f>"    Self Storage REITs"</f>
        <v xml:space="preserve">    Self Storage REITs</v>
      </c>
      <c r="B52" t="str">
        <f>"RECFNOSS Index"</f>
        <v>RECFNOSS Index</v>
      </c>
      <c r="C52" t="str">
        <f t="shared" si="7"/>
        <v>PR005</v>
      </c>
      <c r="D52" t="str">
        <f t="shared" si="8"/>
        <v>PX_LAST</v>
      </c>
      <c r="E52" t="str">
        <f t="shared" si="9"/>
        <v>动态</v>
      </c>
      <c r="F52">
        <f ca="1">IF(AND(ISNUMBER($F$283),$B$183=1),$F$283,HLOOKUP(INDIRECT(ADDRESS(2,COLUMN())),OFFSET($BN$2,0,0,ROW()-1,60),ROW()-1,FALSE))</f>
        <v>947.9955334</v>
      </c>
      <c r="G52">
        <f ca="1">IF(AND(ISNUMBER($G$283),$B$183=1),$G$283,HLOOKUP(INDIRECT(ADDRESS(2,COLUMN())),OFFSET($BN$2,0,0,ROW()-1,60),ROW()-1,FALSE))</f>
        <v>927.01900000000001</v>
      </c>
      <c r="H52">
        <f ca="1">IF(AND(ISNUMBER($H$283),$B$183=1),$H$283,HLOOKUP(INDIRECT(ADDRESS(2,COLUMN())),OFFSET($BN$2,0,0,ROW()-1,60),ROW()-1,FALSE))</f>
        <v>894.78899999999999</v>
      </c>
      <c r="I52">
        <f ca="1">IF(AND(ISNUMBER($I$283),$B$183=1),$I$283,HLOOKUP(INDIRECT(ADDRESS(2,COLUMN())),OFFSET($BN$2,0,0,ROW()-1,60),ROW()-1,FALSE))</f>
        <v>854.90200000000004</v>
      </c>
      <c r="J52">
        <f ca="1">IF(AND(ISNUMBER($J$283),$B$183=1),$J$283,HLOOKUP(INDIRECT(ADDRESS(2,COLUMN())),OFFSET($BN$2,0,0,ROW()-1,60),ROW()-1,FALSE))</f>
        <v>901.97500000000002</v>
      </c>
      <c r="K52">
        <f ca="1">IF(AND(ISNUMBER($K$283),$B$183=1),$K$283,HLOOKUP(INDIRECT(ADDRESS(2,COLUMN())),OFFSET($BN$2,0,0,ROW()-1,60),ROW()-1,FALSE))</f>
        <v>874.05399999999997</v>
      </c>
      <c r="L52">
        <f ca="1">IF(AND(ISNUMBER($L$283),$B$183=1),$L$283,HLOOKUP(INDIRECT(ADDRESS(2,COLUMN())),OFFSET($BN$2,0,0,ROW()-1,60),ROW()-1,FALSE))</f>
        <v>815.02099999999996</v>
      </c>
      <c r="M52">
        <f ca="1">IF(AND(ISNUMBER($M$283),$B$183=1),$M$283,HLOOKUP(INDIRECT(ADDRESS(2,COLUMN())),OFFSET($BN$2,0,0,ROW()-1,60),ROW()-1,FALSE))</f>
        <v>760.31399999999996</v>
      </c>
      <c r="N52">
        <f ca="1">IF(AND(ISNUMBER($N$283),$B$183=1),$N$283,HLOOKUP(INDIRECT(ADDRESS(2,COLUMN())),OFFSET($BN$2,0,0,ROW()-1,60),ROW()-1,FALSE))</f>
        <v>788.20899999999995</v>
      </c>
      <c r="O52">
        <f ca="1">IF(AND(ISNUMBER($O$283),$B$183=1),$O$283,HLOOKUP(INDIRECT(ADDRESS(2,COLUMN())),OFFSET($BN$2,0,0,ROW()-1,60),ROW()-1,FALSE))</f>
        <v>752.77</v>
      </c>
      <c r="P52">
        <f ca="1">IF(AND(ISNUMBER($P$283),$B$183=1),$P$283,HLOOKUP(INDIRECT(ADDRESS(2,COLUMN())),OFFSET($BN$2,0,0,ROW()-1,60),ROW()-1,FALSE))</f>
        <v>705.83199999999999</v>
      </c>
      <c r="Q52">
        <f ca="1">IF(AND(ISNUMBER($Q$283),$B$183=1),$Q$283,HLOOKUP(INDIRECT(ADDRESS(2,COLUMN())),OFFSET($BN$2,0,0,ROW()-1,60),ROW()-1,FALSE))</f>
        <v>626.649</v>
      </c>
      <c r="R52">
        <f ca="1">IF(AND(ISNUMBER($R$283),$B$183=1),$R$283,HLOOKUP(INDIRECT(ADDRESS(2,COLUMN())),OFFSET($BN$2,0,0,ROW()-1,60),ROW()-1,FALSE))</f>
        <v>662.17399999999998</v>
      </c>
      <c r="S52">
        <f ca="1">IF(AND(ISNUMBER($S$283),$B$183=1),$S$283,HLOOKUP(INDIRECT(ADDRESS(2,COLUMN())),OFFSET($BN$2,0,0,ROW()-1,60),ROW()-1,FALSE))</f>
        <v>638.76199999999994</v>
      </c>
      <c r="T52">
        <f ca="1">IF(AND(ISNUMBER($T$283),$B$183=1),$T$283,HLOOKUP(INDIRECT(ADDRESS(2,COLUMN())),OFFSET($BN$2,0,0,ROW()-1,60),ROW()-1,FALSE))</f>
        <v>605.87199999999996</v>
      </c>
      <c r="U52">
        <f ca="1">IF(AND(ISNUMBER($U$283),$B$183=1),$U$283,HLOOKUP(INDIRECT(ADDRESS(2,COLUMN())),OFFSET($BN$2,0,0,ROW()-1,60),ROW()-1,FALSE))</f>
        <v>551.70299999999997</v>
      </c>
      <c r="V52">
        <f ca="1">IF(AND(ISNUMBER($V$283),$B$183=1),$V$283,HLOOKUP(INDIRECT(ADDRESS(2,COLUMN())),OFFSET($BN$2,0,0,ROW()-1,60),ROW()-1,FALSE))</f>
        <v>582.59</v>
      </c>
      <c r="W52">
        <f ca="1">IF(AND(ISNUMBER($W$283),$B$183=1),$W$283,HLOOKUP(INDIRECT(ADDRESS(2,COLUMN())),OFFSET($BN$2,0,0,ROW()-1,60),ROW()-1,FALSE))</f>
        <v>551.78499999999997</v>
      </c>
      <c r="X52">
        <f ca="1">IF(AND(ISNUMBER($X$283),$B$183=1),$X$283,HLOOKUP(INDIRECT(ADDRESS(2,COLUMN())),OFFSET($BN$2,0,0,ROW()-1,60),ROW()-1,FALSE))</f>
        <v>523.13699999999994</v>
      </c>
      <c r="Y52">
        <f ca="1">IF(AND(ISNUMBER($Y$283),$B$183=1),$Y$283,HLOOKUP(INDIRECT(ADDRESS(2,COLUMN())),OFFSET($BN$2,0,0,ROW()-1,60),ROW()-1,FALSE))</f>
        <v>485.41699999999997</v>
      </c>
      <c r="Z52">
        <f ca="1">IF(AND(ISNUMBER($Z$283),$B$183=1),$Z$283,HLOOKUP(INDIRECT(ADDRESS(2,COLUMN())),OFFSET($BN$2,0,0,ROW()-1,60),ROW()-1,FALSE))</f>
        <v>512.47199999999998</v>
      </c>
      <c r="AA52">
        <f ca="1">IF(AND(ISNUMBER($AA$283),$B$183=1),$AA$283,HLOOKUP(INDIRECT(ADDRESS(2,COLUMN())),OFFSET($BN$2,0,0,ROW()-1,60),ROW()-1,FALSE))</f>
        <v>492.53500000000003</v>
      </c>
      <c r="AB52">
        <f ca="1">IF(AND(ISNUMBER($AB$283),$B$183=1),$AB$283,HLOOKUP(INDIRECT(ADDRESS(2,COLUMN())),OFFSET($BN$2,0,0,ROW()-1,60),ROW()-1,FALSE))</f>
        <v>452.952</v>
      </c>
      <c r="AC52">
        <f ca="1">IF(AND(ISNUMBER($AC$283),$B$183=1),$AC$283,HLOOKUP(INDIRECT(ADDRESS(2,COLUMN())),OFFSET($BN$2,0,0,ROW()-1,60),ROW()-1,FALSE))</f>
        <v>419.63900000000001</v>
      </c>
      <c r="AD52">
        <f ca="1">IF(AND(ISNUMBER($AD$283),$B$183=1),$AD$283,HLOOKUP(INDIRECT(ADDRESS(2,COLUMN())),OFFSET($BN$2,0,0,ROW()-1,60),ROW()-1,FALSE))</f>
        <v>445.75900000000001</v>
      </c>
      <c r="AE52">
        <f ca="1">IF(AND(ISNUMBER($AE$283),$B$183=1),$AE$283,HLOOKUP(INDIRECT(ADDRESS(2,COLUMN())),OFFSET($BN$2,0,0,ROW()-1,60),ROW()-1,FALSE))</f>
        <v>427.65199999999999</v>
      </c>
      <c r="AF52">
        <f ca="1">IF(AND(ISNUMBER($AF$283),$B$183=1),$AF$283,HLOOKUP(INDIRECT(ADDRESS(2,COLUMN())),OFFSET($BN$2,0,0,ROW()-1,60),ROW()-1,FALSE))</f>
        <v>398.54199999999997</v>
      </c>
      <c r="AG52">
        <f ca="1">IF(AND(ISNUMBER($AG$283),$B$183=1),$AG$283,HLOOKUP(INDIRECT(ADDRESS(2,COLUMN())),OFFSET($BN$2,0,0,ROW()-1,60),ROW()-1,FALSE))</f>
        <v>372.988</v>
      </c>
      <c r="AH52">
        <f ca="1">IF(AND(ISNUMBER($AH$283),$B$183=1),$AH$283,HLOOKUP(INDIRECT(ADDRESS(2,COLUMN())),OFFSET($BN$2,0,0,ROW()-1,60),ROW()-1,FALSE))</f>
        <v>400.87299999999999</v>
      </c>
      <c r="AI52">
        <f ca="1">IF(AND(ISNUMBER($AI$283),$B$183=1),$AI$283,HLOOKUP(INDIRECT(ADDRESS(2,COLUMN())),OFFSET($BN$2,0,0,ROW()-1,60),ROW()-1,FALSE))</f>
        <v>385.815</v>
      </c>
      <c r="AJ52">
        <f ca="1">IF(AND(ISNUMBER($AJ$283),$B$183=1),$AJ$283,HLOOKUP(INDIRECT(ADDRESS(2,COLUMN())),OFFSET($BN$2,0,0,ROW()-1,60),ROW()-1,FALSE))</f>
        <v>363.30500000000001</v>
      </c>
      <c r="AK52">
        <f ca="1">IF(AND(ISNUMBER($AK$283),$B$183=1),$AK$283,HLOOKUP(INDIRECT(ADDRESS(2,COLUMN())),OFFSET($BN$2,0,0,ROW()-1,60),ROW()-1,FALSE))</f>
        <v>347.07400000000001</v>
      </c>
      <c r="AL52">
        <f ca="1">IF(AND(ISNUMBER($AL$283),$B$183=1),$AL$283,HLOOKUP(INDIRECT(ADDRESS(2,COLUMN())),OFFSET($BN$2,0,0,ROW()-1,60),ROW()-1,FALSE))</f>
        <v>382.90300000000002</v>
      </c>
      <c r="AM52">
        <f ca="1">IF(AND(ISNUMBER($AM$283),$B$183=1),$AM$283,HLOOKUP(INDIRECT(ADDRESS(2,COLUMN())),OFFSET($BN$2,0,0,ROW()-1,60),ROW()-1,FALSE))</f>
        <v>381.69099999999997</v>
      </c>
      <c r="AN52">
        <f ca="1">IF(AND(ISNUMBER($AN$283),$B$183=1),$AN$283,HLOOKUP(INDIRECT(ADDRESS(2,COLUMN())),OFFSET($BN$2,0,0,ROW()-1,60),ROW()-1,FALSE))</f>
        <v>367.55900000000003</v>
      </c>
      <c r="AO52">
        <f ca="1">IF(AND(ISNUMBER($AO$283),$B$183=1),$AO$283,HLOOKUP(INDIRECT(ADDRESS(2,COLUMN())),OFFSET($BN$2,0,0,ROW()-1,60),ROW()-1,FALSE))</f>
        <v>357.911</v>
      </c>
      <c r="AP52">
        <f ca="1">IF(AND(ISNUMBER($AP$283),$B$183=1),$AP$283,HLOOKUP(INDIRECT(ADDRESS(2,COLUMN())),OFFSET($BN$2,0,0,ROW()-1,60),ROW()-1,FALSE))</f>
        <v>393.55500000000001</v>
      </c>
      <c r="AQ52">
        <f ca="1">IF(AND(ISNUMBER($AQ$283),$B$183=1),$AQ$283,HLOOKUP(INDIRECT(ADDRESS(2,COLUMN())),OFFSET($BN$2,0,0,ROW()-1,60),ROW()-1,FALSE))</f>
        <v>401.29500000000002</v>
      </c>
      <c r="AR52">
        <f ca="1">IF(AND(ISNUMBER($AR$283),$B$183=1),$AR$283,HLOOKUP(INDIRECT(ADDRESS(2,COLUMN())),OFFSET($BN$2,0,0,ROW()-1,60),ROW()-1,FALSE))</f>
        <v>371.39400000000001</v>
      </c>
      <c r="AS52">
        <f ca="1">IF(AND(ISNUMBER($AS$283),$B$183=1),$AS$283,HLOOKUP(INDIRECT(ADDRESS(2,COLUMN())),OFFSET($BN$2,0,0,ROW()-1,60),ROW()-1,FALSE))</f>
        <v>388.173</v>
      </c>
      <c r="AT52">
        <f ca="1">IF(AND(ISNUMBER($AT$283),$B$183=1),$AT$283,HLOOKUP(INDIRECT(ADDRESS(2,COLUMN())),OFFSET($BN$2,0,0,ROW()-1,60),ROW()-1,FALSE))</f>
        <v>408.18599999999998</v>
      </c>
      <c r="AU52">
        <f ca="1">IF(AND(ISNUMBER($AU$283),$B$183=1),$AU$283,HLOOKUP(INDIRECT(ADDRESS(2,COLUMN())),OFFSET($BN$2,0,0,ROW()-1,60),ROW()-1,FALSE))</f>
        <v>402.24599999999998</v>
      </c>
      <c r="AV52">
        <f ca="1">IF(AND(ISNUMBER($AV$283),$B$183=1),$AV$283,HLOOKUP(INDIRECT(ADDRESS(2,COLUMN())),OFFSET($BN$2,0,0,ROW()-1,60),ROW()-1,FALSE))</f>
        <v>373.45400000000001</v>
      </c>
      <c r="AW52">
        <f ca="1">IF(AND(ISNUMBER($AW$283),$B$183=1),$AW$283,HLOOKUP(INDIRECT(ADDRESS(2,COLUMN())),OFFSET($BN$2,0,0,ROW()-1,60),ROW()-1,FALSE))</f>
        <v>352.20400000000001</v>
      </c>
      <c r="AX52">
        <f ca="1">IF(AND(ISNUMBER($AX$283),$B$183=1),$AX$283,HLOOKUP(INDIRECT(ADDRESS(2,COLUMN())),OFFSET($BN$2,0,0,ROW()-1,60),ROW()-1,FALSE))</f>
        <v>356.27600000000001</v>
      </c>
      <c r="AY52">
        <f ca="1">IF(AND(ISNUMBER($AY$283),$B$183=1),$AY$283,HLOOKUP(INDIRECT(ADDRESS(2,COLUMN())),OFFSET($BN$2,0,0,ROW()-1,60),ROW()-1,FALSE))</f>
        <v>321.42</v>
      </c>
      <c r="AZ52">
        <f ca="1">IF(AND(ISNUMBER($AZ$283),$B$183=1),$AZ$283,HLOOKUP(INDIRECT(ADDRESS(2,COLUMN())),OFFSET($BN$2,0,0,ROW()-1,60),ROW()-1,FALSE))</f>
        <v>337.56900000000002</v>
      </c>
      <c r="BA52">
        <f ca="1">IF(AND(ISNUMBER($BA$283),$B$183=1),$BA$283,HLOOKUP(INDIRECT(ADDRESS(2,COLUMN())),OFFSET($BN$2,0,0,ROW()-1,60),ROW()-1,FALSE))</f>
        <v>311.47500000000002</v>
      </c>
      <c r="BB52">
        <f ca="1">IF(AND(ISNUMBER($BB$283),$B$183=1),$BB$283,HLOOKUP(INDIRECT(ADDRESS(2,COLUMN())),OFFSET($BN$2,0,0,ROW()-1,60),ROW()-1,FALSE))</f>
        <v>313.7</v>
      </c>
      <c r="BC52">
        <f ca="1">IF(AND(ISNUMBER($BC$283),$B$183=1),$BC$283,HLOOKUP(INDIRECT(ADDRESS(2,COLUMN())),OFFSET($BN$2,0,0,ROW()-1,60),ROW()-1,FALSE))</f>
        <v>307.06900000000002</v>
      </c>
      <c r="BD52">
        <f ca="1">IF(AND(ISNUMBER($BD$283),$B$183=1),$BD$283,HLOOKUP(INDIRECT(ADDRESS(2,COLUMN())),OFFSET($BN$2,0,0,ROW()-1,60),ROW()-1,FALSE))</f>
        <v>278.79899999999998</v>
      </c>
      <c r="BE52">
        <f ca="1">IF(AND(ISNUMBER($BE$283),$B$183=1),$BE$283,HLOOKUP(INDIRECT(ADDRESS(2,COLUMN())),OFFSET($BN$2,0,0,ROW()-1,60),ROW()-1,FALSE))</f>
        <v>254.81399999999999</v>
      </c>
      <c r="BF52">
        <f ca="1">IF(AND(ISNUMBER($BF$283),$B$183=1),$BF$283,HLOOKUP(INDIRECT(ADDRESS(2,COLUMN())),OFFSET($BN$2,0,0,ROW()-1,60),ROW()-1,FALSE))</f>
        <v>249.52500000000001</v>
      </c>
      <c r="BG52">
        <f ca="1">IF(AND(ISNUMBER($BG$283),$B$183=1),$BG$283,HLOOKUP(INDIRECT(ADDRESS(2,COLUMN())),OFFSET($BN$2,0,0,ROW()-1,60),ROW()-1,FALSE))</f>
        <v>236.60300000000001</v>
      </c>
      <c r="BH52">
        <f ca="1">IF(AND(ISNUMBER($BH$283),$B$183=1),$BH$283,HLOOKUP(INDIRECT(ADDRESS(2,COLUMN())),OFFSET($BN$2,0,0,ROW()-1,60),ROW()-1,FALSE))</f>
        <v>217.79300000000001</v>
      </c>
      <c r="BI52">
        <f ca="1">IF(AND(ISNUMBER($BI$283),$B$183=1),$BI$283,HLOOKUP(INDIRECT(ADDRESS(2,COLUMN())),OFFSET($BN$2,0,0,ROW()-1,60),ROW()-1,FALSE))</f>
        <v>203.21700000000001</v>
      </c>
      <c r="BJ52">
        <f ca="1">IF(AND(ISNUMBER($BJ$283),$B$183=1),$BJ$283,HLOOKUP(INDIRECT(ADDRESS(2,COLUMN())),OFFSET($BN$2,0,0,ROW()-1,60),ROW()-1,FALSE))</f>
        <v>203.429</v>
      </c>
      <c r="BK52">
        <f ca="1">IF(AND(ISNUMBER($BK$283),$B$183=1),$BK$283,HLOOKUP(INDIRECT(ADDRESS(2,COLUMN())),OFFSET($BN$2,0,0,ROW()-1,60),ROW()-1,FALSE))</f>
        <v>208.57900000000001</v>
      </c>
      <c r="BL52">
        <f ca="1">IF(AND(ISNUMBER($BL$283),$B$183=1),$BL$283,HLOOKUP(INDIRECT(ADDRESS(2,COLUMN())),OFFSET($BN$2,0,0,ROW()-1,60),ROW()-1,FALSE))</f>
        <v>191.36500000000001</v>
      </c>
      <c r="BM52">
        <f ca="1">IF(AND(ISNUMBER($BM$283),$B$183=1),$BM$283,HLOOKUP(INDIRECT(ADDRESS(2,COLUMN())),OFFSET($BN$2,0,0,ROW()-1,60),ROW()-1,FALSE))</f>
        <v>185.20099999999999</v>
      </c>
      <c r="BN52">
        <f>947.9955334</f>
        <v>947.9955334</v>
      </c>
      <c r="BO52">
        <f>927.019</f>
        <v>927.01900000000001</v>
      </c>
      <c r="BP52">
        <f>894.789</f>
        <v>894.78899999999999</v>
      </c>
      <c r="BQ52">
        <f>854.902</f>
        <v>854.90200000000004</v>
      </c>
      <c r="BR52">
        <f>901.975</f>
        <v>901.97500000000002</v>
      </c>
      <c r="BS52">
        <f>874.054</f>
        <v>874.05399999999997</v>
      </c>
      <c r="BT52">
        <f>815.021</f>
        <v>815.02099999999996</v>
      </c>
      <c r="BU52">
        <f>760.314</f>
        <v>760.31399999999996</v>
      </c>
      <c r="BV52">
        <f>788.209</f>
        <v>788.20899999999995</v>
      </c>
      <c r="BW52">
        <f>752.77</f>
        <v>752.77</v>
      </c>
      <c r="BX52">
        <f>705.832</f>
        <v>705.83199999999999</v>
      </c>
      <c r="BY52">
        <f>626.649</f>
        <v>626.649</v>
      </c>
      <c r="BZ52">
        <f>662.174</f>
        <v>662.17399999999998</v>
      </c>
      <c r="CA52">
        <f>638.762</f>
        <v>638.76199999999994</v>
      </c>
      <c r="CB52">
        <f>605.872</f>
        <v>605.87199999999996</v>
      </c>
      <c r="CC52">
        <f>551.703</f>
        <v>551.70299999999997</v>
      </c>
      <c r="CD52">
        <f>582.59</f>
        <v>582.59</v>
      </c>
      <c r="CE52">
        <f>551.785</f>
        <v>551.78499999999997</v>
      </c>
      <c r="CF52">
        <f>523.137</f>
        <v>523.13699999999994</v>
      </c>
      <c r="CG52">
        <f>485.417</f>
        <v>485.41699999999997</v>
      </c>
      <c r="CH52">
        <f>512.472</f>
        <v>512.47199999999998</v>
      </c>
      <c r="CI52">
        <f>492.535</f>
        <v>492.53500000000003</v>
      </c>
      <c r="CJ52">
        <f>452.952</f>
        <v>452.952</v>
      </c>
      <c r="CK52">
        <f>419.639</f>
        <v>419.63900000000001</v>
      </c>
      <c r="CL52">
        <f>445.759</f>
        <v>445.75900000000001</v>
      </c>
      <c r="CM52">
        <f>427.652</f>
        <v>427.65199999999999</v>
      </c>
      <c r="CN52">
        <f>398.542</f>
        <v>398.54199999999997</v>
      </c>
      <c r="CO52">
        <f>372.988</f>
        <v>372.988</v>
      </c>
      <c r="CP52">
        <f>400.873</f>
        <v>400.87299999999999</v>
      </c>
      <c r="CQ52">
        <f>385.815</f>
        <v>385.815</v>
      </c>
      <c r="CR52">
        <f>363.305</f>
        <v>363.30500000000001</v>
      </c>
      <c r="CS52">
        <f>347.074</f>
        <v>347.07400000000001</v>
      </c>
      <c r="CT52">
        <f>382.903</f>
        <v>382.90300000000002</v>
      </c>
      <c r="CU52">
        <f>381.691</f>
        <v>381.69099999999997</v>
      </c>
      <c r="CV52">
        <f>367.559</f>
        <v>367.55900000000003</v>
      </c>
      <c r="CW52">
        <f>357.911</f>
        <v>357.911</v>
      </c>
      <c r="CX52">
        <f>393.555</f>
        <v>393.55500000000001</v>
      </c>
      <c r="CY52">
        <f>401.295</f>
        <v>401.29500000000002</v>
      </c>
      <c r="CZ52">
        <f>371.394</f>
        <v>371.39400000000001</v>
      </c>
      <c r="DA52">
        <f>388.173</f>
        <v>388.173</v>
      </c>
      <c r="DB52">
        <f>408.186</f>
        <v>408.18599999999998</v>
      </c>
      <c r="DC52">
        <f>402.246</f>
        <v>402.24599999999998</v>
      </c>
      <c r="DD52">
        <f>373.454</f>
        <v>373.45400000000001</v>
      </c>
      <c r="DE52">
        <f>352.204</f>
        <v>352.20400000000001</v>
      </c>
      <c r="DF52">
        <f>356.276</f>
        <v>356.27600000000001</v>
      </c>
      <c r="DG52">
        <f>321.42</f>
        <v>321.42</v>
      </c>
      <c r="DH52">
        <f>337.569</f>
        <v>337.56900000000002</v>
      </c>
      <c r="DI52">
        <f>311.475</f>
        <v>311.47500000000002</v>
      </c>
      <c r="DJ52">
        <f>313.7</f>
        <v>313.7</v>
      </c>
      <c r="DK52">
        <f>307.069</f>
        <v>307.06900000000002</v>
      </c>
      <c r="DL52">
        <f>278.799</f>
        <v>278.79899999999998</v>
      </c>
      <c r="DM52">
        <f>254.814</f>
        <v>254.81399999999999</v>
      </c>
      <c r="DN52">
        <f>249.525</f>
        <v>249.52500000000001</v>
      </c>
      <c r="DO52">
        <f>236.603</f>
        <v>236.60300000000001</v>
      </c>
      <c r="DP52">
        <f>217.793</f>
        <v>217.79300000000001</v>
      </c>
      <c r="DQ52">
        <f>203.217</f>
        <v>203.21700000000001</v>
      </c>
      <c r="DR52">
        <f>203.429</f>
        <v>203.429</v>
      </c>
      <c r="DS52">
        <f>208.579</f>
        <v>208.57900000000001</v>
      </c>
      <c r="DT52">
        <f>191.365</f>
        <v>191.36500000000001</v>
      </c>
      <c r="DU52">
        <f>185.201</f>
        <v>185.20099999999999</v>
      </c>
    </row>
    <row r="53" spans="1:125">
      <c r="A53" t="str">
        <f>"    Health Care REITs"</f>
        <v xml:space="preserve">    Health Care REITs</v>
      </c>
      <c r="B53" t="str">
        <f>"RECFNOHC Index"</f>
        <v>RECFNOHC Index</v>
      </c>
      <c r="C53" t="str">
        <f t="shared" si="7"/>
        <v>PR005</v>
      </c>
      <c r="D53" t="str">
        <f t="shared" si="8"/>
        <v>PX_LAST</v>
      </c>
      <c r="E53" t="str">
        <f t="shared" si="9"/>
        <v>动态</v>
      </c>
      <c r="F53">
        <f ca="1">IF(AND(ISNUMBER($F$284),$B$183=1),$F$284,HLOOKUP(INDIRECT(ADDRESS(2,COLUMN())),OFFSET($BN$2,0,0,ROW()-1,60),ROW()-1,FALSE))</f>
        <v>2452.5352290000001</v>
      </c>
      <c r="G53">
        <f ca="1">IF(AND(ISNUMBER($G$284),$B$183=1),$G$284,HLOOKUP(INDIRECT(ADDRESS(2,COLUMN())),OFFSET($BN$2,0,0,ROW()-1,60),ROW()-1,FALSE))</f>
        <v>2420.8919999999998</v>
      </c>
      <c r="H53">
        <f ca="1">IF(AND(ISNUMBER($H$284),$B$183=1),$H$284,HLOOKUP(INDIRECT(ADDRESS(2,COLUMN())),OFFSET($BN$2,0,0,ROW()-1,60),ROW()-1,FALSE))</f>
        <v>2437.7420000000002</v>
      </c>
      <c r="I53">
        <f ca="1">IF(AND(ISNUMBER($I$284),$B$183=1),$I$284,HLOOKUP(INDIRECT(ADDRESS(2,COLUMN())),OFFSET($BN$2,0,0,ROW()-1,60),ROW()-1,FALSE))</f>
        <v>2456.806</v>
      </c>
      <c r="J53">
        <f ca="1">IF(AND(ISNUMBER($J$284),$B$183=1),$J$284,HLOOKUP(INDIRECT(ADDRESS(2,COLUMN())),OFFSET($BN$2,0,0,ROW()-1,60),ROW()-1,FALSE))</f>
        <v>2480.453</v>
      </c>
      <c r="K53">
        <f ca="1">IF(AND(ISNUMBER($K$284),$B$183=1),$K$284,HLOOKUP(INDIRECT(ADDRESS(2,COLUMN())),OFFSET($BN$2,0,0,ROW()-1,60),ROW()-1,FALSE))</f>
        <v>2345.9110000000001</v>
      </c>
      <c r="L53">
        <f ca="1">IF(AND(ISNUMBER($L$284),$B$183=1),$L$284,HLOOKUP(INDIRECT(ADDRESS(2,COLUMN())),OFFSET($BN$2,0,0,ROW()-1,60),ROW()-1,FALSE))</f>
        <v>2311.6889999999999</v>
      </c>
      <c r="M53">
        <f ca="1">IF(AND(ISNUMBER($M$284),$B$183=1),$M$284,HLOOKUP(INDIRECT(ADDRESS(2,COLUMN())),OFFSET($BN$2,0,0,ROW()-1,60),ROW()-1,FALSE))</f>
        <v>2262.2959999999998</v>
      </c>
      <c r="N53">
        <f ca="1">IF(AND(ISNUMBER($N$284),$B$183=1),$N$284,HLOOKUP(INDIRECT(ADDRESS(2,COLUMN())),OFFSET($BN$2,0,0,ROW()-1,60),ROW()-1,FALSE))</f>
        <v>2231.431</v>
      </c>
      <c r="O53">
        <f ca="1">IF(AND(ISNUMBER($O$284),$B$183=1),$O$284,HLOOKUP(INDIRECT(ADDRESS(2,COLUMN())),OFFSET($BN$2,0,0,ROW()-1,60),ROW()-1,FALSE))</f>
        <v>2164.0880000000002</v>
      </c>
      <c r="P53">
        <f ca="1">IF(AND(ISNUMBER($P$284),$B$183=1),$P$284,HLOOKUP(INDIRECT(ADDRESS(2,COLUMN())),OFFSET($BN$2,0,0,ROW()-1,60),ROW()-1,FALSE))</f>
        <v>1983.317</v>
      </c>
      <c r="Q53">
        <f ca="1">IF(AND(ISNUMBER($Q$284),$B$183=1),$Q$284,HLOOKUP(INDIRECT(ADDRESS(2,COLUMN())),OFFSET($BN$2,0,0,ROW()-1,60),ROW()-1,FALSE))</f>
        <v>1906.8009999999999</v>
      </c>
      <c r="R53">
        <f ca="1">IF(AND(ISNUMBER($R$284),$B$183=1),$R$284,HLOOKUP(INDIRECT(ADDRESS(2,COLUMN())),OFFSET($BN$2,0,0,ROW()-1,60),ROW()-1,FALSE))</f>
        <v>1839.94</v>
      </c>
      <c r="S53">
        <f ca="1">IF(AND(ISNUMBER($S$284),$B$183=1),$S$284,HLOOKUP(INDIRECT(ADDRESS(2,COLUMN())),OFFSET($BN$2,0,0,ROW()-1,60),ROW()-1,FALSE))</f>
        <v>1798.2940000000001</v>
      </c>
      <c r="T53">
        <f ca="1">IF(AND(ISNUMBER($T$284),$B$183=1),$T$284,HLOOKUP(INDIRECT(ADDRESS(2,COLUMN())),OFFSET($BN$2,0,0,ROW()-1,60),ROW()-1,FALSE))</f>
        <v>1784.63</v>
      </c>
      <c r="U53">
        <f ca="1">IF(AND(ISNUMBER($U$284),$B$183=1),$U$284,HLOOKUP(INDIRECT(ADDRESS(2,COLUMN())),OFFSET($BN$2,0,0,ROW()-1,60),ROW()-1,FALSE))</f>
        <v>1692.3979999999999</v>
      </c>
      <c r="V53">
        <f ca="1">IF(AND(ISNUMBER($V$284),$B$183=1),$V$284,HLOOKUP(INDIRECT(ADDRESS(2,COLUMN())),OFFSET($BN$2,0,0,ROW()-1,60),ROW()-1,FALSE))</f>
        <v>1659.6569999999999</v>
      </c>
      <c r="W53">
        <f ca="1">IF(AND(ISNUMBER($W$284),$B$183=1),$W$284,HLOOKUP(INDIRECT(ADDRESS(2,COLUMN())),OFFSET($BN$2,0,0,ROW()-1,60),ROW()-1,FALSE))</f>
        <v>1529.13</v>
      </c>
      <c r="X53">
        <f ca="1">IF(AND(ISNUMBER($X$284),$B$183=1),$X$284,HLOOKUP(INDIRECT(ADDRESS(2,COLUMN())),OFFSET($BN$2,0,0,ROW()-1,60),ROW()-1,FALSE))</f>
        <v>1474.711</v>
      </c>
      <c r="Y53">
        <f ca="1">IF(AND(ISNUMBER($Y$284),$B$183=1),$Y$284,HLOOKUP(INDIRECT(ADDRESS(2,COLUMN())),OFFSET($BN$2,0,0,ROW()-1,60),ROW()-1,FALSE))</f>
        <v>1459.452</v>
      </c>
      <c r="Z53">
        <f ca="1">IF(AND(ISNUMBER($Z$284),$B$183=1),$Z$284,HLOOKUP(INDIRECT(ADDRESS(2,COLUMN())),OFFSET($BN$2,0,0,ROW()-1,60),ROW()-1,FALSE))</f>
        <v>1341.84</v>
      </c>
      <c r="AA53">
        <f ca="1">IF(AND(ISNUMBER($AA$284),$B$183=1),$AA$284,HLOOKUP(INDIRECT(ADDRESS(2,COLUMN())),OFFSET($BN$2,0,0,ROW()-1,60),ROW()-1,FALSE))</f>
        <v>1283.6769999999999</v>
      </c>
      <c r="AB53">
        <f ca="1">IF(AND(ISNUMBER($AB$284),$B$183=1),$AB$284,HLOOKUP(INDIRECT(ADDRESS(2,COLUMN())),OFFSET($BN$2,0,0,ROW()-1,60),ROW()-1,FALSE))</f>
        <v>1248.443</v>
      </c>
      <c r="AC53">
        <f ca="1">IF(AND(ISNUMBER($AC$284),$B$183=1),$AC$284,HLOOKUP(INDIRECT(ADDRESS(2,COLUMN())),OFFSET($BN$2,0,0,ROW()-1,60),ROW()-1,FALSE))</f>
        <v>1214.9659999999999</v>
      </c>
      <c r="AD53">
        <f ca="1">IF(AND(ISNUMBER($AD$284),$B$183=1),$AD$284,HLOOKUP(INDIRECT(ADDRESS(2,COLUMN())),OFFSET($BN$2,0,0,ROW()-1,60),ROW()-1,FALSE))</f>
        <v>1208.5899999999999</v>
      </c>
      <c r="AE53">
        <f ca="1">IF(AND(ISNUMBER($AE$284),$B$183=1),$AE$284,HLOOKUP(INDIRECT(ADDRESS(2,COLUMN())),OFFSET($BN$2,0,0,ROW()-1,60),ROW()-1,FALSE))</f>
        <v>1164.576</v>
      </c>
      <c r="AF53">
        <f ca="1">IF(AND(ISNUMBER($AF$284),$B$183=1),$AF$284,HLOOKUP(INDIRECT(ADDRESS(2,COLUMN())),OFFSET($BN$2,0,0,ROW()-1,60),ROW()-1,FALSE))</f>
        <v>1012.5650000000001</v>
      </c>
      <c r="AG53">
        <f ca="1">IF(AND(ISNUMBER($AG$284),$B$183=1),$AG$284,HLOOKUP(INDIRECT(ADDRESS(2,COLUMN())),OFFSET($BN$2,0,0,ROW()-1,60),ROW()-1,FALSE))</f>
        <v>986.35500000000002</v>
      </c>
      <c r="AH53">
        <f ca="1">IF(AND(ISNUMBER($AH$284),$B$183=1),$AH$284,HLOOKUP(INDIRECT(ADDRESS(2,COLUMN())),OFFSET($BN$2,0,0,ROW()-1,60),ROW()-1,FALSE))</f>
        <v>925.22799999999995</v>
      </c>
      <c r="AI53">
        <f ca="1">IF(AND(ISNUMBER($AI$284),$B$183=1),$AI$284,HLOOKUP(INDIRECT(ADDRESS(2,COLUMN())),OFFSET($BN$2,0,0,ROW()-1,60),ROW()-1,FALSE))</f>
        <v>870.93</v>
      </c>
      <c r="AJ53">
        <f ca="1">IF(AND(ISNUMBER($AJ$284),$B$183=1),$AJ$284,HLOOKUP(INDIRECT(ADDRESS(2,COLUMN())),OFFSET($BN$2,0,0,ROW()-1,60),ROW()-1,FALSE))</f>
        <v>852.81100000000004</v>
      </c>
      <c r="AK53">
        <f ca="1">IF(AND(ISNUMBER($AK$284),$B$183=1),$AK$284,HLOOKUP(INDIRECT(ADDRESS(2,COLUMN())),OFFSET($BN$2,0,0,ROW()-1,60),ROW()-1,FALSE))</f>
        <v>827.90099999999995</v>
      </c>
      <c r="AL53">
        <f ca="1">IF(AND(ISNUMBER($AL$284),$B$183=1),$AL$284,HLOOKUP(INDIRECT(ADDRESS(2,COLUMN())),OFFSET($BN$2,0,0,ROW()-1,60),ROW()-1,FALSE))</f>
        <v>804.58900000000006</v>
      </c>
      <c r="AM53">
        <f ca="1">IF(AND(ISNUMBER($AM$284),$B$183=1),$AM$284,HLOOKUP(INDIRECT(ADDRESS(2,COLUMN())),OFFSET($BN$2,0,0,ROW()-1,60),ROW()-1,FALSE))</f>
        <v>788.21</v>
      </c>
      <c r="AN53">
        <f ca="1">IF(AND(ISNUMBER($AN$284),$B$183=1),$AN$284,HLOOKUP(INDIRECT(ADDRESS(2,COLUMN())),OFFSET($BN$2,0,0,ROW()-1,60),ROW()-1,FALSE))</f>
        <v>788.01400000000001</v>
      </c>
      <c r="AO53">
        <f ca="1">IF(AND(ISNUMBER($AO$284),$B$183=1),$AO$284,HLOOKUP(INDIRECT(ADDRESS(2,COLUMN())),OFFSET($BN$2,0,0,ROW()-1,60),ROW()-1,FALSE))</f>
        <v>771.75400000000002</v>
      </c>
      <c r="AP53">
        <f ca="1">IF(AND(ISNUMBER($AP$284),$B$183=1),$AP$284,HLOOKUP(INDIRECT(ADDRESS(2,COLUMN())),OFFSET($BN$2,0,0,ROW()-1,60),ROW()-1,FALSE))</f>
        <v>764.48099999999999</v>
      </c>
      <c r="AQ53">
        <f ca="1">IF(AND(ISNUMBER($AQ$284),$B$183=1),$AQ$284,HLOOKUP(INDIRECT(ADDRESS(2,COLUMN())),OFFSET($BN$2,0,0,ROW()-1,60),ROW()-1,FALSE))</f>
        <v>760.31700000000001</v>
      </c>
      <c r="AR53">
        <f ca="1">IF(AND(ISNUMBER($AR$284),$B$183=1),$AR$284,HLOOKUP(INDIRECT(ADDRESS(2,COLUMN())),OFFSET($BN$2,0,0,ROW()-1,60),ROW()-1,FALSE))</f>
        <v>738.90499999999997</v>
      </c>
      <c r="AS53">
        <f ca="1">IF(AND(ISNUMBER($AS$284),$B$183=1),$AS$284,HLOOKUP(INDIRECT(ADDRESS(2,COLUMN())),OFFSET($BN$2,0,0,ROW()-1,60),ROW()-1,FALSE))</f>
        <v>703.17100000000005</v>
      </c>
      <c r="AT53">
        <f ca="1">IF(AND(ISNUMBER($AT$284),$B$183=1),$AT$284,HLOOKUP(INDIRECT(ADDRESS(2,COLUMN())),OFFSET($BN$2,0,0,ROW()-1,60),ROW()-1,FALSE))</f>
        <v>713.93949999999995</v>
      </c>
      <c r="AU53">
        <f ca="1">IF(AND(ISNUMBER($AU$284),$B$183=1),$AU$284,HLOOKUP(INDIRECT(ADDRESS(2,COLUMN())),OFFSET($BN$2,0,0,ROW()-1,60),ROW()-1,FALSE))</f>
        <v>704.05100000000004</v>
      </c>
      <c r="AV53">
        <f ca="1">IF(AND(ISNUMBER($AV$284),$B$183=1),$AV$284,HLOOKUP(INDIRECT(ADDRESS(2,COLUMN())),OFFSET($BN$2,0,0,ROW()-1,60),ROW()-1,FALSE))</f>
        <v>655.35</v>
      </c>
      <c r="AW53">
        <f ca="1">IF(AND(ISNUMBER($AW$284),$B$183=1),$AW$284,HLOOKUP(INDIRECT(ADDRESS(2,COLUMN())),OFFSET($BN$2,0,0,ROW()-1,60),ROW()-1,FALSE))</f>
        <v>641.15700000000004</v>
      </c>
      <c r="AX53">
        <f ca="1">IF(AND(ISNUMBER($AX$284),$B$183=1),$AX$284,HLOOKUP(INDIRECT(ADDRESS(2,COLUMN())),OFFSET($BN$2,0,0,ROW()-1,60),ROW()-1,FALSE))</f>
        <v>620.62</v>
      </c>
      <c r="AY53">
        <f ca="1">IF(AND(ISNUMBER($AY$284),$B$183=1),$AY$284,HLOOKUP(INDIRECT(ADDRESS(2,COLUMN())),OFFSET($BN$2,0,0,ROW()-1,60),ROW()-1,FALSE))</f>
        <v>540.54999999999995</v>
      </c>
      <c r="AZ53">
        <f ca="1">IF(AND(ISNUMBER($AZ$284),$B$183=1),$AZ$284,HLOOKUP(INDIRECT(ADDRESS(2,COLUMN())),OFFSET($BN$2,0,0,ROW()-1,60),ROW()-1,FALSE))</f>
        <v>520.47199999999998</v>
      </c>
      <c r="BA53">
        <f ca="1">IF(AND(ISNUMBER($BA$284),$B$183=1),$BA$284,HLOOKUP(INDIRECT(ADDRESS(2,COLUMN())),OFFSET($BN$2,0,0,ROW()-1,60),ROW()-1,FALSE))</f>
        <v>500.60899999999998</v>
      </c>
      <c r="BB53">
        <f ca="1">IF(AND(ISNUMBER($BB$284),$B$183=1),$BB$284,HLOOKUP(INDIRECT(ADDRESS(2,COLUMN())),OFFSET($BN$2,0,0,ROW()-1,60),ROW()-1,FALSE))</f>
        <v>483.084</v>
      </c>
      <c r="BC53">
        <f ca="1">IF(AND(ISNUMBER($BC$284),$B$183=1),$BC$284,HLOOKUP(INDIRECT(ADDRESS(2,COLUMN())),OFFSET($BN$2,0,0,ROW()-1,60),ROW()-1,FALSE))</f>
        <v>465.08100000000002</v>
      </c>
      <c r="BD53">
        <f ca="1">IF(AND(ISNUMBER($BD$284),$B$183=1),$BD$284,HLOOKUP(INDIRECT(ADDRESS(2,COLUMN())),OFFSET($BN$2,0,0,ROW()-1,60),ROW()-1,FALSE))</f>
        <v>418.21</v>
      </c>
      <c r="BE53">
        <f ca="1">IF(AND(ISNUMBER($BE$284),$B$183=1),$BE$284,HLOOKUP(INDIRECT(ADDRESS(2,COLUMN())),OFFSET($BN$2,0,0,ROW()-1,60),ROW()-1,FALSE))</f>
        <v>402.01299999999998</v>
      </c>
      <c r="BF53">
        <f ca="1">IF(AND(ISNUMBER($BF$284),$B$183=1),$BF$284,HLOOKUP(INDIRECT(ADDRESS(2,COLUMN())),OFFSET($BN$2,0,0,ROW()-1,60),ROW()-1,FALSE))</f>
        <v>406.23050000000001</v>
      </c>
      <c r="BG53">
        <f ca="1">IF(AND(ISNUMBER($BG$284),$B$183=1),$BG$284,HLOOKUP(INDIRECT(ADDRESS(2,COLUMN())),OFFSET($BN$2,0,0,ROW()-1,60),ROW()-1,FALSE))</f>
        <v>388.26100000000002</v>
      </c>
      <c r="BH53">
        <f ca="1">IF(AND(ISNUMBER($BH$284),$B$183=1),$BH$284,HLOOKUP(INDIRECT(ADDRESS(2,COLUMN())),OFFSET($BN$2,0,0,ROW()-1,60),ROW()-1,FALSE))</f>
        <v>373.084</v>
      </c>
      <c r="BI53">
        <f ca="1">IF(AND(ISNUMBER($BI$284),$B$183=1),$BI$284,HLOOKUP(INDIRECT(ADDRESS(2,COLUMN())),OFFSET($BN$2,0,0,ROW()-1,60),ROW()-1,FALSE))</f>
        <v>353.18799999999999</v>
      </c>
      <c r="BJ53">
        <f ca="1">IF(AND(ISNUMBER($BJ$284),$B$183=1),$BJ$284,HLOOKUP(INDIRECT(ADDRESS(2,COLUMN())),OFFSET($BN$2,0,0,ROW()-1,60),ROW()-1,FALSE))</f>
        <v>349.80349999999999</v>
      </c>
      <c r="BK53">
        <f ca="1">IF(AND(ISNUMBER($BK$284),$B$183=1),$BK$284,HLOOKUP(INDIRECT(ADDRESS(2,COLUMN())),OFFSET($BN$2,0,0,ROW()-1,60),ROW()-1,FALSE))</f>
        <v>340.59199999999998</v>
      </c>
      <c r="BL53">
        <f ca="1">IF(AND(ISNUMBER($BL$284),$B$183=1),$BL$284,HLOOKUP(INDIRECT(ADDRESS(2,COLUMN())),OFFSET($BN$2,0,0,ROW()-1,60),ROW()-1,FALSE))</f>
        <v>332.98399999999998</v>
      </c>
      <c r="BM53">
        <f ca="1">IF(AND(ISNUMBER($BM$284),$B$183=1),$BM$284,HLOOKUP(INDIRECT(ADDRESS(2,COLUMN())),OFFSET($BN$2,0,0,ROW()-1,60),ROW()-1,FALSE))</f>
        <v>317.61099999999999</v>
      </c>
      <c r="BN53">
        <f>2452.535229</f>
        <v>2452.5352290000001</v>
      </c>
      <c r="BO53">
        <f>2420.892</f>
        <v>2420.8919999999998</v>
      </c>
      <c r="BP53">
        <f>2437.742</f>
        <v>2437.7420000000002</v>
      </c>
      <c r="BQ53">
        <f>2456.806</f>
        <v>2456.806</v>
      </c>
      <c r="BR53">
        <f>2480.453</f>
        <v>2480.453</v>
      </c>
      <c r="BS53">
        <f>2345.911</f>
        <v>2345.9110000000001</v>
      </c>
      <c r="BT53">
        <f>2311.689</f>
        <v>2311.6889999999999</v>
      </c>
      <c r="BU53">
        <f>2262.296</f>
        <v>2262.2959999999998</v>
      </c>
      <c r="BV53">
        <f>2231.431</f>
        <v>2231.431</v>
      </c>
      <c r="BW53">
        <f>2164.088</f>
        <v>2164.0880000000002</v>
      </c>
      <c r="BX53">
        <f>1983.317</f>
        <v>1983.317</v>
      </c>
      <c r="BY53">
        <f>1906.801</f>
        <v>1906.8009999999999</v>
      </c>
      <c r="BZ53">
        <f>1839.94</f>
        <v>1839.94</v>
      </c>
      <c r="CA53">
        <f>1798.294</f>
        <v>1798.2940000000001</v>
      </c>
      <c r="CB53">
        <f>1784.63</f>
        <v>1784.63</v>
      </c>
      <c r="CC53">
        <f>1692.398</f>
        <v>1692.3979999999999</v>
      </c>
      <c r="CD53">
        <f>1659.657</f>
        <v>1659.6569999999999</v>
      </c>
      <c r="CE53">
        <f>1529.13</f>
        <v>1529.13</v>
      </c>
      <c r="CF53">
        <f>1474.711</f>
        <v>1474.711</v>
      </c>
      <c r="CG53">
        <f>1459.452</f>
        <v>1459.452</v>
      </c>
      <c r="CH53">
        <f>1341.84</f>
        <v>1341.84</v>
      </c>
      <c r="CI53">
        <f>1283.677</f>
        <v>1283.6769999999999</v>
      </c>
      <c r="CJ53">
        <f>1248.443</f>
        <v>1248.443</v>
      </c>
      <c r="CK53">
        <f>1214.966</f>
        <v>1214.9659999999999</v>
      </c>
      <c r="CL53">
        <f>1208.59</f>
        <v>1208.5899999999999</v>
      </c>
      <c r="CM53">
        <f>1164.576</f>
        <v>1164.576</v>
      </c>
      <c r="CN53">
        <f>1012.565</f>
        <v>1012.5650000000001</v>
      </c>
      <c r="CO53">
        <f>986.355</f>
        <v>986.35500000000002</v>
      </c>
      <c r="CP53">
        <f>925.228</f>
        <v>925.22799999999995</v>
      </c>
      <c r="CQ53">
        <f>870.93</f>
        <v>870.93</v>
      </c>
      <c r="CR53">
        <f>852.811</f>
        <v>852.81100000000004</v>
      </c>
      <c r="CS53">
        <f>827.901</f>
        <v>827.90099999999995</v>
      </c>
      <c r="CT53">
        <f>804.589</f>
        <v>804.58900000000006</v>
      </c>
      <c r="CU53">
        <f>788.21</f>
        <v>788.21</v>
      </c>
      <c r="CV53">
        <f>788.014</f>
        <v>788.01400000000001</v>
      </c>
      <c r="CW53">
        <f>771.754</f>
        <v>771.75400000000002</v>
      </c>
      <c r="CX53">
        <f>764.481</f>
        <v>764.48099999999999</v>
      </c>
      <c r="CY53">
        <f>760.317</f>
        <v>760.31700000000001</v>
      </c>
      <c r="CZ53">
        <f>738.905</f>
        <v>738.90499999999997</v>
      </c>
      <c r="DA53">
        <f>703.171</f>
        <v>703.17100000000005</v>
      </c>
      <c r="DB53">
        <f>713.9395</f>
        <v>713.93949999999995</v>
      </c>
      <c r="DC53">
        <f>704.051</f>
        <v>704.05100000000004</v>
      </c>
      <c r="DD53">
        <f>655.35</f>
        <v>655.35</v>
      </c>
      <c r="DE53">
        <f>641.157</f>
        <v>641.15700000000004</v>
      </c>
      <c r="DF53">
        <f>620.62</f>
        <v>620.62</v>
      </c>
      <c r="DG53">
        <f>540.55</f>
        <v>540.54999999999995</v>
      </c>
      <c r="DH53">
        <f>520.472</f>
        <v>520.47199999999998</v>
      </c>
      <c r="DI53">
        <f>500.609</f>
        <v>500.60899999999998</v>
      </c>
      <c r="DJ53">
        <f>483.084</f>
        <v>483.084</v>
      </c>
      <c r="DK53">
        <f>465.081</f>
        <v>465.08100000000002</v>
      </c>
      <c r="DL53">
        <f>418.21</f>
        <v>418.21</v>
      </c>
      <c r="DM53">
        <f>402.013</f>
        <v>402.01299999999998</v>
      </c>
      <c r="DN53">
        <f>406.2305</f>
        <v>406.23050000000001</v>
      </c>
      <c r="DO53">
        <f>388.261</f>
        <v>388.26100000000002</v>
      </c>
      <c r="DP53">
        <f>373.084</f>
        <v>373.084</v>
      </c>
      <c r="DQ53">
        <f>353.188</f>
        <v>353.18799999999999</v>
      </c>
      <c r="DR53">
        <f>349.8035</f>
        <v>349.80349999999999</v>
      </c>
      <c r="DS53">
        <f>340.592</f>
        <v>340.59199999999998</v>
      </c>
      <c r="DT53">
        <f>332.984</f>
        <v>332.98399999999998</v>
      </c>
      <c r="DU53">
        <f>317.611</f>
        <v>317.61099999999999</v>
      </c>
    </row>
    <row r="54" spans="1:125">
      <c r="A54" t="str">
        <f>"    Timber REITs"</f>
        <v xml:space="preserve">    Timber REITs</v>
      </c>
      <c r="B54" t="str">
        <f>"RECFNOTR Index"</f>
        <v>RECFNOTR Index</v>
      </c>
      <c r="C54" t="str">
        <f t="shared" si="7"/>
        <v>PR005</v>
      </c>
      <c r="D54" t="str">
        <f t="shared" si="8"/>
        <v>PX_LAST</v>
      </c>
      <c r="E54" t="str">
        <f t="shared" si="9"/>
        <v>动态</v>
      </c>
      <c r="F54">
        <f ca="1">IF(AND(ISNUMBER($F$285),$B$183=1),$F$285,HLOOKUP(INDIRECT(ADDRESS(2,COLUMN())),OFFSET($BN$2,0,0,ROW()-1,60),ROW()-1,FALSE))</f>
        <v>790.92600000000004</v>
      </c>
      <c r="G54">
        <f ca="1">IF(AND(ISNUMBER($G$285),$B$183=1),$G$285,HLOOKUP(INDIRECT(ADDRESS(2,COLUMN())),OFFSET($BN$2,0,0,ROW()-1,60),ROW()-1,FALSE))</f>
        <v>779.51700000000005</v>
      </c>
      <c r="H54">
        <f ca="1">IF(AND(ISNUMBER($H$285),$B$183=1),$H$285,HLOOKUP(INDIRECT(ADDRESS(2,COLUMN())),OFFSET($BN$2,0,0,ROW()-1,60),ROW()-1,FALSE))</f>
        <v>754.26599999999996</v>
      </c>
      <c r="I54">
        <f ca="1">IF(AND(ISNUMBER($I$285),$B$183=1),$I$285,HLOOKUP(INDIRECT(ADDRESS(2,COLUMN())),OFFSET($BN$2,0,0,ROW()-1,60),ROW()-1,FALSE))</f>
        <v>657.31299999999999</v>
      </c>
      <c r="J54">
        <f ca="1">IF(AND(ISNUMBER($J$285),$B$183=1),$J$285,HLOOKUP(INDIRECT(ADDRESS(2,COLUMN())),OFFSET($BN$2,0,0,ROW()-1,60),ROW()-1,FALSE))</f>
        <v>563.58500000000004</v>
      </c>
      <c r="K54">
        <f ca="1">IF(AND(ISNUMBER($K$285),$B$183=1),$K$285,HLOOKUP(INDIRECT(ADDRESS(2,COLUMN())),OFFSET($BN$2,0,0,ROW()-1,60),ROW()-1,FALSE))</f>
        <v>672.82100000000003</v>
      </c>
      <c r="L54">
        <f ca="1">IF(AND(ISNUMBER($L$285),$B$183=1),$L$285,HLOOKUP(INDIRECT(ADDRESS(2,COLUMN())),OFFSET($BN$2,0,0,ROW()-1,60),ROW()-1,FALSE))</f>
        <v>616.17100000000005</v>
      </c>
      <c r="M54">
        <f ca="1">IF(AND(ISNUMBER($M$285),$B$183=1),$M$285,HLOOKUP(INDIRECT(ADDRESS(2,COLUMN())),OFFSET($BN$2,0,0,ROW()-1,60),ROW()-1,FALSE))</f>
        <v>495.94600000000003</v>
      </c>
      <c r="N54">
        <f ca="1">IF(AND(ISNUMBER($N$285),$B$183=1),$N$285,HLOOKUP(INDIRECT(ADDRESS(2,COLUMN())),OFFSET($BN$2,0,0,ROW()-1,60),ROW()-1,FALSE))</f>
        <v>566.82100000000003</v>
      </c>
      <c r="O54">
        <f ca="1">IF(AND(ISNUMBER($O$285),$B$183=1),$O$285,HLOOKUP(INDIRECT(ADDRESS(2,COLUMN())),OFFSET($BN$2,0,0,ROW()-1,60),ROW()-1,FALSE))</f>
        <v>805.76400000000001</v>
      </c>
      <c r="P54">
        <f ca="1">IF(AND(ISNUMBER($P$285),$B$183=1),$P$285,HLOOKUP(INDIRECT(ADDRESS(2,COLUMN())),OFFSET($BN$2,0,0,ROW()-1,60),ROW()-1,FALSE))</f>
        <v>634.12099999999998</v>
      </c>
      <c r="Q54">
        <f ca="1">IF(AND(ISNUMBER($Q$285),$B$183=1),$Q$285,HLOOKUP(INDIRECT(ADDRESS(2,COLUMN())),OFFSET($BN$2,0,0,ROW()-1,60),ROW()-1,FALSE))</f>
        <v>689.89200000000005</v>
      </c>
      <c r="R54">
        <f ca="1">IF(AND(ISNUMBER($R$285),$B$183=1),$R$285,HLOOKUP(INDIRECT(ADDRESS(2,COLUMN())),OFFSET($BN$2,0,0,ROW()-1,60),ROW()-1,FALSE))</f>
        <v>774.04499999999996</v>
      </c>
      <c r="S54">
        <f ca="1">IF(AND(ISNUMBER($S$285),$B$183=1),$S$285,HLOOKUP(INDIRECT(ADDRESS(2,COLUMN())),OFFSET($BN$2,0,0,ROW()-1,60),ROW()-1,FALSE))</f>
        <v>816.00300000000004</v>
      </c>
      <c r="T54">
        <f ca="1">IF(AND(ISNUMBER($T$285),$B$183=1),$T$285,HLOOKUP(INDIRECT(ADDRESS(2,COLUMN())),OFFSET($BN$2,0,0,ROW()-1,60),ROW()-1,FALSE))</f>
        <v>852.83500000000004</v>
      </c>
      <c r="U54">
        <f ca="1">IF(AND(ISNUMBER($U$285),$B$183=1),$U$285,HLOOKUP(INDIRECT(ADDRESS(2,COLUMN())),OFFSET($BN$2,0,0,ROW()-1,60),ROW()-1,FALSE))</f>
        <v>845.72900000000004</v>
      </c>
      <c r="V54">
        <f ca="1">IF(AND(ISNUMBER($V$285),$B$183=1),$V$285,HLOOKUP(INDIRECT(ADDRESS(2,COLUMN())),OFFSET($BN$2,0,0,ROW()-1,60),ROW()-1,FALSE))</f>
        <v>956.55399999999997</v>
      </c>
      <c r="W54">
        <f ca="1">IF(AND(ISNUMBER($W$285),$B$183=1),$W$285,HLOOKUP(INDIRECT(ADDRESS(2,COLUMN())),OFFSET($BN$2,0,0,ROW()-1,60),ROW()-1,FALSE))</f>
        <v>927.56799999999998</v>
      </c>
      <c r="X54">
        <f ca="1">IF(AND(ISNUMBER($X$285),$B$183=1),$X$285,HLOOKUP(INDIRECT(ADDRESS(2,COLUMN())),OFFSET($BN$2,0,0,ROW()-1,60),ROW()-1,FALSE))</f>
        <v>896.82500000000005</v>
      </c>
      <c r="Y54">
        <f ca="1">IF(AND(ISNUMBER($Y$285),$B$183=1),$Y$285,HLOOKUP(INDIRECT(ADDRESS(2,COLUMN())),OFFSET($BN$2,0,0,ROW()-1,60),ROW()-1,FALSE))</f>
        <v>869.976</v>
      </c>
      <c r="Z54">
        <f ca="1">IF(AND(ISNUMBER($Z$285),$B$183=1),$Z$285,HLOOKUP(INDIRECT(ADDRESS(2,COLUMN())),OFFSET($BN$2,0,0,ROW()-1,60),ROW()-1,FALSE))</f>
        <v>908.98299999999995</v>
      </c>
      <c r="AA54">
        <f ca="1">IF(AND(ISNUMBER($AA$285),$B$183=1),$AA$285,HLOOKUP(INDIRECT(ADDRESS(2,COLUMN())),OFFSET($BN$2,0,0,ROW()-1,60),ROW()-1,FALSE))</f>
        <v>808.41399999999999</v>
      </c>
      <c r="AB54">
        <f ca="1">IF(AND(ISNUMBER($AB$285),$B$183=1),$AB$285,HLOOKUP(INDIRECT(ADDRESS(2,COLUMN())),OFFSET($BN$2,0,0,ROW()-1,60),ROW()-1,FALSE))</f>
        <v>666.41</v>
      </c>
      <c r="AC54">
        <f ca="1">IF(AND(ISNUMBER($AC$285),$B$183=1),$AC$285,HLOOKUP(INDIRECT(ADDRESS(2,COLUMN())),OFFSET($BN$2,0,0,ROW()-1,60),ROW()-1,FALSE))</f>
        <v>572.83199999999999</v>
      </c>
      <c r="AD54">
        <f ca="1">IF(AND(ISNUMBER($AD$285),$B$183=1),$AD$285,HLOOKUP(INDIRECT(ADDRESS(2,COLUMN())),OFFSET($BN$2,0,0,ROW()-1,60),ROW()-1,FALSE))</f>
        <v>702.976</v>
      </c>
      <c r="AE54">
        <f ca="1">IF(AND(ISNUMBER($AE$285),$B$183=1),$AE$285,HLOOKUP(INDIRECT(ADDRESS(2,COLUMN())),OFFSET($BN$2,0,0,ROW()-1,60),ROW()-1,FALSE))</f>
        <v>724.73400000000004</v>
      </c>
      <c r="AF54">
        <f ca="1">IF(AND(ISNUMBER($AF$285),$B$183=1),$AF$285,HLOOKUP(INDIRECT(ADDRESS(2,COLUMN())),OFFSET($BN$2,0,0,ROW()-1,60),ROW()-1,FALSE))</f>
        <v>644.24099999999999</v>
      </c>
      <c r="AG54">
        <f ca="1">IF(AND(ISNUMBER($AG$285),$B$183=1),$AG$285,HLOOKUP(INDIRECT(ADDRESS(2,COLUMN())),OFFSET($BN$2,0,0,ROW()-1,60),ROW()-1,FALSE))</f>
        <v>636.84100000000001</v>
      </c>
      <c r="AH54">
        <f ca="1">IF(AND(ISNUMBER($AH$285),$B$183=1),$AH$285,HLOOKUP(INDIRECT(ADDRESS(2,COLUMN())),OFFSET($BN$2,0,0,ROW()-1,60),ROW()-1,FALSE))</f>
        <v>701.23</v>
      </c>
      <c r="AI54">
        <f ca="1">IF(AND(ISNUMBER($AI$285),$B$183=1),$AI$285,HLOOKUP(INDIRECT(ADDRESS(2,COLUMN())),OFFSET($BN$2,0,0,ROW()-1,60),ROW()-1,FALSE))</f>
        <v>288.64800000000002</v>
      </c>
      <c r="AJ54">
        <f ca="1">IF(AND(ISNUMBER($AJ$285),$B$183=1),$AJ$285,HLOOKUP(INDIRECT(ADDRESS(2,COLUMN())),OFFSET($BN$2,0,0,ROW()-1,60),ROW()-1,FALSE))</f>
        <v>238.30699999999999</v>
      </c>
      <c r="AK54">
        <f ca="1">IF(AND(ISNUMBER($AK$285),$B$183=1),$AK$285,HLOOKUP(INDIRECT(ADDRESS(2,COLUMN())),OFFSET($BN$2,0,0,ROW()-1,60),ROW()-1,FALSE))</f>
        <v>290.81099999999998</v>
      </c>
      <c r="AL54">
        <f ca="1">IF(AND(ISNUMBER($AL$285),$B$183=1),$AL$285,HLOOKUP(INDIRECT(ADDRESS(2,COLUMN())),OFFSET($BN$2,0,0,ROW()-1,60),ROW()-1,FALSE))</f>
        <v>246.54400000000001</v>
      </c>
      <c r="AM54">
        <f ca="1">IF(AND(ISNUMBER($AM$285),$B$183=1),$AM$285,HLOOKUP(INDIRECT(ADDRESS(2,COLUMN())),OFFSET($BN$2,0,0,ROW()-1,60),ROW()-1,FALSE))</f>
        <v>269.70299999999997</v>
      </c>
      <c r="AN54">
        <f ca="1">IF(AND(ISNUMBER($AN$285),$B$183=1),$AN$285,HLOOKUP(INDIRECT(ADDRESS(2,COLUMN())),OFFSET($BN$2,0,0,ROW()-1,60),ROW()-1,FALSE))</f>
        <v>226.25399999999999</v>
      </c>
      <c r="AO54">
        <f ca="1">IF(AND(ISNUMBER($AO$285),$B$183=1),$AO$285,HLOOKUP(INDIRECT(ADDRESS(2,COLUMN())),OFFSET($BN$2,0,0,ROW()-1,60),ROW()-1,FALSE))</f>
        <v>371.63099999999997</v>
      </c>
      <c r="AP54">
        <f ca="1">IF(AND(ISNUMBER($AP$285),$B$183=1),$AP$285,HLOOKUP(INDIRECT(ADDRESS(2,COLUMN())),OFFSET($BN$2,0,0,ROW()-1,60),ROW()-1,FALSE))</f>
        <v>317.52300000000002</v>
      </c>
      <c r="AQ54">
        <f ca="1">IF(AND(ISNUMBER($AQ$285),$B$183=1),$AQ$285,HLOOKUP(INDIRECT(ADDRESS(2,COLUMN())),OFFSET($BN$2,0,0,ROW()-1,60),ROW()-1,FALSE))</f>
        <v>338.358</v>
      </c>
      <c r="AR54">
        <f ca="1">IF(AND(ISNUMBER($AR$285),$B$183=1),$AR$285,HLOOKUP(INDIRECT(ADDRESS(2,COLUMN())),OFFSET($BN$2,0,0,ROW()-1,60),ROW()-1,FALSE))</f>
        <v>308.26400000000001</v>
      </c>
      <c r="AS54">
        <f ca="1">IF(AND(ISNUMBER($AS$285),$B$183=1),$AS$285,HLOOKUP(INDIRECT(ADDRESS(2,COLUMN())),OFFSET($BN$2,0,0,ROW()-1,60),ROW()-1,FALSE))</f>
        <v>305.31</v>
      </c>
      <c r="AT54">
        <f ca="1">IF(AND(ISNUMBER($AT$285),$B$183=1),$AT$285,HLOOKUP(INDIRECT(ADDRESS(2,COLUMN())),OFFSET($BN$2,0,0,ROW()-1,60),ROW()-1,FALSE))</f>
        <v>408.9975</v>
      </c>
      <c r="AU54">
        <f ca="1">IF(AND(ISNUMBER($AU$285),$B$183=1),$AU$285,HLOOKUP(INDIRECT(ADDRESS(2,COLUMN())),OFFSET($BN$2,0,0,ROW()-1,60),ROW()-1,FALSE))</f>
        <v>398.69200000000001</v>
      </c>
      <c r="AV54">
        <f ca="1">IF(AND(ISNUMBER($AV$285),$B$183=1),$AV$285,HLOOKUP(INDIRECT(ADDRESS(2,COLUMN())),OFFSET($BN$2,0,0,ROW()-1,60),ROW()-1,FALSE))</f>
        <v>363.10700000000003</v>
      </c>
      <c r="AW54">
        <f ca="1">IF(AND(ISNUMBER($AW$285),$B$183=1),$AW$285,HLOOKUP(INDIRECT(ADDRESS(2,COLUMN())),OFFSET($BN$2,0,0,ROW()-1,60),ROW()-1,FALSE))</f>
        <v>297.39299999999997</v>
      </c>
      <c r="AX54">
        <f ca="1">IF(AND(ISNUMBER($AX$285),$B$183=1),$AX$285,HLOOKUP(INDIRECT(ADDRESS(2,COLUMN())),OFFSET($BN$2,0,0,ROW()-1,60),ROW()-1,FALSE))</f>
        <v>353.923</v>
      </c>
      <c r="AY54">
        <f ca="1">IF(AND(ISNUMBER($AY$285),$B$183=1),$AY$285,HLOOKUP(INDIRECT(ADDRESS(2,COLUMN())),OFFSET($BN$2,0,0,ROW()-1,60),ROW()-1,FALSE))</f>
        <v>368.24299999999999</v>
      </c>
      <c r="AZ54">
        <f ca="1">IF(AND(ISNUMBER($AZ$285),$B$183=1),$AZ$285,HLOOKUP(INDIRECT(ADDRESS(2,COLUMN())),OFFSET($BN$2,0,0,ROW()-1,60),ROW()-1,FALSE))</f>
        <v>313.60899999999998</v>
      </c>
      <c r="BA54">
        <f ca="1">IF(AND(ISNUMBER($BA$285),$B$183=1),$BA$285,HLOOKUP(INDIRECT(ADDRESS(2,COLUMN())),OFFSET($BN$2,0,0,ROW()-1,60),ROW()-1,FALSE))</f>
        <v>332.178</v>
      </c>
      <c r="BB54">
        <f ca="1">IF(AND(ISNUMBER($BB$285),$B$183=1),$BB$285,HLOOKUP(INDIRECT(ADDRESS(2,COLUMN())),OFFSET($BN$2,0,0,ROW()-1,60),ROW()-1,FALSE))</f>
        <v>245.30199999999999</v>
      </c>
      <c r="BC54">
        <f ca="1">IF(AND(ISNUMBER($BC$285),$B$183=1),$BC$285,HLOOKUP(INDIRECT(ADDRESS(2,COLUMN())),OFFSET($BN$2,0,0,ROW()-1,60),ROW()-1,FALSE))</f>
        <v>267.99400000000003</v>
      </c>
      <c r="BD54">
        <f ca="1">IF(AND(ISNUMBER($BD$285),$B$183=1),$BD$285,HLOOKUP(INDIRECT(ADDRESS(2,COLUMN())),OFFSET($BN$2,0,0,ROW()-1,60),ROW()-1,FALSE))</f>
        <v>249.76</v>
      </c>
      <c r="BE54">
        <f ca="1">IF(AND(ISNUMBER($BE$285),$B$183=1),$BE$285,HLOOKUP(INDIRECT(ADDRESS(2,COLUMN())),OFFSET($BN$2,0,0,ROW()-1,60),ROW()-1,FALSE))</f>
        <v>276.125</v>
      </c>
      <c r="BF54">
        <f ca="1">IF(AND(ISNUMBER($BF$285),$B$183=1),$BF$285,HLOOKUP(INDIRECT(ADDRESS(2,COLUMN())),OFFSET($BN$2,0,0,ROW()-1,60),ROW()-1,FALSE))</f>
        <v>216.70500000000001</v>
      </c>
      <c r="BG54">
        <f ca="1">IF(AND(ISNUMBER($BG$285),$B$183=1),$BG$285,HLOOKUP(INDIRECT(ADDRESS(2,COLUMN())),OFFSET($BN$2,0,0,ROW()-1,60),ROW()-1,FALSE))</f>
        <v>244.26599999999999</v>
      </c>
      <c r="BH54">
        <f ca="1">IF(AND(ISNUMBER($BH$285),$B$183=1),$BH$285,HLOOKUP(INDIRECT(ADDRESS(2,COLUMN())),OFFSET($BN$2,0,0,ROW()-1,60),ROW()-1,FALSE))</f>
        <v>264.85500000000002</v>
      </c>
      <c r="BI54">
        <f ca="1">IF(AND(ISNUMBER($BI$285),$B$183=1),$BI$285,HLOOKUP(INDIRECT(ADDRESS(2,COLUMN())),OFFSET($BN$2,0,0,ROW()-1,60),ROW()-1,FALSE))</f>
        <v>348.25200000000001</v>
      </c>
      <c r="BJ54">
        <f ca="1">IF(AND(ISNUMBER($BJ$285),$B$183=1),$BJ$285,HLOOKUP(INDIRECT(ADDRESS(2,COLUMN())),OFFSET($BN$2,0,0,ROW()-1,60),ROW()-1,FALSE))</f>
        <v>142</v>
      </c>
      <c r="BK54">
        <f ca="1">IF(AND(ISNUMBER($BK$285),$B$183=1),$BK$285,HLOOKUP(INDIRECT(ADDRESS(2,COLUMN())),OFFSET($BN$2,0,0,ROW()-1,60),ROW()-1,FALSE))</f>
        <v>124</v>
      </c>
      <c r="BL54">
        <f ca="1">IF(AND(ISNUMBER($BL$285),$B$183=1),$BL$285,HLOOKUP(INDIRECT(ADDRESS(2,COLUMN())),OFFSET($BN$2,0,0,ROW()-1,60),ROW()-1,FALSE))</f>
        <v>129</v>
      </c>
      <c r="BM54">
        <f ca="1">IF(AND(ISNUMBER($BM$285),$B$183=1),$BM$285,HLOOKUP(INDIRECT(ADDRESS(2,COLUMN())),OFFSET($BN$2,0,0,ROW()-1,60),ROW()-1,FALSE))</f>
        <v>110</v>
      </c>
      <c r="BN54">
        <f>790.926</f>
        <v>790.92600000000004</v>
      </c>
      <c r="BO54">
        <f>779.517</f>
        <v>779.51700000000005</v>
      </c>
      <c r="BP54">
        <f>754.266</f>
        <v>754.26599999999996</v>
      </c>
      <c r="BQ54">
        <f>657.313</f>
        <v>657.31299999999999</v>
      </c>
      <c r="BR54">
        <f>563.585</f>
        <v>563.58500000000004</v>
      </c>
      <c r="BS54">
        <f>672.821</f>
        <v>672.82100000000003</v>
      </c>
      <c r="BT54">
        <f>616.171</f>
        <v>616.17100000000005</v>
      </c>
      <c r="BU54">
        <f>495.946</f>
        <v>495.94600000000003</v>
      </c>
      <c r="BV54">
        <f>566.821</f>
        <v>566.82100000000003</v>
      </c>
      <c r="BW54">
        <f>805.764</f>
        <v>805.76400000000001</v>
      </c>
      <c r="BX54">
        <f>634.121</f>
        <v>634.12099999999998</v>
      </c>
      <c r="BY54">
        <f>689.892</f>
        <v>689.89200000000005</v>
      </c>
      <c r="BZ54">
        <f>774.045</f>
        <v>774.04499999999996</v>
      </c>
      <c r="CA54">
        <f>816.003</f>
        <v>816.00300000000004</v>
      </c>
      <c r="CB54">
        <f>852.835</f>
        <v>852.83500000000004</v>
      </c>
      <c r="CC54">
        <f>845.729</f>
        <v>845.72900000000004</v>
      </c>
      <c r="CD54">
        <f>956.554</f>
        <v>956.55399999999997</v>
      </c>
      <c r="CE54">
        <f>927.568</f>
        <v>927.56799999999998</v>
      </c>
      <c r="CF54">
        <f>896.825</f>
        <v>896.82500000000005</v>
      </c>
      <c r="CG54">
        <f>869.976</f>
        <v>869.976</v>
      </c>
      <c r="CH54">
        <f>908.983</f>
        <v>908.98299999999995</v>
      </c>
      <c r="CI54">
        <f>808.414</f>
        <v>808.41399999999999</v>
      </c>
      <c r="CJ54">
        <f>666.41</f>
        <v>666.41</v>
      </c>
      <c r="CK54">
        <f>572.832</f>
        <v>572.83199999999999</v>
      </c>
      <c r="CL54">
        <f>702.976</f>
        <v>702.976</v>
      </c>
      <c r="CM54">
        <f>724.734</f>
        <v>724.73400000000004</v>
      </c>
      <c r="CN54">
        <f>644.241</f>
        <v>644.24099999999999</v>
      </c>
      <c r="CO54">
        <f>636.841</f>
        <v>636.84100000000001</v>
      </c>
      <c r="CP54">
        <f>701.23</f>
        <v>701.23</v>
      </c>
      <c r="CQ54">
        <f>288.648</f>
        <v>288.64800000000002</v>
      </c>
      <c r="CR54">
        <f>238.307</f>
        <v>238.30699999999999</v>
      </c>
      <c r="CS54">
        <f>290.811</f>
        <v>290.81099999999998</v>
      </c>
      <c r="CT54">
        <f>246.544</f>
        <v>246.54400000000001</v>
      </c>
      <c r="CU54">
        <f>269.703</f>
        <v>269.70299999999997</v>
      </c>
      <c r="CV54">
        <f>226.254</f>
        <v>226.25399999999999</v>
      </c>
      <c r="CW54">
        <f>371.631</f>
        <v>371.63099999999997</v>
      </c>
      <c r="CX54">
        <f>317.523</f>
        <v>317.52300000000002</v>
      </c>
      <c r="CY54">
        <f>338.358</f>
        <v>338.358</v>
      </c>
      <c r="CZ54">
        <f>308.264</f>
        <v>308.26400000000001</v>
      </c>
      <c r="DA54">
        <f>305.31</f>
        <v>305.31</v>
      </c>
      <c r="DB54">
        <f>408.9975</f>
        <v>408.9975</v>
      </c>
      <c r="DC54">
        <f>398.692</f>
        <v>398.69200000000001</v>
      </c>
      <c r="DD54">
        <f>363.107</f>
        <v>363.10700000000003</v>
      </c>
      <c r="DE54">
        <f>297.393</f>
        <v>297.39299999999997</v>
      </c>
      <c r="DF54">
        <f>353.923</f>
        <v>353.923</v>
      </c>
      <c r="DG54">
        <f>368.243</f>
        <v>368.24299999999999</v>
      </c>
      <c r="DH54">
        <f>313.609</f>
        <v>313.60899999999998</v>
      </c>
      <c r="DI54">
        <f>332.178</f>
        <v>332.178</v>
      </c>
      <c r="DJ54">
        <f>245.302</f>
        <v>245.30199999999999</v>
      </c>
      <c r="DK54">
        <f>267.994</f>
        <v>267.99400000000003</v>
      </c>
      <c r="DL54">
        <f>249.76</f>
        <v>249.76</v>
      </c>
      <c r="DM54">
        <f>276.125</f>
        <v>276.125</v>
      </c>
      <c r="DN54">
        <f>216.705</f>
        <v>216.70500000000001</v>
      </c>
      <c r="DO54">
        <f>244.266</f>
        <v>244.26599999999999</v>
      </c>
      <c r="DP54">
        <f>264.855</f>
        <v>264.85500000000002</v>
      </c>
      <c r="DQ54">
        <f>348.252</f>
        <v>348.25200000000001</v>
      </c>
      <c r="DR54">
        <f>142</f>
        <v>142</v>
      </c>
      <c r="DS54">
        <f>124</f>
        <v>124</v>
      </c>
      <c r="DT54">
        <f>129</f>
        <v>129</v>
      </c>
      <c r="DU54">
        <f>110</f>
        <v>110</v>
      </c>
    </row>
    <row r="55" spans="1:125">
      <c r="A55" t="str">
        <f>"    Data Center REITs"</f>
        <v xml:space="preserve">    Data Center REITs</v>
      </c>
      <c r="B55" t="str">
        <f>"RECFNODC Index"</f>
        <v>RECFNODC Index</v>
      </c>
      <c r="C55" t="str">
        <f t="shared" si="7"/>
        <v>PR005</v>
      </c>
      <c r="D55" t="str">
        <f t="shared" si="8"/>
        <v>PX_LAST</v>
      </c>
      <c r="E55" t="str">
        <f t="shared" si="9"/>
        <v>动态</v>
      </c>
      <c r="F55">
        <f ca="1">IF(AND(ISNUMBER($F$286),$B$183=1),$F$286,HLOOKUP(INDIRECT(ADDRESS(2,COLUMN())),OFFSET($BN$2,0,0,ROW()-1,60),ROW()-1,FALSE))</f>
        <v>1399.088</v>
      </c>
      <c r="G55">
        <f ca="1">IF(AND(ISNUMBER($G$286),$B$183=1),$G$286,HLOOKUP(INDIRECT(ADDRESS(2,COLUMN())),OFFSET($BN$2,0,0,ROW()-1,60),ROW()-1,FALSE))</f>
        <v>1278.048</v>
      </c>
      <c r="H55">
        <f ca="1">IF(AND(ISNUMBER($H$286),$B$183=1),$H$286,HLOOKUP(INDIRECT(ADDRESS(2,COLUMN())),OFFSET($BN$2,0,0,ROW()-1,60),ROW()-1,FALSE))</f>
        <v>1293.54</v>
      </c>
      <c r="I55">
        <f ca="1">IF(AND(ISNUMBER($I$286),$B$183=1),$I$286,HLOOKUP(INDIRECT(ADDRESS(2,COLUMN())),OFFSET($BN$2,0,0,ROW()-1,60),ROW()-1,FALSE))</f>
        <v>1187.239</v>
      </c>
      <c r="J55">
        <f ca="1">IF(AND(ISNUMBER($J$286),$B$183=1),$J$286,HLOOKUP(INDIRECT(ADDRESS(2,COLUMN())),OFFSET($BN$2,0,0,ROW()-1,60),ROW()-1,FALSE))</f>
        <v>1179.809</v>
      </c>
      <c r="K55">
        <f ca="1">IF(AND(ISNUMBER($K$286),$B$183=1),$K$286,HLOOKUP(INDIRECT(ADDRESS(2,COLUMN())),OFFSET($BN$2,0,0,ROW()-1,60),ROW()-1,FALSE))</f>
        <v>1151.077</v>
      </c>
      <c r="L55">
        <f ca="1">IF(AND(ISNUMBER($L$286),$B$183=1),$L$286,HLOOKUP(INDIRECT(ADDRESS(2,COLUMN())),OFFSET($BN$2,0,0,ROW()-1,60),ROW()-1,FALSE))</f>
        <v>1105.4000000000001</v>
      </c>
      <c r="M55">
        <f ca="1">IF(AND(ISNUMBER($M$286),$B$183=1),$M$286,HLOOKUP(INDIRECT(ADDRESS(2,COLUMN())),OFFSET($BN$2,0,0,ROW()-1,60),ROW()-1,FALSE))</f>
        <v>1050.2750000000001</v>
      </c>
      <c r="N55">
        <f ca="1">IF(AND(ISNUMBER($N$286),$B$183=1),$N$286,HLOOKUP(INDIRECT(ADDRESS(2,COLUMN())),OFFSET($BN$2,0,0,ROW()-1,60),ROW()-1,FALSE))</f>
        <v>967.755</v>
      </c>
      <c r="O55">
        <f ca="1">IF(AND(ISNUMBER($O$286),$B$183=1),$O$286,HLOOKUP(INDIRECT(ADDRESS(2,COLUMN())),OFFSET($BN$2,0,0,ROW()-1,60),ROW()-1,FALSE))</f>
        <v>893.69600000000003</v>
      </c>
      <c r="P55">
        <f ca="1">IF(AND(ISNUMBER($P$286),$B$183=1),$P$286,HLOOKUP(INDIRECT(ADDRESS(2,COLUMN())),OFFSET($BN$2,0,0,ROW()-1,60),ROW()-1,FALSE))</f>
        <v>856.58</v>
      </c>
      <c r="Q55">
        <f ca="1">IF(AND(ISNUMBER($Q$286),$B$183=1),$Q$286,HLOOKUP(INDIRECT(ADDRESS(2,COLUMN())),OFFSET($BN$2,0,0,ROW()-1,60),ROW()-1,FALSE))</f>
        <v>825.899</v>
      </c>
      <c r="R55">
        <f ca="1">IF(AND(ISNUMBER($R$286),$B$183=1),$R$286,HLOOKUP(INDIRECT(ADDRESS(2,COLUMN())),OFFSET($BN$2,0,0,ROW()-1,60),ROW()-1,FALSE))</f>
        <v>453.11900000000003</v>
      </c>
      <c r="S55">
        <f ca="1">IF(AND(ISNUMBER($S$286),$B$183=1),$S$286,HLOOKUP(INDIRECT(ADDRESS(2,COLUMN())),OFFSET($BN$2,0,0,ROW()-1,60),ROW()-1,FALSE))</f>
        <v>440.89600000000002</v>
      </c>
      <c r="T55">
        <f ca="1">IF(AND(ISNUMBER($T$286),$B$183=1),$T$286,HLOOKUP(INDIRECT(ADDRESS(2,COLUMN())),OFFSET($BN$2,0,0,ROW()-1,60),ROW()-1,FALSE))</f>
        <v>434.20499999999998</v>
      </c>
      <c r="U55">
        <f ca="1">IF(AND(ISNUMBER($U$286),$B$183=1),$U$286,HLOOKUP(INDIRECT(ADDRESS(2,COLUMN())),OFFSET($BN$2,0,0,ROW()-1,60),ROW()-1,FALSE))</f>
        <v>425.08600000000001</v>
      </c>
      <c r="V55">
        <f ca="1">IF(AND(ISNUMBER($V$286),$B$183=1),$V$286,HLOOKUP(INDIRECT(ADDRESS(2,COLUMN())),OFFSET($BN$2,0,0,ROW()-1,60),ROW()-1,FALSE))</f>
        <v>407.06099999999998</v>
      </c>
      <c r="W55">
        <f ca="1">IF(AND(ISNUMBER($W$286),$B$183=1),$W$286,HLOOKUP(INDIRECT(ADDRESS(2,COLUMN())),OFFSET($BN$2,0,0,ROW()-1,60),ROW()-1,FALSE))</f>
        <v>360.411</v>
      </c>
      <c r="X55">
        <f ca="1">IF(AND(ISNUMBER($X$286),$B$183=1),$X$286,HLOOKUP(INDIRECT(ADDRESS(2,COLUMN())),OFFSET($BN$2,0,0,ROW()-1,60),ROW()-1,FALSE))</f>
        <v>364.94200000000001</v>
      </c>
      <c r="Y55">
        <f ca="1">IF(AND(ISNUMBER($Y$286),$B$183=1),$Y$286,HLOOKUP(INDIRECT(ADDRESS(2,COLUMN())),OFFSET($BN$2,0,0,ROW()-1,60),ROW()-1,FALSE))</f>
        <v>346.20699999999999</v>
      </c>
      <c r="Z55">
        <f ca="1">IF(AND(ISNUMBER($Z$286),$B$183=1),$Z$286,HLOOKUP(INDIRECT(ADDRESS(2,COLUMN())),OFFSET($BN$2,0,0,ROW()-1,60),ROW()-1,FALSE))</f>
        <v>303.83800000000002</v>
      </c>
      <c r="AA55">
        <f ca="1">IF(AND(ISNUMBER($AA$286),$B$183=1),$AA$286,HLOOKUP(INDIRECT(ADDRESS(2,COLUMN())),OFFSET($BN$2,0,0,ROW()-1,60),ROW()-1,FALSE))</f>
        <v>297.58</v>
      </c>
      <c r="AB55">
        <f ca="1">IF(AND(ISNUMBER($AB$286),$B$183=1),$AB$286,HLOOKUP(INDIRECT(ADDRESS(2,COLUMN())),OFFSET($BN$2,0,0,ROW()-1,60),ROW()-1,FALSE))</f>
        <v>273.084</v>
      </c>
      <c r="AC55">
        <f ca="1">IF(AND(ISNUMBER($AC$286),$B$183=1),$AC$286,HLOOKUP(INDIRECT(ADDRESS(2,COLUMN())),OFFSET($BN$2,0,0,ROW()-1,60),ROW()-1,FALSE))</f>
        <v>262.18700000000001</v>
      </c>
      <c r="AD55">
        <f ca="1">IF(AND(ISNUMBER($AD$286),$B$183=1),$AD$286,HLOOKUP(INDIRECT(ADDRESS(2,COLUMN())),OFFSET($BN$2,0,0,ROW()-1,60),ROW()-1,FALSE))</f>
        <v>248.065</v>
      </c>
      <c r="AE55">
        <f ca="1">IF(AND(ISNUMBER($AE$286),$B$183=1),$AE$286,HLOOKUP(INDIRECT(ADDRESS(2,COLUMN())),OFFSET($BN$2,0,0,ROW()-1,60),ROW()-1,FALSE))</f>
        <v>240.99</v>
      </c>
      <c r="AF55">
        <f ca="1">IF(AND(ISNUMBER($AF$286),$B$183=1),$AF$286,HLOOKUP(INDIRECT(ADDRESS(2,COLUMN())),OFFSET($BN$2,0,0,ROW()-1,60),ROW()-1,FALSE))</f>
        <v>239.02</v>
      </c>
      <c r="AG55">
        <f ca="1">IF(AND(ISNUMBER($AG$286),$B$183=1),$AG$286,HLOOKUP(INDIRECT(ADDRESS(2,COLUMN())),OFFSET($BN$2,0,0,ROW()-1,60),ROW()-1,FALSE))</f>
        <v>229.285</v>
      </c>
      <c r="AH55">
        <f ca="1">IF(AND(ISNUMBER($AH$286),$B$183=1),$AH$286,HLOOKUP(INDIRECT(ADDRESS(2,COLUMN())),OFFSET($BN$2,0,0,ROW()-1,60),ROW()-1,FALSE))</f>
        <v>225.11</v>
      </c>
      <c r="AI55">
        <f ca="1">IF(AND(ISNUMBER($AI$286),$B$183=1),$AI$286,HLOOKUP(INDIRECT(ADDRESS(2,COLUMN())),OFFSET($BN$2,0,0,ROW()-1,60),ROW()-1,FALSE))</f>
        <v>188.36099999999999</v>
      </c>
      <c r="AJ55">
        <f ca="1">IF(AND(ISNUMBER($AJ$286),$B$183=1),$AJ$286,HLOOKUP(INDIRECT(ADDRESS(2,COLUMN())),OFFSET($BN$2,0,0,ROW()-1,60),ROW()-1,FALSE))</f>
        <v>168.49199999999999</v>
      </c>
      <c r="AK55">
        <f ca="1">IF(AND(ISNUMBER($AK$286),$B$183=1),$AK$286,HLOOKUP(INDIRECT(ADDRESS(2,COLUMN())),OFFSET($BN$2,0,0,ROW()-1,60),ROW()-1,FALSE))</f>
        <v>160.54900000000001</v>
      </c>
      <c r="AL55">
        <f ca="1">IF(AND(ISNUMBER($AL$286),$B$183=1),$AL$286,HLOOKUP(INDIRECT(ADDRESS(2,COLUMN())),OFFSET($BN$2,0,0,ROW()-1,60),ROW()-1,FALSE))</f>
        <v>146.11600000000001</v>
      </c>
      <c r="AM55">
        <f ca="1">IF(AND(ISNUMBER($AM$286),$B$183=1),$AM$286,HLOOKUP(INDIRECT(ADDRESS(2,COLUMN())),OFFSET($BN$2,0,0,ROW()-1,60),ROW()-1,FALSE))</f>
        <v>137.679</v>
      </c>
      <c r="AN55">
        <f ca="1">IF(AND(ISNUMBER($AN$286),$B$183=1),$AN$286,HLOOKUP(INDIRECT(ADDRESS(2,COLUMN())),OFFSET($BN$2,0,0,ROW()-1,60),ROW()-1,FALSE))</f>
        <v>131.178</v>
      </c>
      <c r="AO55">
        <f ca="1">IF(AND(ISNUMBER($AO$286),$B$183=1),$AO$286,HLOOKUP(INDIRECT(ADDRESS(2,COLUMN())),OFFSET($BN$2,0,0,ROW()-1,60),ROW()-1,FALSE))</f>
        <v>123.351</v>
      </c>
      <c r="AP55">
        <f ca="1">IF(AND(ISNUMBER($AP$286),$B$183=1),$AP$286,HLOOKUP(INDIRECT(ADDRESS(2,COLUMN())),OFFSET($BN$2,0,0,ROW()-1,60),ROW()-1,FALSE))</f>
        <v>118.52</v>
      </c>
      <c r="AQ55">
        <f ca="1">IF(AND(ISNUMBER($AQ$286),$B$183=1),$AQ$286,HLOOKUP(INDIRECT(ADDRESS(2,COLUMN())),OFFSET($BN$2,0,0,ROW()-1,60),ROW()-1,FALSE))</f>
        <v>109.57299999999999</v>
      </c>
      <c r="AR55">
        <f ca="1">IF(AND(ISNUMBER($AR$286),$B$183=1),$AR$286,HLOOKUP(INDIRECT(ADDRESS(2,COLUMN())),OFFSET($BN$2,0,0,ROW()-1,60),ROW()-1,FALSE))</f>
        <v>105.167</v>
      </c>
      <c r="AS55">
        <f ca="1">IF(AND(ISNUMBER($AS$286),$B$183=1),$AS$286,HLOOKUP(INDIRECT(ADDRESS(2,COLUMN())),OFFSET($BN$2,0,0,ROW()-1,60),ROW()-1,FALSE))</f>
        <v>101.06100000000001</v>
      </c>
      <c r="AT55">
        <f ca="1">IF(AND(ISNUMBER($AT$286),$B$183=1),$AT$286,HLOOKUP(INDIRECT(ADDRESS(2,COLUMN())),OFFSET($BN$2,0,0,ROW()-1,60),ROW()-1,FALSE))</f>
        <v>-89.977000000000004</v>
      </c>
      <c r="AU55">
        <f ca="1">IF(AND(ISNUMBER($AU$286),$B$183=1),$AU$286,HLOOKUP(INDIRECT(ADDRESS(2,COLUMN())),OFFSET($BN$2,0,0,ROW()-1,60),ROW()-1,FALSE))</f>
        <v>64.885999999999996</v>
      </c>
      <c r="AV55">
        <f ca="1">IF(AND(ISNUMBER($AV$286),$B$183=1),$AV$286,HLOOKUP(INDIRECT(ADDRESS(2,COLUMN())),OFFSET($BN$2,0,0,ROW()-1,60),ROW()-1,FALSE))</f>
        <v>62.71</v>
      </c>
      <c r="AW55">
        <f ca="1">IF(AND(ISNUMBER($AW$286),$B$183=1),$AW$286,HLOOKUP(INDIRECT(ADDRESS(2,COLUMN())),OFFSET($BN$2,0,0,ROW()-1,60),ROW()-1,FALSE))</f>
        <v>58.762</v>
      </c>
      <c r="AX55">
        <f ca="1">IF(AND(ISNUMBER($AX$286),$B$183=1),$AX$286,HLOOKUP(INDIRECT(ADDRESS(2,COLUMN())),OFFSET($BN$2,0,0,ROW()-1,60),ROW()-1,FALSE))</f>
        <v>56.341999999999999</v>
      </c>
      <c r="AY55">
        <f ca="1">IF(AND(ISNUMBER($AY$286),$B$183=1),$AY$286,HLOOKUP(INDIRECT(ADDRESS(2,COLUMN())),OFFSET($BN$2,0,0,ROW()-1,60),ROW()-1,FALSE))</f>
        <v>49.524000000000001</v>
      </c>
      <c r="AZ55">
        <f ca="1">IF(AND(ISNUMBER($AZ$286),$B$183=1),$AZ$286,HLOOKUP(INDIRECT(ADDRESS(2,COLUMN())),OFFSET($BN$2,0,0,ROW()-1,60),ROW()-1,FALSE))</f>
        <v>42.926000000000002</v>
      </c>
      <c r="BA55">
        <f ca="1">IF(AND(ISNUMBER($BA$286),$B$183=1),$BA$286,HLOOKUP(INDIRECT(ADDRESS(2,COLUMN())),OFFSET($BN$2,0,0,ROW()-1,60),ROW()-1,FALSE))</f>
        <v>40.646000000000001</v>
      </c>
      <c r="BB55">
        <f ca="1">IF(AND(ISNUMBER($BB$286),$B$183=1),$BB$286,HLOOKUP(INDIRECT(ADDRESS(2,COLUMN())),OFFSET($BN$2,0,0,ROW()-1,60),ROW()-1,FALSE))</f>
        <v>38.790999999999997</v>
      </c>
      <c r="BC55">
        <f ca="1">IF(AND(ISNUMBER($BC$286),$B$183=1),$BC$286,HLOOKUP(INDIRECT(ADDRESS(2,COLUMN())),OFFSET($BN$2,0,0,ROW()-1,60),ROW()-1,FALSE))</f>
        <v>36.709000000000003</v>
      </c>
      <c r="BD55">
        <f ca="1">IF(AND(ISNUMBER($BD$286),$B$183=1),$BD$286,HLOOKUP(INDIRECT(ADDRESS(2,COLUMN())),OFFSET($BN$2,0,0,ROW()-1,60),ROW()-1,FALSE))</f>
        <v>30.559000000000001</v>
      </c>
      <c r="BE55">
        <f ca="1">IF(AND(ISNUMBER($BE$286),$B$183=1),$BE$286,HLOOKUP(INDIRECT(ADDRESS(2,COLUMN())),OFFSET($BN$2,0,0,ROW()-1,60),ROW()-1,FALSE))</f>
        <v>27.786000000000001</v>
      </c>
      <c r="BF55">
        <f ca="1">IF(AND(ISNUMBER($BF$286),$B$183=1),$BF$286,HLOOKUP(INDIRECT(ADDRESS(2,COLUMN())),OFFSET($BN$2,0,0,ROW()-1,60),ROW()-1,FALSE))</f>
        <v>17.585000000000001</v>
      </c>
      <c r="BG55">
        <f ca="1">IF(AND(ISNUMBER($BG$286),$B$183=1),$BG$286,HLOOKUP(INDIRECT(ADDRESS(2,COLUMN())),OFFSET($BN$2,0,0,ROW()-1,60),ROW()-1,FALSE))</f>
        <v>0</v>
      </c>
      <c r="BH55">
        <f ca="1">IF(AND(ISNUMBER($BH$286),$B$183=1),$BH$286,HLOOKUP(INDIRECT(ADDRESS(2,COLUMN())),OFFSET($BN$2,0,0,ROW()-1,60),ROW()-1,FALSE))</f>
        <v>0</v>
      </c>
      <c r="BI55">
        <f ca="1">IF(AND(ISNUMBER($BI$286),$B$183=1),$BI$286,HLOOKUP(INDIRECT(ADDRESS(2,COLUMN())),OFFSET($BN$2,0,0,ROW()-1,60),ROW()-1,FALSE))</f>
        <v>0</v>
      </c>
      <c r="BJ55">
        <f ca="1">IF(AND(ISNUMBER($BJ$286),$B$183=1),$BJ$286,HLOOKUP(INDIRECT(ADDRESS(2,COLUMN())),OFFSET($BN$2,0,0,ROW()-1,60),ROW()-1,FALSE))</f>
        <v>0</v>
      </c>
      <c r="BK55">
        <f ca="1">IF(AND(ISNUMBER($BK$286),$B$183=1),$BK$286,HLOOKUP(INDIRECT(ADDRESS(2,COLUMN())),OFFSET($BN$2,0,0,ROW()-1,60),ROW()-1,FALSE))</f>
        <v>0</v>
      </c>
      <c r="BL55">
        <f ca="1">IF(AND(ISNUMBER($BL$286),$B$183=1),$BL$286,HLOOKUP(INDIRECT(ADDRESS(2,COLUMN())),OFFSET($BN$2,0,0,ROW()-1,60),ROW()-1,FALSE))</f>
        <v>0</v>
      </c>
      <c r="BM55">
        <f ca="1">IF(AND(ISNUMBER($BM$286),$B$183=1),$BM$286,HLOOKUP(INDIRECT(ADDRESS(2,COLUMN())),OFFSET($BN$2,0,0,ROW()-1,60),ROW()-1,FALSE))</f>
        <v>0</v>
      </c>
      <c r="BN55">
        <f>1399.088</f>
        <v>1399.088</v>
      </c>
      <c r="BO55">
        <f>1278.048</f>
        <v>1278.048</v>
      </c>
      <c r="BP55">
        <f>1293.54</f>
        <v>1293.54</v>
      </c>
      <c r="BQ55">
        <f>1187.239</f>
        <v>1187.239</v>
      </c>
      <c r="BR55">
        <f>1179.809</f>
        <v>1179.809</v>
      </c>
      <c r="BS55">
        <f>1151.077</f>
        <v>1151.077</v>
      </c>
      <c r="BT55">
        <f>1105.4</f>
        <v>1105.4000000000001</v>
      </c>
      <c r="BU55">
        <f>1050.275</f>
        <v>1050.2750000000001</v>
      </c>
      <c r="BV55">
        <f>967.755</f>
        <v>967.755</v>
      </c>
      <c r="BW55">
        <f>893.696</f>
        <v>893.69600000000003</v>
      </c>
      <c r="BX55">
        <f>856.58</f>
        <v>856.58</v>
      </c>
      <c r="BY55">
        <f>825.899</f>
        <v>825.899</v>
      </c>
      <c r="BZ55">
        <f>453.119</f>
        <v>453.11900000000003</v>
      </c>
      <c r="CA55">
        <f>440.896</f>
        <v>440.89600000000002</v>
      </c>
      <c r="CB55">
        <f>434.205</f>
        <v>434.20499999999998</v>
      </c>
      <c r="CC55">
        <f>425.086</f>
        <v>425.08600000000001</v>
      </c>
      <c r="CD55">
        <f>407.061</f>
        <v>407.06099999999998</v>
      </c>
      <c r="CE55">
        <f>360.411</f>
        <v>360.411</v>
      </c>
      <c r="CF55">
        <f>364.942</f>
        <v>364.94200000000001</v>
      </c>
      <c r="CG55">
        <f>346.207</f>
        <v>346.20699999999999</v>
      </c>
      <c r="CH55">
        <f>303.838</f>
        <v>303.83800000000002</v>
      </c>
      <c r="CI55">
        <f>297.58</f>
        <v>297.58</v>
      </c>
      <c r="CJ55">
        <f>273.084</f>
        <v>273.084</v>
      </c>
      <c r="CK55">
        <f>262.187</f>
        <v>262.18700000000001</v>
      </c>
      <c r="CL55">
        <f>248.065</f>
        <v>248.065</v>
      </c>
      <c r="CM55">
        <f>240.99</f>
        <v>240.99</v>
      </c>
      <c r="CN55">
        <f>239.02</f>
        <v>239.02</v>
      </c>
      <c r="CO55">
        <f>229.285</f>
        <v>229.285</v>
      </c>
      <c r="CP55">
        <f>225.11</f>
        <v>225.11</v>
      </c>
      <c r="CQ55">
        <f>188.361</f>
        <v>188.36099999999999</v>
      </c>
      <c r="CR55">
        <f>168.492</f>
        <v>168.49199999999999</v>
      </c>
      <c r="CS55">
        <f>160.549</f>
        <v>160.54900000000001</v>
      </c>
      <c r="CT55">
        <f>146.116</f>
        <v>146.11600000000001</v>
      </c>
      <c r="CU55">
        <f>137.679</f>
        <v>137.679</v>
      </c>
      <c r="CV55">
        <f>131.178</f>
        <v>131.178</v>
      </c>
      <c r="CW55">
        <f>123.351</f>
        <v>123.351</v>
      </c>
      <c r="CX55">
        <f>118.52</f>
        <v>118.52</v>
      </c>
      <c r="CY55">
        <f>109.573</f>
        <v>109.57299999999999</v>
      </c>
      <c r="CZ55">
        <f>105.167</f>
        <v>105.167</v>
      </c>
      <c r="DA55">
        <f>101.061</f>
        <v>101.06100000000001</v>
      </c>
      <c r="DB55">
        <f>-89.977</f>
        <v>-89.977000000000004</v>
      </c>
      <c r="DC55">
        <f>64.886</f>
        <v>64.885999999999996</v>
      </c>
      <c r="DD55">
        <f>62.71</f>
        <v>62.71</v>
      </c>
      <c r="DE55">
        <f>58.762</f>
        <v>58.762</v>
      </c>
      <c r="DF55">
        <f>56.342</f>
        <v>56.341999999999999</v>
      </c>
      <c r="DG55">
        <f>49.524</f>
        <v>49.524000000000001</v>
      </c>
      <c r="DH55">
        <f>42.926</f>
        <v>42.926000000000002</v>
      </c>
      <c r="DI55">
        <f>40.646</f>
        <v>40.646000000000001</v>
      </c>
      <c r="DJ55">
        <f>38.791</f>
        <v>38.790999999999997</v>
      </c>
      <c r="DK55">
        <f>36.709</f>
        <v>36.709000000000003</v>
      </c>
      <c r="DL55">
        <f>30.559</f>
        <v>30.559000000000001</v>
      </c>
      <c r="DM55">
        <f>27.786</f>
        <v>27.786000000000001</v>
      </c>
      <c r="DN55">
        <f>17.585</f>
        <v>17.585000000000001</v>
      </c>
      <c r="DO55">
        <f>0</f>
        <v>0</v>
      </c>
      <c r="DP55">
        <f>0</f>
        <v>0</v>
      </c>
      <c r="DQ55">
        <f>0</f>
        <v>0</v>
      </c>
      <c r="DR55">
        <f>0</f>
        <v>0</v>
      </c>
      <c r="DS55">
        <f>0</f>
        <v>0</v>
      </c>
      <c r="DT55">
        <f>0</f>
        <v>0</v>
      </c>
      <c r="DU55">
        <f>0</f>
        <v>0</v>
      </c>
    </row>
    <row r="56" spans="1:125">
      <c r="A56" t="str">
        <f>"    Specialty REITs"</f>
        <v xml:space="preserve">    Specialty REITs</v>
      </c>
      <c r="B56" t="str">
        <f>"RECFNOSP Index"</f>
        <v>RECFNOSP Index</v>
      </c>
      <c r="C56" t="str">
        <f t="shared" si="7"/>
        <v>PR005</v>
      </c>
      <c r="D56" t="str">
        <f t="shared" si="8"/>
        <v>PX_LAST</v>
      </c>
      <c r="E56" t="str">
        <f t="shared" si="9"/>
        <v>动态</v>
      </c>
      <c r="F56">
        <f ca="1">IF(AND(ISNUMBER($F$287),$B$183=1),$F$287,HLOOKUP(INDIRECT(ADDRESS(2,COLUMN())),OFFSET($BN$2,0,0,ROW()-1,60),ROW()-1,FALSE))</f>
        <v>1543.3613399999999</v>
      </c>
      <c r="G56">
        <f ca="1">IF(AND(ISNUMBER($G$287),$B$183=1),$G$287,HLOOKUP(INDIRECT(ADDRESS(2,COLUMN())),OFFSET($BN$2,0,0,ROW()-1,60),ROW()-1,FALSE))</f>
        <v>1517.2180000000001</v>
      </c>
      <c r="H56">
        <f ca="1">IF(AND(ISNUMBER($H$287),$B$183=1),$H$287,HLOOKUP(INDIRECT(ADDRESS(2,COLUMN())),OFFSET($BN$2,0,0,ROW()-1,60),ROW()-1,FALSE))</f>
        <v>1505.905</v>
      </c>
      <c r="I56">
        <f ca="1">IF(AND(ISNUMBER($I$287),$B$183=1),$I$287,HLOOKUP(INDIRECT(ADDRESS(2,COLUMN())),OFFSET($BN$2,0,0,ROW()-1,60),ROW()-1,FALSE))</f>
        <v>1370.9570000000001</v>
      </c>
      <c r="J56">
        <f ca="1">IF(AND(ISNUMBER($J$287),$B$183=1),$J$287,HLOOKUP(INDIRECT(ADDRESS(2,COLUMN())),OFFSET($BN$2,0,0,ROW()-1,60),ROW()-1,FALSE))</f>
        <v>1475.011</v>
      </c>
      <c r="K56">
        <f ca="1">IF(AND(ISNUMBER($K$287),$B$183=1),$K$287,HLOOKUP(INDIRECT(ADDRESS(2,COLUMN())),OFFSET($BN$2,0,0,ROW()-1,60),ROW()-1,FALSE))</f>
        <v>1457.173</v>
      </c>
      <c r="L56">
        <f ca="1">IF(AND(ISNUMBER($L$287),$B$183=1),$L$287,HLOOKUP(INDIRECT(ADDRESS(2,COLUMN())),OFFSET($BN$2,0,0,ROW()-1,60),ROW()-1,FALSE))</f>
        <v>1401.867</v>
      </c>
      <c r="M56">
        <f ca="1">IF(AND(ISNUMBER($M$287),$B$183=1),$M$287,HLOOKUP(INDIRECT(ADDRESS(2,COLUMN())),OFFSET($BN$2,0,0,ROW()-1,60),ROW()-1,FALSE))</f>
        <v>1188.598</v>
      </c>
      <c r="N56">
        <f ca="1">IF(AND(ISNUMBER($N$287),$B$183=1),$N$287,HLOOKUP(INDIRECT(ADDRESS(2,COLUMN())),OFFSET($BN$2,0,0,ROW()-1,60),ROW()-1,FALSE))</f>
        <v>1252.703</v>
      </c>
      <c r="O56">
        <f ca="1">IF(AND(ISNUMBER($O$287),$B$183=1),$O$287,HLOOKUP(INDIRECT(ADDRESS(2,COLUMN())),OFFSET($BN$2,0,0,ROW()-1,60),ROW()-1,FALSE))</f>
        <v>0</v>
      </c>
      <c r="P56">
        <f ca="1">IF(AND(ISNUMBER($P$287),$B$183=1),$P$287,HLOOKUP(INDIRECT(ADDRESS(2,COLUMN())),OFFSET($BN$2,0,0,ROW()-1,60),ROW()-1,FALSE))</f>
        <v>0</v>
      </c>
      <c r="Q56">
        <f ca="1">IF(AND(ISNUMBER($Q$287),$B$183=1),$Q$287,HLOOKUP(INDIRECT(ADDRESS(2,COLUMN())),OFFSET($BN$2,0,0,ROW()-1,60),ROW()-1,FALSE))</f>
        <v>0</v>
      </c>
      <c r="R56">
        <f ca="1">IF(AND(ISNUMBER($R$287),$B$183=1),$R$287,HLOOKUP(INDIRECT(ADDRESS(2,COLUMN())),OFFSET($BN$2,0,0,ROW()-1,60),ROW()-1,FALSE))</f>
        <v>0</v>
      </c>
      <c r="S56">
        <f ca="1">IF(AND(ISNUMBER($S$287),$B$183=1),$S$287,HLOOKUP(INDIRECT(ADDRESS(2,COLUMN())),OFFSET($BN$2,0,0,ROW()-1,60),ROW()-1,FALSE))</f>
        <v>0</v>
      </c>
      <c r="T56">
        <f ca="1">IF(AND(ISNUMBER($T$287),$B$183=1),$T$287,HLOOKUP(INDIRECT(ADDRESS(2,COLUMN())),OFFSET($BN$2,0,0,ROW()-1,60),ROW()-1,FALSE))</f>
        <v>0</v>
      </c>
      <c r="U56">
        <f ca="1">IF(AND(ISNUMBER($U$287),$B$183=1),$U$287,HLOOKUP(INDIRECT(ADDRESS(2,COLUMN())),OFFSET($BN$2,0,0,ROW()-1,60),ROW()-1,FALSE))</f>
        <v>0</v>
      </c>
      <c r="V56">
        <f ca="1">IF(AND(ISNUMBER($V$287),$B$183=1),$V$287,HLOOKUP(INDIRECT(ADDRESS(2,COLUMN())),OFFSET($BN$2,0,0,ROW()-1,60),ROW()-1,FALSE))</f>
        <v>0</v>
      </c>
      <c r="W56">
        <f ca="1">IF(AND(ISNUMBER($W$287),$B$183=1),$W$287,HLOOKUP(INDIRECT(ADDRESS(2,COLUMN())),OFFSET($BN$2,0,0,ROW()-1,60),ROW()-1,FALSE))</f>
        <v>0</v>
      </c>
      <c r="X56">
        <f ca="1">IF(AND(ISNUMBER($X$287),$B$183=1),$X$287,HLOOKUP(INDIRECT(ADDRESS(2,COLUMN())),OFFSET($BN$2,0,0,ROW()-1,60),ROW()-1,FALSE))</f>
        <v>0</v>
      </c>
      <c r="Y56">
        <f ca="1">IF(AND(ISNUMBER($Y$287),$B$183=1),$Y$287,HLOOKUP(INDIRECT(ADDRESS(2,COLUMN())),OFFSET($BN$2,0,0,ROW()-1,60),ROW()-1,FALSE))</f>
        <v>0</v>
      </c>
      <c r="Z56">
        <f ca="1">IF(AND(ISNUMBER($Z$287),$B$183=1),$Z$287,HLOOKUP(INDIRECT(ADDRESS(2,COLUMN())),OFFSET($BN$2,0,0,ROW()-1,60),ROW()-1,FALSE))</f>
        <v>0</v>
      </c>
      <c r="AA56">
        <f ca="1">IF(AND(ISNUMBER($AA$287),$B$183=1),$AA$287,HLOOKUP(INDIRECT(ADDRESS(2,COLUMN())),OFFSET($BN$2,0,0,ROW()-1,60),ROW()-1,FALSE))</f>
        <v>0</v>
      </c>
      <c r="AB56">
        <f ca="1">IF(AND(ISNUMBER($AB$287),$B$183=1),$AB$287,HLOOKUP(INDIRECT(ADDRESS(2,COLUMN())),OFFSET($BN$2,0,0,ROW()-1,60),ROW()-1,FALSE))</f>
        <v>0</v>
      </c>
      <c r="AC56">
        <f ca="1">IF(AND(ISNUMBER($AC$287),$B$183=1),$AC$287,HLOOKUP(INDIRECT(ADDRESS(2,COLUMN())),OFFSET($BN$2,0,0,ROW()-1,60),ROW()-1,FALSE))</f>
        <v>0</v>
      </c>
      <c r="AD56">
        <f ca="1">IF(AND(ISNUMBER($AD$287),$B$183=1),$AD$287,HLOOKUP(INDIRECT(ADDRESS(2,COLUMN())),OFFSET($BN$2,0,0,ROW()-1,60),ROW()-1,FALSE))</f>
        <v>0</v>
      </c>
      <c r="AE56">
        <f ca="1">IF(AND(ISNUMBER($AE$287),$B$183=1),$AE$287,HLOOKUP(INDIRECT(ADDRESS(2,COLUMN())),OFFSET($BN$2,0,0,ROW()-1,60),ROW()-1,FALSE))</f>
        <v>0</v>
      </c>
      <c r="AF56">
        <f ca="1">IF(AND(ISNUMBER($AF$287),$B$183=1),$AF$287,HLOOKUP(INDIRECT(ADDRESS(2,COLUMN())),OFFSET($BN$2,0,0,ROW()-1,60),ROW()-1,FALSE))</f>
        <v>0</v>
      </c>
      <c r="AG56">
        <f ca="1">IF(AND(ISNUMBER($AG$287),$B$183=1),$AG$287,HLOOKUP(INDIRECT(ADDRESS(2,COLUMN())),OFFSET($BN$2,0,0,ROW()-1,60),ROW()-1,FALSE))</f>
        <v>0</v>
      </c>
      <c r="AH56">
        <f ca="1">IF(AND(ISNUMBER($AH$287),$B$183=1),$AH$287,HLOOKUP(INDIRECT(ADDRESS(2,COLUMN())),OFFSET($BN$2,0,0,ROW()-1,60),ROW()-1,FALSE))</f>
        <v>0</v>
      </c>
      <c r="AI56">
        <f ca="1">IF(AND(ISNUMBER($AI$287),$B$183=1),$AI$287,HLOOKUP(INDIRECT(ADDRESS(2,COLUMN())),OFFSET($BN$2,0,0,ROW()-1,60),ROW()-1,FALSE))</f>
        <v>57.826999999999998</v>
      </c>
      <c r="AJ56">
        <f ca="1">IF(AND(ISNUMBER($AJ$287),$B$183=1),$AJ$287,HLOOKUP(INDIRECT(ADDRESS(2,COLUMN())),OFFSET($BN$2,0,0,ROW()-1,60),ROW()-1,FALSE))</f>
        <v>55.493000000000002</v>
      </c>
      <c r="AK56">
        <f ca="1">IF(AND(ISNUMBER($AK$287),$B$183=1),$AK$287,HLOOKUP(INDIRECT(ADDRESS(2,COLUMN())),OFFSET($BN$2,0,0,ROW()-1,60),ROW()-1,FALSE))</f>
        <v>52.898000000000003</v>
      </c>
      <c r="AL56">
        <f ca="1">IF(AND(ISNUMBER($AL$287),$B$183=1),$AL$287,HLOOKUP(INDIRECT(ADDRESS(2,COLUMN())),OFFSET($BN$2,0,0,ROW()-1,60),ROW()-1,FALSE))</f>
        <v>49.35</v>
      </c>
      <c r="AM56">
        <f ca="1">IF(AND(ISNUMBER($AM$287),$B$183=1),$AM$287,HLOOKUP(INDIRECT(ADDRESS(2,COLUMN())),OFFSET($BN$2,0,0,ROW()-1,60),ROW()-1,FALSE))</f>
        <v>49.323</v>
      </c>
      <c r="AN56">
        <f ca="1">IF(AND(ISNUMBER($AN$287),$B$183=1),$AN$287,HLOOKUP(INDIRECT(ADDRESS(2,COLUMN())),OFFSET($BN$2,0,0,ROW()-1,60),ROW()-1,FALSE))</f>
        <v>48.383000000000003</v>
      </c>
      <c r="AO56">
        <f ca="1">IF(AND(ISNUMBER($AO$287),$B$183=1),$AO$287,HLOOKUP(INDIRECT(ADDRESS(2,COLUMN())),OFFSET($BN$2,0,0,ROW()-1,60),ROW()-1,FALSE))</f>
        <v>47.027000000000001</v>
      </c>
      <c r="AP56">
        <f ca="1">IF(AND(ISNUMBER($AP$287),$B$183=1),$AP$287,HLOOKUP(INDIRECT(ADDRESS(2,COLUMN())),OFFSET($BN$2,0,0,ROW()-1,60),ROW()-1,FALSE))</f>
        <v>49.320999999999998</v>
      </c>
      <c r="AQ56">
        <f ca="1">IF(AND(ISNUMBER($AQ$287),$B$183=1),$AQ$287,HLOOKUP(INDIRECT(ADDRESS(2,COLUMN())),OFFSET($BN$2,0,0,ROW()-1,60),ROW()-1,FALSE))</f>
        <v>50.776000000000003</v>
      </c>
      <c r="AR56">
        <f ca="1">IF(AND(ISNUMBER($AR$287),$B$183=1),$AR$287,HLOOKUP(INDIRECT(ADDRESS(2,COLUMN())),OFFSET($BN$2,0,0,ROW()-1,60),ROW()-1,FALSE))</f>
        <v>48.825000000000003</v>
      </c>
      <c r="AS56">
        <f ca="1">IF(AND(ISNUMBER($AS$287),$B$183=1),$AS$287,HLOOKUP(INDIRECT(ADDRESS(2,COLUMN())),OFFSET($BN$2,0,0,ROW()-1,60),ROW()-1,FALSE))</f>
        <v>47.732999999999997</v>
      </c>
      <c r="AT56">
        <f ca="1">IF(AND(ISNUMBER($AT$287),$B$183=1),$AT$287,HLOOKUP(INDIRECT(ADDRESS(2,COLUMN())),OFFSET($BN$2,0,0,ROW()-1,60),ROW()-1,FALSE))</f>
        <v>47.893999999999998</v>
      </c>
      <c r="AU56">
        <f ca="1">IF(AND(ISNUMBER($AU$287),$B$183=1),$AU$287,HLOOKUP(INDIRECT(ADDRESS(2,COLUMN())),OFFSET($BN$2,0,0,ROW()-1,60),ROW()-1,FALSE))</f>
        <v>47.042000000000002</v>
      </c>
      <c r="AV56">
        <f ca="1">IF(AND(ISNUMBER($AV$287),$B$183=1),$AV$287,HLOOKUP(INDIRECT(ADDRESS(2,COLUMN())),OFFSET($BN$2,0,0,ROW()-1,60),ROW()-1,FALSE))</f>
        <v>44.478999999999999</v>
      </c>
      <c r="AW56">
        <f ca="1">IF(AND(ISNUMBER($AW$287),$B$183=1),$AW$287,HLOOKUP(INDIRECT(ADDRESS(2,COLUMN())),OFFSET($BN$2,0,0,ROW()-1,60),ROW()-1,FALSE))</f>
        <v>41.996000000000002</v>
      </c>
      <c r="AX56">
        <f ca="1">IF(AND(ISNUMBER($AX$287),$B$183=1),$AX$287,HLOOKUP(INDIRECT(ADDRESS(2,COLUMN())),OFFSET($BN$2,0,0,ROW()-1,60),ROW()-1,FALSE))</f>
        <v>87.134</v>
      </c>
      <c r="AY56">
        <f ca="1">IF(AND(ISNUMBER($AY$287),$B$183=1),$AY$287,HLOOKUP(INDIRECT(ADDRESS(2,COLUMN())),OFFSET($BN$2,0,0,ROW()-1,60),ROW()-1,FALSE))</f>
        <v>179.953</v>
      </c>
      <c r="AZ56">
        <f ca="1">IF(AND(ISNUMBER($AZ$287),$B$183=1),$AZ$287,HLOOKUP(INDIRECT(ADDRESS(2,COLUMN())),OFFSET($BN$2,0,0,ROW()-1,60),ROW()-1,FALSE))</f>
        <v>189.94900000000001</v>
      </c>
      <c r="BA56">
        <f ca="1">IF(AND(ISNUMBER($BA$287),$B$183=1),$BA$287,HLOOKUP(INDIRECT(ADDRESS(2,COLUMN())),OFFSET($BN$2,0,0,ROW()-1,60),ROW()-1,FALSE))</f>
        <v>162.191</v>
      </c>
      <c r="BB56">
        <f ca="1">IF(AND(ISNUMBER($BB$287),$B$183=1),$BB$287,HLOOKUP(INDIRECT(ADDRESS(2,COLUMN())),OFFSET($BN$2,0,0,ROW()-1,60),ROW()-1,FALSE))</f>
        <v>110.828</v>
      </c>
      <c r="BC56">
        <f ca="1">IF(AND(ISNUMBER($BC$287),$B$183=1),$BC$287,HLOOKUP(INDIRECT(ADDRESS(2,COLUMN())),OFFSET($BN$2,0,0,ROW()-1,60),ROW()-1,FALSE))</f>
        <v>162.52199999999999</v>
      </c>
      <c r="BD56">
        <f ca="1">IF(AND(ISNUMBER($BD$287),$B$183=1),$BD$287,HLOOKUP(INDIRECT(ADDRESS(2,COLUMN())),OFFSET($BN$2,0,0,ROW()-1,60),ROW()-1,FALSE))</f>
        <v>146.42099999999999</v>
      </c>
      <c r="BE56">
        <f ca="1">IF(AND(ISNUMBER($BE$287),$B$183=1),$BE$287,HLOOKUP(INDIRECT(ADDRESS(2,COLUMN())),OFFSET($BN$2,0,0,ROW()-1,60),ROW()-1,FALSE))</f>
        <v>146.24700000000001</v>
      </c>
      <c r="BF56">
        <f ca="1">IF(AND(ISNUMBER($BF$287),$B$183=1),$BF$287,HLOOKUP(INDIRECT(ADDRESS(2,COLUMN())),OFFSET($BN$2,0,0,ROW()-1,60),ROW()-1,FALSE))</f>
        <v>200.459</v>
      </c>
      <c r="BG56">
        <f ca="1">IF(AND(ISNUMBER($BG$287),$B$183=1),$BG$287,HLOOKUP(INDIRECT(ADDRESS(2,COLUMN())),OFFSET($BN$2,0,0,ROW()-1,60),ROW()-1,FALSE))</f>
        <v>172.85499999999999</v>
      </c>
      <c r="BH56">
        <f ca="1">IF(AND(ISNUMBER($BH$287),$B$183=1),$BH$287,HLOOKUP(INDIRECT(ADDRESS(2,COLUMN())),OFFSET($BN$2,0,0,ROW()-1,60),ROW()-1,FALSE))</f>
        <v>130.38399999999999</v>
      </c>
      <c r="BI56">
        <f ca="1">IF(AND(ISNUMBER($BI$287),$B$183=1),$BI$287,HLOOKUP(INDIRECT(ADDRESS(2,COLUMN())),OFFSET($BN$2,0,0,ROW()-1,60),ROW()-1,FALSE))</f>
        <v>121.50700000000001</v>
      </c>
      <c r="BJ56">
        <f ca="1">IF(AND(ISNUMBER($BJ$287),$B$183=1),$BJ$287,HLOOKUP(INDIRECT(ADDRESS(2,COLUMN())),OFFSET($BN$2,0,0,ROW()-1,60),ROW()-1,FALSE))</f>
        <v>106.209</v>
      </c>
      <c r="BK56">
        <f ca="1">IF(AND(ISNUMBER($BK$287),$B$183=1),$BK$287,HLOOKUP(INDIRECT(ADDRESS(2,COLUMN())),OFFSET($BN$2,0,0,ROW()-1,60),ROW()-1,FALSE))</f>
        <v>100.194</v>
      </c>
      <c r="BL56">
        <f ca="1">IF(AND(ISNUMBER($BL$287),$B$183=1),$BL$287,HLOOKUP(INDIRECT(ADDRESS(2,COLUMN())),OFFSET($BN$2,0,0,ROW()-1,60),ROW()-1,FALSE))</f>
        <v>71.808999999999997</v>
      </c>
      <c r="BM56">
        <f ca="1">IF(AND(ISNUMBER($BM$287),$B$183=1),$BM$287,HLOOKUP(INDIRECT(ADDRESS(2,COLUMN())),OFFSET($BN$2,0,0,ROW()-1,60),ROW()-1,FALSE))</f>
        <v>68.171000000000006</v>
      </c>
      <c r="BN56">
        <f>1543.36134</f>
        <v>1543.3613399999999</v>
      </c>
      <c r="BO56">
        <f>1517.218</f>
        <v>1517.2180000000001</v>
      </c>
      <c r="BP56">
        <f>1505.905</f>
        <v>1505.905</v>
      </c>
      <c r="BQ56">
        <f>1370.957</f>
        <v>1370.9570000000001</v>
      </c>
      <c r="BR56">
        <f>1475.011</f>
        <v>1475.011</v>
      </c>
      <c r="BS56">
        <f>1457.173</f>
        <v>1457.173</v>
      </c>
      <c r="BT56">
        <f>1401.867</f>
        <v>1401.867</v>
      </c>
      <c r="BU56">
        <f>1188.598</f>
        <v>1188.598</v>
      </c>
      <c r="BV56">
        <f>1252.703</f>
        <v>1252.703</v>
      </c>
      <c r="BW56">
        <f>0</f>
        <v>0</v>
      </c>
      <c r="BX56">
        <f>0</f>
        <v>0</v>
      </c>
      <c r="BY56">
        <f>0</f>
        <v>0</v>
      </c>
      <c r="BZ56">
        <f>0</f>
        <v>0</v>
      </c>
      <c r="CA56">
        <f>0</f>
        <v>0</v>
      </c>
      <c r="CB56">
        <f>0</f>
        <v>0</v>
      </c>
      <c r="CC56">
        <f>0</f>
        <v>0</v>
      </c>
      <c r="CD56">
        <f>0</f>
        <v>0</v>
      </c>
      <c r="CE56">
        <f>0</f>
        <v>0</v>
      </c>
      <c r="CF56">
        <f>0</f>
        <v>0</v>
      </c>
      <c r="CG56">
        <f>0</f>
        <v>0</v>
      </c>
      <c r="CH56">
        <f>0</f>
        <v>0</v>
      </c>
      <c r="CI56">
        <f>0</f>
        <v>0</v>
      </c>
      <c r="CJ56">
        <f>0</f>
        <v>0</v>
      </c>
      <c r="CK56">
        <f>0</f>
        <v>0</v>
      </c>
      <c r="CL56">
        <f>0</f>
        <v>0</v>
      </c>
      <c r="CM56">
        <f>0</f>
        <v>0</v>
      </c>
      <c r="CN56">
        <f>0</f>
        <v>0</v>
      </c>
      <c r="CO56">
        <f>0</f>
        <v>0</v>
      </c>
      <c r="CP56">
        <f>0</f>
        <v>0</v>
      </c>
      <c r="CQ56">
        <f>57.827</f>
        <v>57.826999999999998</v>
      </c>
      <c r="CR56">
        <f>55.493</f>
        <v>55.493000000000002</v>
      </c>
      <c r="CS56">
        <f>52.898</f>
        <v>52.898000000000003</v>
      </c>
      <c r="CT56">
        <f>49.35</f>
        <v>49.35</v>
      </c>
      <c r="CU56">
        <f>49.323</f>
        <v>49.323</v>
      </c>
      <c r="CV56">
        <f>48.383</f>
        <v>48.383000000000003</v>
      </c>
      <c r="CW56">
        <f>47.027</f>
        <v>47.027000000000001</v>
      </c>
      <c r="CX56">
        <f>49.321</f>
        <v>49.320999999999998</v>
      </c>
      <c r="CY56">
        <f>50.776</f>
        <v>50.776000000000003</v>
      </c>
      <c r="CZ56">
        <f>48.825</f>
        <v>48.825000000000003</v>
      </c>
      <c r="DA56">
        <f>47.733</f>
        <v>47.732999999999997</v>
      </c>
      <c r="DB56">
        <f>47.894</f>
        <v>47.893999999999998</v>
      </c>
      <c r="DC56">
        <f>47.042</f>
        <v>47.042000000000002</v>
      </c>
      <c r="DD56">
        <f>44.479</f>
        <v>44.478999999999999</v>
      </c>
      <c r="DE56">
        <f>41.996</f>
        <v>41.996000000000002</v>
      </c>
      <c r="DF56">
        <f>87.134</f>
        <v>87.134</v>
      </c>
      <c r="DG56">
        <f>179.953</f>
        <v>179.953</v>
      </c>
      <c r="DH56">
        <f>189.949</f>
        <v>189.94900000000001</v>
      </c>
      <c r="DI56">
        <f>162.191</f>
        <v>162.191</v>
      </c>
      <c r="DJ56">
        <f>110.828</f>
        <v>110.828</v>
      </c>
      <c r="DK56">
        <f>162.522</f>
        <v>162.52199999999999</v>
      </c>
      <c r="DL56">
        <f>146.421</f>
        <v>146.42099999999999</v>
      </c>
      <c r="DM56">
        <f>146.247</f>
        <v>146.24700000000001</v>
      </c>
      <c r="DN56">
        <f>200.459</f>
        <v>200.459</v>
      </c>
      <c r="DO56">
        <f>172.855</f>
        <v>172.85499999999999</v>
      </c>
      <c r="DP56">
        <f>130.384</f>
        <v>130.38399999999999</v>
      </c>
      <c r="DQ56">
        <f>121.507</f>
        <v>121.50700000000001</v>
      </c>
      <c r="DR56">
        <f>106.209</f>
        <v>106.209</v>
      </c>
      <c r="DS56">
        <f>100.194</f>
        <v>100.194</v>
      </c>
      <c r="DT56">
        <f>71.809</f>
        <v>71.808999999999997</v>
      </c>
      <c r="DU56">
        <f>68.171</f>
        <v>68.171000000000006</v>
      </c>
    </row>
    <row r="57" spans="1:125">
      <c r="A57" t="str">
        <f>"    "</f>
        <v xml:space="preserve">    </v>
      </c>
      <c r="B57" t="str">
        <f>""</f>
        <v/>
      </c>
      <c r="E57" t="str">
        <f>"静态"</f>
        <v>静态</v>
      </c>
      <c r="F57" t="str">
        <f t="shared" ref="F57:AK57" ca="1" si="10">HLOOKUP(INDIRECT(ADDRESS(2,COLUMN())),OFFSET($BN$2,0,0,ROW()-1,60),ROW()-1,FALSE)</f>
        <v/>
      </c>
      <c r="G57" t="str">
        <f t="shared" ca="1" si="10"/>
        <v/>
      </c>
      <c r="H57" t="str">
        <f t="shared" ca="1" si="10"/>
        <v/>
      </c>
      <c r="I57" t="str">
        <f t="shared" ca="1" si="10"/>
        <v/>
      </c>
      <c r="J57" t="str">
        <f t="shared" ca="1" si="10"/>
        <v/>
      </c>
      <c r="K57" t="str">
        <f t="shared" ca="1" si="10"/>
        <v/>
      </c>
      <c r="L57" t="str">
        <f t="shared" ca="1" si="10"/>
        <v/>
      </c>
      <c r="M57" t="str">
        <f t="shared" ca="1" si="10"/>
        <v/>
      </c>
      <c r="N57" t="str">
        <f t="shared" ca="1" si="10"/>
        <v/>
      </c>
      <c r="O57" t="str">
        <f t="shared" ca="1" si="10"/>
        <v/>
      </c>
      <c r="P57" t="str">
        <f t="shared" ca="1" si="10"/>
        <v/>
      </c>
      <c r="Q57" t="str">
        <f t="shared" ca="1" si="10"/>
        <v/>
      </c>
      <c r="R57" t="str">
        <f t="shared" ca="1" si="10"/>
        <v/>
      </c>
      <c r="S57" t="str">
        <f t="shared" ca="1" si="10"/>
        <v/>
      </c>
      <c r="T57" t="str">
        <f t="shared" ca="1" si="10"/>
        <v/>
      </c>
      <c r="U57" t="str">
        <f t="shared" ca="1" si="10"/>
        <v/>
      </c>
      <c r="V57" t="str">
        <f t="shared" ca="1" si="10"/>
        <v/>
      </c>
      <c r="W57" t="str">
        <f t="shared" ca="1" si="10"/>
        <v/>
      </c>
      <c r="X57" t="str">
        <f t="shared" ca="1" si="10"/>
        <v/>
      </c>
      <c r="Y57" t="str">
        <f t="shared" ca="1" si="10"/>
        <v/>
      </c>
      <c r="Z57" t="str">
        <f t="shared" ca="1" si="10"/>
        <v/>
      </c>
      <c r="AA57" t="str">
        <f t="shared" ca="1" si="10"/>
        <v/>
      </c>
      <c r="AB57" t="str">
        <f t="shared" ca="1" si="10"/>
        <v/>
      </c>
      <c r="AC57" t="str">
        <f t="shared" ca="1" si="10"/>
        <v/>
      </c>
      <c r="AD57" t="str">
        <f t="shared" ca="1" si="10"/>
        <v/>
      </c>
      <c r="AE57" t="str">
        <f t="shared" ca="1" si="10"/>
        <v/>
      </c>
      <c r="AF57" t="str">
        <f t="shared" ca="1" si="10"/>
        <v/>
      </c>
      <c r="AG57" t="str">
        <f t="shared" ca="1" si="10"/>
        <v/>
      </c>
      <c r="AH57" t="str">
        <f t="shared" ca="1" si="10"/>
        <v/>
      </c>
      <c r="AI57" t="str">
        <f t="shared" ca="1" si="10"/>
        <v/>
      </c>
      <c r="AJ57" t="str">
        <f t="shared" ca="1" si="10"/>
        <v/>
      </c>
      <c r="AK57" t="str">
        <f t="shared" ca="1" si="10"/>
        <v/>
      </c>
      <c r="AL57" t="str">
        <f t="shared" ref="AL57:BM57" ca="1" si="11">HLOOKUP(INDIRECT(ADDRESS(2,COLUMN())),OFFSET($BN$2,0,0,ROW()-1,60),ROW()-1,FALSE)</f>
        <v/>
      </c>
      <c r="AM57" t="str">
        <f t="shared" ca="1" si="11"/>
        <v/>
      </c>
      <c r="AN57" t="str">
        <f t="shared" ca="1" si="11"/>
        <v/>
      </c>
      <c r="AO57" t="str">
        <f t="shared" ca="1" si="11"/>
        <v/>
      </c>
      <c r="AP57" t="str">
        <f t="shared" ca="1" si="11"/>
        <v/>
      </c>
      <c r="AQ57" t="str">
        <f t="shared" ca="1" si="11"/>
        <v/>
      </c>
      <c r="AR57" t="str">
        <f t="shared" ca="1" si="11"/>
        <v/>
      </c>
      <c r="AS57" t="str">
        <f t="shared" ca="1" si="11"/>
        <v/>
      </c>
      <c r="AT57" t="str">
        <f t="shared" ca="1" si="11"/>
        <v/>
      </c>
      <c r="AU57" t="str">
        <f t="shared" ca="1" si="11"/>
        <v/>
      </c>
      <c r="AV57" t="str">
        <f t="shared" ca="1" si="11"/>
        <v/>
      </c>
      <c r="AW57" t="str">
        <f t="shared" ca="1" si="11"/>
        <v/>
      </c>
      <c r="AX57" t="str">
        <f t="shared" ca="1" si="11"/>
        <v/>
      </c>
      <c r="AY57" t="str">
        <f t="shared" ca="1" si="11"/>
        <v/>
      </c>
      <c r="AZ57" t="str">
        <f t="shared" ca="1" si="11"/>
        <v/>
      </c>
      <c r="BA57" t="str">
        <f t="shared" ca="1" si="11"/>
        <v/>
      </c>
      <c r="BB57" t="str">
        <f t="shared" ca="1" si="11"/>
        <v/>
      </c>
      <c r="BC57" t="str">
        <f t="shared" ca="1" si="11"/>
        <v/>
      </c>
      <c r="BD57" t="str">
        <f t="shared" ca="1" si="11"/>
        <v/>
      </c>
      <c r="BE57" t="str">
        <f t="shared" ca="1" si="11"/>
        <v/>
      </c>
      <c r="BF57" t="str">
        <f t="shared" ca="1" si="11"/>
        <v/>
      </c>
      <c r="BG57" t="str">
        <f t="shared" ca="1" si="11"/>
        <v/>
      </c>
      <c r="BH57" t="str">
        <f t="shared" ca="1" si="11"/>
        <v/>
      </c>
      <c r="BI57" t="str">
        <f t="shared" ca="1" si="11"/>
        <v/>
      </c>
      <c r="BJ57" t="str">
        <f t="shared" ca="1" si="11"/>
        <v/>
      </c>
      <c r="BK57" t="str">
        <f t="shared" ca="1" si="11"/>
        <v/>
      </c>
      <c r="BL57" t="str">
        <f t="shared" ca="1" si="11"/>
        <v/>
      </c>
      <c r="BM57" t="str">
        <f t="shared" ca="1" si="11"/>
        <v/>
      </c>
      <c r="BN57" t="str">
        <f>""</f>
        <v/>
      </c>
      <c r="BO57" t="str">
        <f>""</f>
        <v/>
      </c>
      <c r="BP57" t="str">
        <f>""</f>
        <v/>
      </c>
      <c r="BQ57" t="str">
        <f>""</f>
        <v/>
      </c>
      <c r="BR57" t="str">
        <f>""</f>
        <v/>
      </c>
      <c r="BS57" t="str">
        <f>""</f>
        <v/>
      </c>
      <c r="BT57" t="str">
        <f>""</f>
        <v/>
      </c>
      <c r="BU57" t="str">
        <f>""</f>
        <v/>
      </c>
      <c r="BV57" t="str">
        <f>""</f>
        <v/>
      </c>
      <c r="BW57" t="str">
        <f>""</f>
        <v/>
      </c>
      <c r="BX57" t="str">
        <f>""</f>
        <v/>
      </c>
      <c r="BY57" t="str">
        <f>""</f>
        <v/>
      </c>
      <c r="BZ57" t="str">
        <f>""</f>
        <v/>
      </c>
      <c r="CA57" t="str">
        <f>""</f>
        <v/>
      </c>
      <c r="CB57" t="str">
        <f>""</f>
        <v/>
      </c>
      <c r="CC57" t="str">
        <f>""</f>
        <v/>
      </c>
      <c r="CD57" t="str">
        <f>""</f>
        <v/>
      </c>
      <c r="CE57" t="str">
        <f>""</f>
        <v/>
      </c>
      <c r="CF57" t="str">
        <f>""</f>
        <v/>
      </c>
      <c r="CG57" t="str">
        <f>""</f>
        <v/>
      </c>
      <c r="CH57" t="str">
        <f>""</f>
        <v/>
      </c>
      <c r="CI57" t="str">
        <f>""</f>
        <v/>
      </c>
      <c r="CJ57" t="str">
        <f>""</f>
        <v/>
      </c>
      <c r="CK57" t="str">
        <f>""</f>
        <v/>
      </c>
      <c r="CL57" t="str">
        <f>""</f>
        <v/>
      </c>
      <c r="CM57" t="str">
        <f>""</f>
        <v/>
      </c>
      <c r="CN57" t="str">
        <f>""</f>
        <v/>
      </c>
      <c r="CO57" t="str">
        <f>""</f>
        <v/>
      </c>
      <c r="CP57" t="str">
        <f>""</f>
        <v/>
      </c>
      <c r="CQ57" t="str">
        <f>""</f>
        <v/>
      </c>
      <c r="CR57" t="str">
        <f>""</f>
        <v/>
      </c>
      <c r="CS57" t="str">
        <f>""</f>
        <v/>
      </c>
      <c r="CT57" t="str">
        <f>""</f>
        <v/>
      </c>
      <c r="CU57" t="str">
        <f>""</f>
        <v/>
      </c>
      <c r="CV57" t="str">
        <f>""</f>
        <v/>
      </c>
      <c r="CW57" t="str">
        <f>""</f>
        <v/>
      </c>
      <c r="CX57" t="str">
        <f>""</f>
        <v/>
      </c>
      <c r="CY57" t="str">
        <f>""</f>
        <v/>
      </c>
      <c r="CZ57" t="str">
        <f>""</f>
        <v/>
      </c>
      <c r="DA57" t="str">
        <f>""</f>
        <v/>
      </c>
      <c r="DB57" t="str">
        <f>""</f>
        <v/>
      </c>
      <c r="DC57" t="str">
        <f>""</f>
        <v/>
      </c>
      <c r="DD57" t="str">
        <f>""</f>
        <v/>
      </c>
      <c r="DE57" t="str">
        <f>""</f>
        <v/>
      </c>
      <c r="DF57" t="str">
        <f>""</f>
        <v/>
      </c>
      <c r="DG57" t="str">
        <f>""</f>
        <v/>
      </c>
      <c r="DH57" t="str">
        <f>""</f>
        <v/>
      </c>
      <c r="DI57" t="str">
        <f>""</f>
        <v/>
      </c>
      <c r="DJ57" t="str">
        <f>""</f>
        <v/>
      </c>
      <c r="DK57" t="str">
        <f>""</f>
        <v/>
      </c>
      <c r="DL57" t="str">
        <f>""</f>
        <v/>
      </c>
      <c r="DM57" t="str">
        <f>""</f>
        <v/>
      </c>
      <c r="DN57" t="str">
        <f>""</f>
        <v/>
      </c>
      <c r="DO57" t="str">
        <f>""</f>
        <v/>
      </c>
      <c r="DP57" t="str">
        <f>""</f>
        <v/>
      </c>
      <c r="DQ57" t="str">
        <f>""</f>
        <v/>
      </c>
      <c r="DR57" t="str">
        <f>""</f>
        <v/>
      </c>
      <c r="DS57" t="str">
        <f>""</f>
        <v/>
      </c>
      <c r="DT57" t="str">
        <f>""</f>
        <v/>
      </c>
      <c r="DU57" t="str">
        <f>""</f>
        <v/>
      </c>
    </row>
    <row r="58" spans="1:125">
      <c r="A58" t="str">
        <f>"    Sequential % Change in Total NOI for All Equity REITs"</f>
        <v xml:space="preserve">    Sequential % Change in Total NOI for All Equity REITs</v>
      </c>
      <c r="B58" t="str">
        <f>"RECFNOQQ Index"</f>
        <v>RECFNOQQ Index</v>
      </c>
      <c r="C58" t="str">
        <f>"PR005"</f>
        <v>PR005</v>
      </c>
      <c r="D58" t="str">
        <f>"PX_LAST"</f>
        <v>PX_LAST</v>
      </c>
      <c r="E58" t="str">
        <f>"动态"</f>
        <v>动态</v>
      </c>
      <c r="F58">
        <f ca="1">IF(AND(ISNUMBER($F$288),$B$183=1),$F$288,HLOOKUP(INDIRECT(ADDRESS(2,COLUMN())),OFFSET($BN$2,0,0,ROW()-1,60),ROW()-1,FALSE))</f>
        <v>3.0596199089999998</v>
      </c>
      <c r="G58">
        <f ca="1">IF(AND(ISNUMBER($G$288),$B$183=1),$G$288,HLOOKUP(INDIRECT(ADDRESS(2,COLUMN())),OFFSET($BN$2,0,0,ROW()-1,60),ROW()-1,FALSE))</f>
        <v>-1.1830254520000001</v>
      </c>
      <c r="H58">
        <f ca="1">IF(AND(ISNUMBER($H$288),$B$183=1),$H$288,HLOOKUP(INDIRECT(ADDRESS(2,COLUMN())),OFFSET($BN$2,0,0,ROW()-1,60),ROW()-1,FALSE))</f>
        <v>4.4697552099999998</v>
      </c>
      <c r="I58">
        <f ca="1">IF(AND(ISNUMBER($I$288),$B$183=1),$I$288,HLOOKUP(INDIRECT(ADDRESS(2,COLUMN())),OFFSET($BN$2,0,0,ROW()-1,60),ROW()-1,FALSE))</f>
        <v>3.2481375639999999</v>
      </c>
      <c r="J58">
        <f ca="1">IF(AND(ISNUMBER($J$288),$B$183=1),$J$288,HLOOKUP(INDIRECT(ADDRESS(2,COLUMN())),OFFSET($BN$2,0,0,ROW()-1,60),ROW()-1,FALSE))</f>
        <v>0.65643588200000003</v>
      </c>
      <c r="K58">
        <f ca="1">IF(AND(ISNUMBER($K$288),$B$183=1),$K$288,HLOOKUP(INDIRECT(ADDRESS(2,COLUMN())),OFFSET($BN$2,0,0,ROW()-1,60),ROW()-1,FALSE))</f>
        <v>7.3099760000000001E-3</v>
      </c>
      <c r="L58">
        <f ca="1">IF(AND(ISNUMBER($L$288),$B$183=1),$L$288,HLOOKUP(INDIRECT(ADDRESS(2,COLUMN())),OFFSET($BN$2,0,0,ROW()-1,60),ROW()-1,FALSE))</f>
        <v>5.6965796150000001</v>
      </c>
      <c r="M58">
        <f ca="1">IF(AND(ISNUMBER($M$288),$B$183=1),$M$288,HLOOKUP(INDIRECT(ADDRESS(2,COLUMN())),OFFSET($BN$2,0,0,ROW()-1,60),ROW()-1,FALSE))</f>
        <v>-0.97359930400000005</v>
      </c>
      <c r="N58">
        <f ca="1">IF(AND(ISNUMBER($N$288),$B$183=1),$N$288,HLOOKUP(INDIRECT(ADDRESS(2,COLUMN())),OFFSET($BN$2,0,0,ROW()-1,60),ROW()-1,FALSE))</f>
        <v>0.200370929</v>
      </c>
      <c r="O58">
        <f ca="1">IF(AND(ISNUMBER($O$288),$B$183=1),$O$288,HLOOKUP(INDIRECT(ADDRESS(2,COLUMN())),OFFSET($BN$2,0,0,ROW()-1,60),ROW()-1,FALSE))</f>
        <v>1.895743467</v>
      </c>
      <c r="P58">
        <f ca="1">IF(AND(ISNUMBER($P$288),$B$183=1),$P$288,HLOOKUP(INDIRECT(ADDRESS(2,COLUMN())),OFFSET($BN$2,0,0,ROW()-1,60),ROW()-1,FALSE))</f>
        <v>7.682306262</v>
      </c>
      <c r="Q58">
        <f ca="1">IF(AND(ISNUMBER($Q$288),$B$183=1),$Q$288,HLOOKUP(INDIRECT(ADDRESS(2,COLUMN())),OFFSET($BN$2,0,0,ROW()-1,60),ROW()-1,FALSE))</f>
        <v>4.045114871</v>
      </c>
      <c r="R58">
        <f ca="1">IF(AND(ISNUMBER($R$288),$B$183=1),$R$288,HLOOKUP(INDIRECT(ADDRESS(2,COLUMN())),OFFSET($BN$2,0,0,ROW()-1,60),ROW()-1,FALSE))</f>
        <v>6.2106701720000004</v>
      </c>
      <c r="S58">
        <f ca="1">IF(AND(ISNUMBER($S$288),$B$183=1),$S$288,HLOOKUP(INDIRECT(ADDRESS(2,COLUMN())),OFFSET($BN$2,0,0,ROW()-1,60),ROW()-1,FALSE))</f>
        <v>0.90943174299999996</v>
      </c>
      <c r="T58">
        <f ca="1">IF(AND(ISNUMBER($T$288),$B$183=1),$T$288,HLOOKUP(INDIRECT(ADDRESS(2,COLUMN())),OFFSET($BN$2,0,0,ROW()-1,60),ROW()-1,FALSE))</f>
        <v>7.364747135</v>
      </c>
      <c r="U58">
        <f ca="1">IF(AND(ISNUMBER($U$288),$B$183=1),$U$288,HLOOKUP(INDIRECT(ADDRESS(2,COLUMN())),OFFSET($BN$2,0,0,ROW()-1,60),ROW()-1,FALSE))</f>
        <v>3.1408369340000002</v>
      </c>
      <c r="V58">
        <f ca="1">IF(AND(ISNUMBER($V$288),$B$183=1),$V$288,HLOOKUP(INDIRECT(ADDRESS(2,COLUMN())),OFFSET($BN$2,0,0,ROW()-1,60),ROW()-1,FALSE))</f>
        <v>7.6592248999999999</v>
      </c>
      <c r="W58">
        <f ca="1">IF(AND(ISNUMBER($W$288),$B$183=1),$W$288,HLOOKUP(INDIRECT(ADDRESS(2,COLUMN())),OFFSET($BN$2,0,0,ROW()-1,60),ROW()-1,FALSE))</f>
        <v>-6.5945344000000003E-2</v>
      </c>
      <c r="X58">
        <f ca="1">IF(AND(ISNUMBER($X$288),$B$183=1),$X$288,HLOOKUP(INDIRECT(ADDRESS(2,COLUMN())),OFFSET($BN$2,0,0,ROW()-1,60),ROW()-1,FALSE))</f>
        <v>7.4506378309999999</v>
      </c>
      <c r="Y58">
        <f ca="1">IF(AND(ISNUMBER($Y$288),$B$183=1),$Y$288,HLOOKUP(INDIRECT(ADDRESS(2,COLUMN())),OFFSET($BN$2,0,0,ROW()-1,60),ROW()-1,FALSE))</f>
        <v>-0.33311799800000003</v>
      </c>
      <c r="Z58">
        <f ca="1">IF(AND(ISNUMBER($Z$288),$B$183=1),$Z$288,HLOOKUP(INDIRECT(ADDRESS(2,COLUMN())),OFFSET($BN$2,0,0,ROW()-1,60),ROW()-1,FALSE))</f>
        <v>6.7289479810000001</v>
      </c>
      <c r="AA58">
        <f ca="1">IF(AND(ISNUMBER($AA$288),$B$183=1),$AA$288,HLOOKUP(INDIRECT(ADDRESS(2,COLUMN())),OFFSET($BN$2,0,0,ROW()-1,60),ROW()-1,FALSE))</f>
        <v>1.893761166</v>
      </c>
      <c r="AB58">
        <f ca="1">IF(AND(ISNUMBER($AB$288),$B$183=1),$AB$288,HLOOKUP(INDIRECT(ADDRESS(2,COLUMN())),OFFSET($BN$2,0,0,ROW()-1,60),ROW()-1,FALSE))</f>
        <v>7.9515756880000001</v>
      </c>
      <c r="AC58">
        <f ca="1">IF(AND(ISNUMBER($AC$288),$B$183=1),$AC$288,HLOOKUP(INDIRECT(ADDRESS(2,COLUMN())),OFFSET($BN$2,0,0,ROW()-1,60),ROW()-1,FALSE))</f>
        <v>1.4968740899999999</v>
      </c>
      <c r="AD58">
        <f ca="1">IF(AND(ISNUMBER($AD$288),$B$183=1),$AD$288,HLOOKUP(INDIRECT(ADDRESS(2,COLUMN())),OFFSET($BN$2,0,0,ROW()-1,60),ROW()-1,FALSE))</f>
        <v>3.906945769</v>
      </c>
      <c r="AE58">
        <f ca="1">IF(AND(ISNUMBER($AE$288),$B$183=1),$AE$288,HLOOKUP(INDIRECT(ADDRESS(2,COLUMN())),OFFSET($BN$2,0,0,ROW()-1,60),ROW()-1,FALSE))</f>
        <v>3.2086786190000001</v>
      </c>
      <c r="AF58">
        <f ca="1">IF(AND(ISNUMBER($AF$288),$B$183=1),$AF$288,HLOOKUP(INDIRECT(ADDRESS(2,COLUMN())),OFFSET($BN$2,0,0,ROW()-1,60),ROW()-1,FALSE))</f>
        <v>5.9122495720000003</v>
      </c>
      <c r="AG58">
        <f ca="1">IF(AND(ISNUMBER($AG$288),$B$183=1),$AG$288,HLOOKUP(INDIRECT(ADDRESS(2,COLUMN())),OFFSET($BN$2,0,0,ROW()-1,60),ROW()-1,FALSE))</f>
        <v>-3.0496681859999999</v>
      </c>
      <c r="AH58">
        <f ca="1">IF(AND(ISNUMBER($AH$288),$B$183=1),$AH$288,HLOOKUP(INDIRECT(ADDRESS(2,COLUMN())),OFFSET($BN$2,0,0,ROW()-1,60),ROW()-1,FALSE))</f>
        <v>16.099868109999999</v>
      </c>
      <c r="AI58">
        <f ca="1">IF(AND(ISNUMBER($AI$288),$B$183=1),$AI$288,HLOOKUP(INDIRECT(ADDRESS(2,COLUMN())),OFFSET($BN$2,0,0,ROW()-1,60),ROW()-1,FALSE))</f>
        <v>0.98381842799999997</v>
      </c>
      <c r="AJ58">
        <f ca="1">IF(AND(ISNUMBER($AJ$288),$B$183=1),$AJ$288,HLOOKUP(INDIRECT(ADDRESS(2,COLUMN())),OFFSET($BN$2,0,0,ROW()-1,60),ROW()-1,FALSE))</f>
        <v>3.8560901620000001</v>
      </c>
      <c r="AK58">
        <f ca="1">IF(AND(ISNUMBER($AK$288),$B$183=1),$AK$288,HLOOKUP(INDIRECT(ADDRESS(2,COLUMN())),OFFSET($BN$2,0,0,ROW()-1,60),ROW()-1,FALSE))</f>
        <v>-2.1708404840000002</v>
      </c>
      <c r="AL58">
        <f ca="1">IF(AND(ISNUMBER($AL$288),$B$183=1),$AL$288,HLOOKUP(INDIRECT(ADDRESS(2,COLUMN())),OFFSET($BN$2,0,0,ROW()-1,60),ROW()-1,FALSE))</f>
        <v>3.487903534</v>
      </c>
      <c r="AM58">
        <f ca="1">IF(AND(ISNUMBER($AM$288),$B$183=1),$AM$288,HLOOKUP(INDIRECT(ADDRESS(2,COLUMN())),OFFSET($BN$2,0,0,ROW()-1,60),ROW()-1,FALSE))</f>
        <v>-2.0666041740000001</v>
      </c>
      <c r="AN58">
        <f ca="1">IF(AND(ISNUMBER($AN$288),$B$183=1),$AN$288,HLOOKUP(INDIRECT(ADDRESS(2,COLUMN())),OFFSET($BN$2,0,0,ROW()-1,60),ROW()-1,FALSE))</f>
        <v>-2.5741692469999999</v>
      </c>
      <c r="AO58">
        <f ca="1">IF(AND(ISNUMBER($AO$288),$B$183=1),$AO$288,HLOOKUP(INDIRECT(ADDRESS(2,COLUMN())),OFFSET($BN$2,0,0,ROW()-1,60),ROW()-1,FALSE))</f>
        <v>-2.1439988040000002</v>
      </c>
      <c r="AP58">
        <f ca="1">IF(AND(ISNUMBER($AP$288),$B$183=1),$AP$288,HLOOKUP(INDIRECT(ADDRESS(2,COLUMN())),OFFSET($BN$2,0,0,ROW()-1,60),ROW()-1,FALSE))</f>
        <v>-4.9571961760000001</v>
      </c>
      <c r="AQ58">
        <f ca="1">IF(AND(ISNUMBER($AQ$288),$B$183=1),$AQ$288,HLOOKUP(INDIRECT(ADDRESS(2,COLUMN())),OFFSET($BN$2,0,0,ROW()-1,60),ROW()-1,FALSE))</f>
        <v>-3.920065846</v>
      </c>
      <c r="AR58">
        <f ca="1">IF(AND(ISNUMBER($AR$288),$B$183=1),$AR$288,HLOOKUP(INDIRECT(ADDRESS(2,COLUMN())),OFFSET($BN$2,0,0,ROW()-1,60),ROW()-1,FALSE))</f>
        <v>3.6371016460000001</v>
      </c>
      <c r="AS58">
        <f ca="1">IF(AND(ISNUMBER($AS$288),$B$183=1),$AS$288,HLOOKUP(INDIRECT(ADDRESS(2,COLUMN())),OFFSET($BN$2,0,0,ROW()-1,60),ROW()-1,FALSE))</f>
        <v>2.4403803129999999</v>
      </c>
      <c r="AT58">
        <f ca="1">IF(AND(ISNUMBER($AT$288),$B$183=1),$AT$288,HLOOKUP(INDIRECT(ADDRESS(2,COLUMN())),OFFSET($BN$2,0,0,ROW()-1,60),ROW()-1,FALSE))</f>
        <v>-5.2938072319999998</v>
      </c>
      <c r="AU58">
        <f ca="1">IF(AND(ISNUMBER($AU$288),$B$183=1),$AU$288,HLOOKUP(INDIRECT(ADDRESS(2,COLUMN())),OFFSET($BN$2,0,0,ROW()-1,60),ROW()-1,FALSE))</f>
        <v>-0.85677632299999995</v>
      </c>
      <c r="AV58">
        <f ca="1">IF(AND(ISNUMBER($AV$288),$B$183=1),$AV$288,HLOOKUP(INDIRECT(ADDRESS(2,COLUMN())),OFFSET($BN$2,0,0,ROW()-1,60),ROW()-1,FALSE))</f>
        <v>5.2943447810000004</v>
      </c>
      <c r="AW58">
        <f ca="1">IF(AND(ISNUMBER($AW$288),$B$183=1),$AW$288,HLOOKUP(INDIRECT(ADDRESS(2,COLUMN())),OFFSET($BN$2,0,0,ROW()-1,60),ROW()-1,FALSE))</f>
        <v>-8.0741888940000006</v>
      </c>
      <c r="AX58">
        <f ca="1">IF(AND(ISNUMBER($AX$288),$B$183=1),$AX$288,HLOOKUP(INDIRECT(ADDRESS(2,COLUMN())),OFFSET($BN$2,0,0,ROW()-1,60),ROW()-1,FALSE))</f>
        <v>4.686070977</v>
      </c>
      <c r="AY58">
        <f ca="1">IF(AND(ISNUMBER($AY$288),$B$183=1),$AY$288,HLOOKUP(INDIRECT(ADDRESS(2,COLUMN())),OFFSET($BN$2,0,0,ROW()-1,60),ROW()-1,FALSE))</f>
        <v>-3.2988522570000001</v>
      </c>
      <c r="AZ58">
        <f ca="1">IF(AND(ISNUMBER($AZ$288),$B$183=1),$AZ$288,HLOOKUP(INDIRECT(ADDRESS(2,COLUMN())),OFFSET($BN$2,0,0,ROW()-1,60),ROW()-1,FALSE))</f>
        <v>4.305538179</v>
      </c>
      <c r="BA58">
        <f ca="1">IF(AND(ISNUMBER($BA$288),$B$183=1),$BA$288,HLOOKUP(INDIRECT(ADDRESS(2,COLUMN())),OFFSET($BN$2,0,0,ROW()-1,60),ROW()-1,FALSE))</f>
        <v>-0.48112032599999999</v>
      </c>
      <c r="BB58">
        <f ca="1">IF(AND(ISNUMBER($BB$288),$B$183=1),$BB$288,HLOOKUP(INDIRECT(ADDRESS(2,COLUMN())),OFFSET($BN$2,0,0,ROW()-1,60),ROW()-1,FALSE))</f>
        <v>4.9660354470000003</v>
      </c>
      <c r="BC58">
        <f ca="1">IF(AND(ISNUMBER($BC$288),$B$183=1),$BC$288,HLOOKUP(INDIRECT(ADDRESS(2,COLUMN())),OFFSET($BN$2,0,0,ROW()-1,60),ROW()-1,FALSE))</f>
        <v>-1.0513641460000001</v>
      </c>
      <c r="BD58">
        <f ca="1">IF(AND(ISNUMBER($BD$288),$B$183=1),$BD$288,HLOOKUP(INDIRECT(ADDRESS(2,COLUMN())),OFFSET($BN$2,0,0,ROW()-1,60),ROW()-1,FALSE))</f>
        <v>4.2520481419999996</v>
      </c>
      <c r="BE58">
        <f ca="1">IF(AND(ISNUMBER($BE$288),$B$183=1),$BE$288,HLOOKUP(INDIRECT(ADDRESS(2,COLUMN())),OFFSET($BN$2,0,0,ROW()-1,60),ROW()-1,FALSE))</f>
        <v>0.38231739199999998</v>
      </c>
      <c r="BF58">
        <f ca="1">IF(AND(ISNUMBER($BF$288),$B$183=1),$BF$288,HLOOKUP(INDIRECT(ADDRESS(2,COLUMN())),OFFSET($BN$2,0,0,ROW()-1,60),ROW()-1,FALSE))</f>
        <v>7.5005837169999996</v>
      </c>
      <c r="BG58">
        <f ca="1">IF(AND(ISNUMBER($BG$288),$B$183=1),$BG$288,HLOOKUP(INDIRECT(ADDRESS(2,COLUMN())),OFFSET($BN$2,0,0,ROW()-1,60),ROW()-1,FALSE))</f>
        <v>-5.1497514000000001E-2</v>
      </c>
      <c r="BH58">
        <f ca="1">IF(AND(ISNUMBER($BH$288),$B$183=1),$BH$288,HLOOKUP(INDIRECT(ADDRESS(2,COLUMN())),OFFSET($BN$2,0,0,ROW()-1,60),ROW()-1,FALSE))</f>
        <v>2.7128366719999999</v>
      </c>
      <c r="BI58">
        <f ca="1">IF(AND(ISNUMBER($BI$288),$B$183=1),$BI$288,HLOOKUP(INDIRECT(ADDRESS(2,COLUMN())),OFFSET($BN$2,0,0,ROW()-1,60),ROW()-1,FALSE))</f>
        <v>2.631878307</v>
      </c>
      <c r="BJ58">
        <f ca="1">IF(AND(ISNUMBER($BJ$288),$B$183=1),$BJ$288,HLOOKUP(INDIRECT(ADDRESS(2,COLUMN())),OFFSET($BN$2,0,0,ROW()-1,60),ROW()-1,FALSE))</f>
        <v>5.4117441460000002</v>
      </c>
      <c r="BK58">
        <f ca="1">IF(AND(ISNUMBER($BK$288),$B$183=1),$BK$288,HLOOKUP(INDIRECT(ADDRESS(2,COLUMN())),OFFSET($BN$2,0,0,ROW()-1,60),ROW()-1,FALSE))</f>
        <v>-1.0004919759999999</v>
      </c>
      <c r="BL58">
        <f ca="1">IF(AND(ISNUMBER($BL$288),$B$183=1),$BL$288,HLOOKUP(INDIRECT(ADDRESS(2,COLUMN())),OFFSET($BN$2,0,0,ROW()-1,60),ROW()-1,FALSE))</f>
        <v>3.0758375240000002</v>
      </c>
      <c r="BM58">
        <f ca="1">IF(AND(ISNUMBER($BM$288),$B$183=1),$BM$288,HLOOKUP(INDIRECT(ADDRESS(2,COLUMN())),OFFSET($BN$2,0,0,ROW()-1,60),ROW()-1,FALSE))</f>
        <v>-3.2794627119999999</v>
      </c>
      <c r="BN58">
        <f>3.059619909</f>
        <v>3.0596199089999998</v>
      </c>
      <c r="BO58">
        <f>-1.183025452</f>
        <v>-1.1830254520000001</v>
      </c>
      <c r="BP58">
        <f>4.46975521</f>
        <v>4.4697552099999998</v>
      </c>
      <c r="BQ58">
        <f>3.248137564</f>
        <v>3.2481375639999999</v>
      </c>
      <c r="BR58">
        <f>0.656435882</f>
        <v>0.65643588200000003</v>
      </c>
      <c r="BS58">
        <f>0.007309976</f>
        <v>7.3099760000000001E-3</v>
      </c>
      <c r="BT58">
        <f>5.696579615</f>
        <v>5.6965796150000001</v>
      </c>
      <c r="BU58">
        <f>-0.973599304</f>
        <v>-0.97359930400000005</v>
      </c>
      <c r="BV58">
        <f>0.200370929</f>
        <v>0.200370929</v>
      </c>
      <c r="BW58">
        <f>1.895743467</f>
        <v>1.895743467</v>
      </c>
      <c r="BX58">
        <f>7.682306262</f>
        <v>7.682306262</v>
      </c>
      <c r="BY58">
        <f>4.045114871</f>
        <v>4.045114871</v>
      </c>
      <c r="BZ58">
        <f>6.210670172</f>
        <v>6.2106701720000004</v>
      </c>
      <c r="CA58">
        <f>0.909431743</f>
        <v>0.90943174299999996</v>
      </c>
      <c r="CB58">
        <f>7.364747135</f>
        <v>7.364747135</v>
      </c>
      <c r="CC58">
        <f>3.140836934</f>
        <v>3.1408369340000002</v>
      </c>
      <c r="CD58">
        <f>7.6592249</f>
        <v>7.6592248999999999</v>
      </c>
      <c r="CE58">
        <f>-0.065945344</f>
        <v>-6.5945344000000003E-2</v>
      </c>
      <c r="CF58">
        <f>7.450637831</f>
        <v>7.4506378309999999</v>
      </c>
      <c r="CG58">
        <f>-0.333117998</f>
        <v>-0.33311799800000003</v>
      </c>
      <c r="CH58">
        <f>6.728947981</f>
        <v>6.7289479810000001</v>
      </c>
      <c r="CI58">
        <f>1.893761166</f>
        <v>1.893761166</v>
      </c>
      <c r="CJ58">
        <f>7.951575688</f>
        <v>7.9515756880000001</v>
      </c>
      <c r="CK58">
        <f>1.49687409</f>
        <v>1.4968740899999999</v>
      </c>
      <c r="CL58">
        <f>3.906945769</f>
        <v>3.906945769</v>
      </c>
      <c r="CM58">
        <f>3.208678619</f>
        <v>3.2086786190000001</v>
      </c>
      <c r="CN58">
        <f>5.912249572</f>
        <v>5.9122495720000003</v>
      </c>
      <c r="CO58">
        <f>-3.049668186</f>
        <v>-3.0496681859999999</v>
      </c>
      <c r="CP58">
        <f>16.09986811</f>
        <v>16.099868109999999</v>
      </c>
      <c r="CQ58">
        <f>0.983818428</f>
        <v>0.98381842799999997</v>
      </c>
      <c r="CR58">
        <f>3.856090162</f>
        <v>3.8560901620000001</v>
      </c>
      <c r="CS58">
        <f>-2.170840484</f>
        <v>-2.1708404840000002</v>
      </c>
      <c r="CT58">
        <f>3.487903534</f>
        <v>3.487903534</v>
      </c>
      <c r="CU58">
        <f>-2.066604174</f>
        <v>-2.0666041740000001</v>
      </c>
      <c r="CV58">
        <f>-2.574169247</f>
        <v>-2.5741692469999999</v>
      </c>
      <c r="CW58">
        <f>-2.143998804</f>
        <v>-2.1439988040000002</v>
      </c>
      <c r="CX58">
        <f>-4.957196176</f>
        <v>-4.9571961760000001</v>
      </c>
      <c r="CY58">
        <f>-3.920065846</f>
        <v>-3.920065846</v>
      </c>
      <c r="CZ58">
        <f>3.637101646</f>
        <v>3.6371016460000001</v>
      </c>
      <c r="DA58">
        <f>2.440380313</f>
        <v>2.4403803129999999</v>
      </c>
      <c r="DB58">
        <f>-5.293807232</f>
        <v>-5.2938072319999998</v>
      </c>
      <c r="DC58">
        <f>-0.856776323</f>
        <v>-0.85677632299999995</v>
      </c>
      <c r="DD58">
        <f>5.294344781</f>
        <v>5.2943447810000004</v>
      </c>
      <c r="DE58">
        <f>-8.074188894</f>
        <v>-8.0741888940000006</v>
      </c>
      <c r="DF58">
        <f>4.686070977</f>
        <v>4.686070977</v>
      </c>
      <c r="DG58">
        <f>-3.298852257</f>
        <v>-3.2988522570000001</v>
      </c>
      <c r="DH58">
        <f>4.305538179</f>
        <v>4.305538179</v>
      </c>
      <c r="DI58">
        <f>-0.481120326</f>
        <v>-0.48112032599999999</v>
      </c>
      <c r="DJ58">
        <f>4.966035447</f>
        <v>4.9660354470000003</v>
      </c>
      <c r="DK58">
        <f>-1.051364146</f>
        <v>-1.0513641460000001</v>
      </c>
      <c r="DL58">
        <f>4.252048142</f>
        <v>4.2520481419999996</v>
      </c>
      <c r="DM58">
        <f>0.382317392</f>
        <v>0.38231739199999998</v>
      </c>
      <c r="DN58">
        <f>7.500583717</f>
        <v>7.5005837169999996</v>
      </c>
      <c r="DO58">
        <f>-0.051497514</f>
        <v>-5.1497514000000001E-2</v>
      </c>
      <c r="DP58">
        <f>2.712836672</f>
        <v>2.7128366719999999</v>
      </c>
      <c r="DQ58">
        <f>2.631878307</f>
        <v>2.631878307</v>
      </c>
      <c r="DR58">
        <f>5.411744146</f>
        <v>5.4117441460000002</v>
      </c>
      <c r="DS58">
        <f>-1.000491976</f>
        <v>-1.0004919759999999</v>
      </c>
      <c r="DT58">
        <f>3.075837524</f>
        <v>3.0758375240000002</v>
      </c>
      <c r="DU58">
        <f>-3.279462712</f>
        <v>-3.2794627119999999</v>
      </c>
    </row>
    <row r="59" spans="1:125">
      <c r="A59" t="str">
        <f>"    YoY % Change in Total NOI for All Equity REITs"</f>
        <v xml:space="preserve">    YoY % Change in Total NOI for All Equity REITs</v>
      </c>
      <c r="B59" t="str">
        <f>"RECFNOYY Index"</f>
        <v>RECFNOYY Index</v>
      </c>
      <c r="C59" t="str">
        <f>"PR005"</f>
        <v>PR005</v>
      </c>
      <c r="D59" t="str">
        <f>"PX_LAST"</f>
        <v>PX_LAST</v>
      </c>
      <c r="E59" t="str">
        <f>"动态"</f>
        <v>动态</v>
      </c>
      <c r="F59">
        <f ca="1">IF(AND(ISNUMBER($F$289),$B$183=1),$F$289,HLOOKUP(INDIRECT(ADDRESS(2,COLUMN())),OFFSET($BN$2,0,0,ROW()-1,60),ROW()-1,FALSE))</f>
        <v>9.8481868800000001</v>
      </c>
      <c r="G59">
        <f ca="1">IF(AND(ISNUMBER($G$289),$B$183=1),$G$289,HLOOKUP(INDIRECT(ADDRESS(2,COLUMN())),OFFSET($BN$2,0,0,ROW()-1,60),ROW()-1,FALSE))</f>
        <v>7.2867044270000001</v>
      </c>
      <c r="H59">
        <f ca="1">IF(AND(ISNUMBER($H$289),$B$183=1),$H$289,HLOOKUP(INDIRECT(ADDRESS(2,COLUMN())),OFFSET($BN$2,0,0,ROW()-1,60),ROW()-1,FALSE))</f>
        <v>8.5790650339999992</v>
      </c>
      <c r="I59">
        <f ca="1">IF(AND(ISNUMBER($I$289),$B$183=1),$I$289,HLOOKUP(INDIRECT(ADDRESS(2,COLUMN())),OFFSET($BN$2,0,0,ROW()-1,60),ROW()-1,FALSE))</f>
        <v>9.8541464829999992</v>
      </c>
      <c r="J59">
        <f ca="1">IF(AND(ISNUMBER($J$289),$B$183=1),$J$289,HLOOKUP(INDIRECT(ADDRESS(2,COLUMN())),OFFSET($BN$2,0,0,ROW()-1,60),ROW()-1,FALSE))</f>
        <v>5.3622949950000001</v>
      </c>
      <c r="K59">
        <f ca="1">IF(AND(ISNUMBER($K$289),$B$183=1),$K$289,HLOOKUP(INDIRECT(ADDRESS(2,COLUMN())),OFFSET($BN$2,0,0,ROW()-1,60),ROW()-1,FALSE))</f>
        <v>4.8849082319999999</v>
      </c>
      <c r="L59">
        <f ca="1">IF(AND(ISNUMBER($L$289),$B$183=1),$L$289,HLOOKUP(INDIRECT(ADDRESS(2,COLUMN())),OFFSET($BN$2,0,0,ROW()-1,60),ROW()-1,FALSE))</f>
        <v>6.8654451889999999</v>
      </c>
      <c r="M59">
        <f ca="1">IF(AND(ISNUMBER($M$289),$B$183=1),$M$289,HLOOKUP(INDIRECT(ADDRESS(2,COLUMN())),OFFSET($BN$2,0,0,ROW()-1,60),ROW()-1,FALSE))</f>
        <v>8.8731313679999992</v>
      </c>
      <c r="N59">
        <f ca="1">IF(AND(ISNUMBER($N$289),$B$183=1),$N$289,HLOOKUP(INDIRECT(ADDRESS(2,COLUMN())),OFFSET($BN$2,0,0,ROW()-1,60),ROW()-1,FALSE))</f>
        <v>14.39088344</v>
      </c>
      <c r="O59">
        <f ca="1">IF(AND(ISNUMBER($O$289),$B$183=1),$O$289,HLOOKUP(INDIRECT(ADDRESS(2,COLUMN())),OFFSET($BN$2,0,0,ROW()-1,60),ROW()-1,FALSE))</f>
        <v>21.252369420000001</v>
      </c>
      <c r="P59">
        <f ca="1">IF(AND(ISNUMBER($P$289),$B$183=1),$P$289,HLOOKUP(INDIRECT(ADDRESS(2,COLUMN())),OFFSET($BN$2,0,0,ROW()-1,60),ROW()-1,FALSE))</f>
        <v>20.07869298</v>
      </c>
      <c r="Q59">
        <f ca="1">IF(AND(ISNUMBER($Q$289),$B$183=1),$Q$289,HLOOKUP(INDIRECT(ADDRESS(2,COLUMN())),OFFSET($BN$2,0,0,ROW()-1,60),ROW()-1,FALSE))</f>
        <v>19.724576450000001</v>
      </c>
      <c r="R59">
        <f ca="1">IF(AND(ISNUMBER($R$289),$B$183=1),$R$289,HLOOKUP(INDIRECT(ADDRESS(2,COLUMN())),OFFSET($BN$2,0,0,ROW()-1,60),ROW()-1,FALSE))</f>
        <v>18.68402502</v>
      </c>
      <c r="S59">
        <f ca="1">IF(AND(ISNUMBER($S$289),$B$183=1),$S$289,HLOOKUP(INDIRECT(ADDRESS(2,COLUMN())),OFFSET($BN$2,0,0,ROW()-1,60),ROW()-1,FALSE))</f>
        <v>20.302697649999999</v>
      </c>
      <c r="T59">
        <f ca="1">IF(AND(ISNUMBER($T$289),$B$183=1),$T$289,HLOOKUP(INDIRECT(ADDRESS(2,COLUMN())),OFFSET($BN$2,0,0,ROW()-1,60),ROW()-1,FALSE))</f>
        <v>19.139867850000002</v>
      </c>
      <c r="U59">
        <f ca="1">IF(AND(ISNUMBER($U$289),$B$183=1),$U$289,HLOOKUP(INDIRECT(ADDRESS(2,COLUMN())),OFFSET($BN$2,0,0,ROW()-1,60),ROW()-1,FALSE))</f>
        <v>19.235178520000002</v>
      </c>
      <c r="V59">
        <f ca="1">IF(AND(ISNUMBER($V$289),$B$183=1),$V$289,HLOOKUP(INDIRECT(ADDRESS(2,COLUMN())),OFFSET($BN$2,0,0,ROW()-1,60),ROW()-1,FALSE))</f>
        <v>15.2191394</v>
      </c>
      <c r="W59">
        <f ca="1">IF(AND(ISNUMBER($W$289),$B$183=1),$W$289,HLOOKUP(INDIRECT(ADDRESS(2,COLUMN())),OFFSET($BN$2,0,0,ROW()-1,60),ROW()-1,FALSE))</f>
        <v>14.22353771</v>
      </c>
      <c r="X59">
        <f ca="1">IF(AND(ISNUMBER($X$289),$B$183=1),$X$289,HLOOKUP(INDIRECT(ADDRESS(2,COLUMN())),OFFSET($BN$2,0,0,ROW()-1,60),ROW()-1,FALSE))</f>
        <v>16.463460940000001</v>
      </c>
      <c r="Y59">
        <f ca="1">IF(AND(ISNUMBER($Y$289),$B$183=1),$Y$289,HLOOKUP(INDIRECT(ADDRESS(2,COLUMN())),OFFSET($BN$2,0,0,ROW()-1,60),ROW()-1,FALSE))</f>
        <v>17.006416829999999</v>
      </c>
      <c r="Z59">
        <f ca="1">IF(AND(ISNUMBER($Z$289),$B$183=1),$Z$289,HLOOKUP(INDIRECT(ADDRESS(2,COLUMN())),OFFSET($BN$2,0,0,ROW()-1,60),ROW()-1,FALSE))</f>
        <v>19.154781589999999</v>
      </c>
      <c r="AA59">
        <f ca="1">IF(AND(ISNUMBER($AA$289),$B$183=1),$AA$289,HLOOKUP(INDIRECT(ADDRESS(2,COLUMN())),OFFSET($BN$2,0,0,ROW()-1,60),ROW()-1,FALSE))</f>
        <v>16.004229989999999</v>
      </c>
      <c r="AB59">
        <f ca="1">IF(AND(ISNUMBER($AB$289),$B$183=1),$AB$289,HLOOKUP(INDIRECT(ADDRESS(2,COLUMN())),OFFSET($BN$2,0,0,ROW()-1,60),ROW()-1,FALSE))</f>
        <v>17.501240060000001</v>
      </c>
      <c r="AC59">
        <f ca="1">IF(AND(ISNUMBER($AC$289),$B$183=1),$AC$289,HLOOKUP(INDIRECT(ADDRESS(2,COLUMN())),OFFSET($BN$2,0,0,ROW()-1,60),ROW()-1,FALSE))</f>
        <v>15.2815101</v>
      </c>
      <c r="AD59">
        <f ca="1">IF(AND(ISNUMBER($AD$289),$B$183=1),$AD$289,HLOOKUP(INDIRECT(ADDRESS(2,COLUMN())),OFFSET($BN$2,0,0,ROW()-1,60),ROW()-1,FALSE))</f>
        <v>10.11748644</v>
      </c>
      <c r="AE59">
        <f ca="1">IF(AND(ISNUMBER($AE$289),$B$183=1),$AE$289,HLOOKUP(INDIRECT(ADDRESS(2,COLUMN())),OFFSET($BN$2,0,0,ROW()-1,60),ROW()-1,FALSE))</f>
        <v>23.03918238</v>
      </c>
      <c r="AF59">
        <f ca="1">IF(AND(ISNUMBER($AF$289),$B$183=1),$AF$289,HLOOKUP(INDIRECT(ADDRESS(2,COLUMN())),OFFSET($BN$2,0,0,ROW()-1,60),ROW()-1,FALSE))</f>
        <v>20.386837809999999</v>
      </c>
      <c r="AG59">
        <f ca="1">IF(AND(ISNUMBER($AG$289),$B$183=1),$AG$289,HLOOKUP(INDIRECT(ADDRESS(2,COLUMN())),OFFSET($BN$2,0,0,ROW()-1,60),ROW()-1,FALSE))</f>
        <v>18.049671610000001</v>
      </c>
      <c r="AH59">
        <f ca="1">IF(AND(ISNUMBER($AH$289),$B$183=1),$AH$289,HLOOKUP(INDIRECT(ADDRESS(2,COLUMN())),OFFSET($BN$2,0,0,ROW()-1,60),ROW()-1,FALSE))</f>
        <v>19.119758940000001</v>
      </c>
      <c r="AI59">
        <f ca="1">IF(AND(ISNUMBER($AI$289),$B$183=1),$AI$289,HLOOKUP(INDIRECT(ADDRESS(2,COLUMN())),OFFSET($BN$2,0,0,ROW()-1,60),ROW()-1,FALSE))</f>
        <v>6.1797426949999998</v>
      </c>
      <c r="AJ59">
        <f ca="1">IF(AND(ISNUMBER($AJ$289),$B$183=1),$AJ$289,HLOOKUP(INDIRECT(ADDRESS(2,COLUMN())),OFFSET($BN$2,0,0,ROW()-1,60),ROW()-1,FALSE))</f>
        <v>2.9723665829999999</v>
      </c>
      <c r="AK59">
        <f ca="1">IF(AND(ISNUMBER($AK$289),$B$183=1),$AK$289,HLOOKUP(INDIRECT(ADDRESS(2,COLUMN())),OFFSET($BN$2,0,0,ROW()-1,60),ROW()-1,FALSE))</f>
        <v>-3.4031769989999998</v>
      </c>
      <c r="AL59">
        <f ca="1">IF(AND(ISNUMBER($AL$289),$B$183=1),$AL$289,HLOOKUP(INDIRECT(ADDRESS(2,COLUMN())),OFFSET($BN$2,0,0,ROW()-1,60),ROW()-1,FALSE))</f>
        <v>-3.3766734399999998</v>
      </c>
      <c r="AM59">
        <f ca="1">IF(AND(ISNUMBER($AM$289),$B$183=1),$AM$289,HLOOKUP(INDIRECT(ADDRESS(2,COLUMN())),OFFSET($BN$2,0,0,ROW()-1,60),ROW()-1,FALSE))</f>
        <v>-11.26159138</v>
      </c>
      <c r="AN59">
        <f ca="1">IF(AND(ISNUMBER($AN$289),$B$183=1),$AN$289,HLOOKUP(INDIRECT(ADDRESS(2,COLUMN())),OFFSET($BN$2,0,0,ROW()-1,60),ROW()-1,FALSE))</f>
        <v>-12.94103114</v>
      </c>
      <c r="AO59">
        <f ca="1">IF(AND(ISNUMBER($AO$289),$B$183=1),$AO$289,HLOOKUP(INDIRECT(ADDRESS(2,COLUMN())),OFFSET($BN$2,0,0,ROW()-1,60),ROW()-1,FALSE))</f>
        <v>-7.3906875120000004</v>
      </c>
      <c r="AP59">
        <f ca="1">IF(AND(ISNUMBER($AP$289),$B$183=1),$AP$289,HLOOKUP(INDIRECT(ADDRESS(2,COLUMN())),OFFSET($BN$2,0,0,ROW()-1,60),ROW()-1,FALSE))</f>
        <v>-3.0521064020000002</v>
      </c>
      <c r="AQ59">
        <f ca="1">IF(AND(ISNUMBER($AQ$289),$B$183=1),$AQ$289,HLOOKUP(INDIRECT(ADDRESS(2,COLUMN())),OFFSET($BN$2,0,0,ROW()-1,60),ROW()-1,FALSE))</f>
        <v>-3.3954646749999999</v>
      </c>
      <c r="AR59">
        <f ca="1">IF(AND(ISNUMBER($AR$289),$B$183=1),$AR$289,HLOOKUP(INDIRECT(ADDRESS(2,COLUMN())),OFFSET($BN$2,0,0,ROW()-1,60),ROW()-1,FALSE))</f>
        <v>-0.315449441</v>
      </c>
      <c r="AS59">
        <f ca="1">IF(AND(ISNUMBER($AS$289),$B$183=1),$AS$289,HLOOKUP(INDIRECT(ADDRESS(2,COLUMN())),OFFSET($BN$2,0,0,ROW()-1,60),ROW()-1,FALSE))</f>
        <v>1.278589127</v>
      </c>
      <c r="AT59">
        <f ca="1">IF(AND(ISNUMBER($AT$289),$B$183=1),$AT$289,HLOOKUP(INDIRECT(ADDRESS(2,COLUMN())),OFFSET($BN$2,0,0,ROW()-1,60),ROW()-1,FALSE))</f>
        <v>-9.116732828</v>
      </c>
      <c r="AU59">
        <f ca="1">IF(AND(ISNUMBER($AU$289),$B$183=1),$AU$289,HLOOKUP(INDIRECT(ADDRESS(2,COLUMN())),OFFSET($BN$2,0,0,ROW()-1,60),ROW()-1,FALSE))</f>
        <v>0.46029599300000001</v>
      </c>
      <c r="AV59">
        <f ca="1">IF(AND(ISNUMBER($AV$289),$B$183=1),$AV$289,HLOOKUP(INDIRECT(ADDRESS(2,COLUMN())),OFFSET($BN$2,0,0,ROW()-1,60),ROW()-1,FALSE))</f>
        <v>-2.0142218010000001</v>
      </c>
      <c r="AW59">
        <f ca="1">IF(AND(ISNUMBER($AW$289),$B$183=1),$AW$289,HLOOKUP(INDIRECT(ADDRESS(2,COLUMN())),OFFSET($BN$2,0,0,ROW()-1,60),ROW()-1,FALSE))</f>
        <v>-2.9343945269999998</v>
      </c>
      <c r="AX59">
        <f ca="1">IF(AND(ISNUMBER($AX$289),$B$183=1),$AX$289,HLOOKUP(INDIRECT(ADDRESS(2,COLUMN())),OFFSET($BN$2,0,0,ROW()-1,60),ROW()-1,FALSE))</f>
        <v>5.0832208630000002</v>
      </c>
      <c r="AY59">
        <f ca="1">IF(AND(ISNUMBER($AY$289),$B$183=1),$AY$289,HLOOKUP(INDIRECT(ADDRESS(2,COLUMN())),OFFSET($BN$2,0,0,ROW()-1,60),ROW()-1,FALSE))</f>
        <v>5.3642474409999998</v>
      </c>
      <c r="AZ59">
        <f ca="1">IF(AND(ISNUMBER($AZ$289),$B$183=1),$AZ$289,HLOOKUP(INDIRECT(ADDRESS(2,COLUMN())),OFFSET($BN$2,0,0,ROW()-1,60),ROW()-1,FALSE))</f>
        <v>7.8130797340000004</v>
      </c>
      <c r="BA59">
        <f ca="1">IF(AND(ISNUMBER($BA$289),$B$183=1),$BA$289,HLOOKUP(INDIRECT(ADDRESS(2,COLUMN())),OFFSET($BN$2,0,0,ROW()-1,60),ROW()-1,FALSE))</f>
        <v>7.757790956</v>
      </c>
      <c r="BB59">
        <f ca="1">IF(AND(ISNUMBER($BB$289),$B$183=1),$BB$289,HLOOKUP(INDIRECT(ADDRESS(2,COLUMN())),OFFSET($BN$2,0,0,ROW()-1,60),ROW()-1,FALSE))</f>
        <v>8.6927104560000004</v>
      </c>
      <c r="BC59">
        <f ca="1">IF(AND(ISNUMBER($BC$289),$B$183=1),$BC$289,HLOOKUP(INDIRECT(ADDRESS(2,COLUMN())),OFFSET($BN$2,0,0,ROW()-1,60),ROW()-1,FALSE))</f>
        <v>11.31724438</v>
      </c>
      <c r="BD59">
        <f ca="1">IF(AND(ISNUMBER($BD$289),$B$183=1),$BD$289,HLOOKUP(INDIRECT(ADDRESS(2,COLUMN())),OFFSET($BN$2,0,0,ROW()-1,60),ROW()-1,FALSE))</f>
        <v>12.442094640000001</v>
      </c>
      <c r="BE59">
        <f ca="1">IF(AND(ISNUMBER($BE$289),$B$183=1),$BE$289,HLOOKUP(INDIRECT(ADDRESS(2,COLUMN())),OFFSET($BN$2,0,0,ROW()-1,60),ROW()-1,FALSE))</f>
        <v>10.781962630000001</v>
      </c>
      <c r="BF59">
        <f ca="1">IF(AND(ISNUMBER($BF$289),$B$183=1),$BF$289,HLOOKUP(INDIRECT(ADDRESS(2,COLUMN())),OFFSET($BN$2,0,0,ROW()-1,60),ROW()-1,FALSE))</f>
        <v>13.264578889999999</v>
      </c>
      <c r="BG59">
        <f ca="1">IF(AND(ISNUMBER($BG$289),$B$183=1),$BG$289,HLOOKUP(INDIRECT(ADDRESS(2,COLUMN())),OFFSET($BN$2,0,0,ROW()-1,60),ROW()-1,FALSE))</f>
        <v>11.06373936</v>
      </c>
      <c r="BH59">
        <f ca="1">IF(AND(ISNUMBER($BH$289),$B$183=1),$BH$289,HLOOKUP(INDIRECT(ADDRESS(2,COLUMN())),OFFSET($BN$2,0,0,ROW()-1,60),ROW()-1,FALSE))</f>
        <v>10.009207569999999</v>
      </c>
      <c r="BI59">
        <f ca="1">IF(AND(ISNUMBER($BI$289),$B$183=1),$BI$289,HLOOKUP(INDIRECT(ADDRESS(2,COLUMN())),OFFSET($BN$2,0,0,ROW()-1,60),ROW()-1,FALSE))</f>
        <v>10.39799476</v>
      </c>
      <c r="BJ59">
        <f ca="1">IF(AND(ISNUMBER($BJ$289),$B$183=1),$BJ$289,HLOOKUP(INDIRECT(ADDRESS(2,COLUMN())),OFFSET($BN$2,0,0,ROW()-1,60),ROW()-1,FALSE))</f>
        <v>4.0393447460000003</v>
      </c>
      <c r="BK59">
        <f ca="1">IF(AND(ISNUMBER($BK$289),$B$183=1),$BK$289,HLOOKUP(INDIRECT(ADDRESS(2,COLUMN())),OFFSET($BN$2,0,0,ROW()-1,60),ROW()-1,FALSE))</f>
        <v>0.65927357200000003</v>
      </c>
      <c r="BL59">
        <f ca="1">IF(AND(ISNUMBER($BL$289),$B$183=1),$BL$289,HLOOKUP(INDIRECT(ADDRESS(2,COLUMN())),OFFSET($BN$2,0,0,ROW()-1,60),ROW()-1,FALSE))</f>
        <v>0.93795277899999996</v>
      </c>
      <c r="BM59">
        <f ca="1">IF(AND(ISNUMBER($BM$289),$B$183=1),$BM$289,HLOOKUP(INDIRECT(ADDRESS(2,COLUMN())),OFFSET($BN$2,0,0,ROW()-1,60),ROW()-1,FALSE))</f>
        <v>1.9265858419999999</v>
      </c>
      <c r="BN59">
        <f>9.84818688</f>
        <v>9.8481868800000001</v>
      </c>
      <c r="BO59">
        <f>7.286704427</f>
        <v>7.2867044270000001</v>
      </c>
      <c r="BP59">
        <f>8.579065034</f>
        <v>8.5790650339999992</v>
      </c>
      <c r="BQ59">
        <f>9.854146483</f>
        <v>9.8541464829999992</v>
      </c>
      <c r="BR59">
        <f>5.362294995</f>
        <v>5.3622949950000001</v>
      </c>
      <c r="BS59">
        <f>4.884908232</f>
        <v>4.8849082319999999</v>
      </c>
      <c r="BT59">
        <f>6.865445189</f>
        <v>6.8654451889999999</v>
      </c>
      <c r="BU59">
        <f>8.873131368</f>
        <v>8.8731313679999992</v>
      </c>
      <c r="BV59">
        <f>14.39088344</f>
        <v>14.39088344</v>
      </c>
      <c r="BW59">
        <f>21.25236942</f>
        <v>21.252369420000001</v>
      </c>
      <c r="BX59">
        <f>20.07869298</f>
        <v>20.07869298</v>
      </c>
      <c r="BY59">
        <f>19.72457645</f>
        <v>19.724576450000001</v>
      </c>
      <c r="BZ59">
        <f>18.68402502</f>
        <v>18.68402502</v>
      </c>
      <c r="CA59">
        <f>20.30269765</f>
        <v>20.302697649999999</v>
      </c>
      <c r="CB59">
        <f>19.13986785</f>
        <v>19.139867850000002</v>
      </c>
      <c r="CC59">
        <f>19.23517852</f>
        <v>19.235178520000002</v>
      </c>
      <c r="CD59">
        <f>15.2191394</f>
        <v>15.2191394</v>
      </c>
      <c r="CE59">
        <f>14.22353771</f>
        <v>14.22353771</v>
      </c>
      <c r="CF59">
        <f>16.46346094</f>
        <v>16.463460940000001</v>
      </c>
      <c r="CG59">
        <f>17.00641683</f>
        <v>17.006416829999999</v>
      </c>
      <c r="CH59">
        <f>19.15478159</f>
        <v>19.154781589999999</v>
      </c>
      <c r="CI59">
        <f>16.00422999</f>
        <v>16.004229989999999</v>
      </c>
      <c r="CJ59">
        <f>17.50124006</f>
        <v>17.501240060000001</v>
      </c>
      <c r="CK59">
        <f>15.2815101</f>
        <v>15.2815101</v>
      </c>
      <c r="CL59">
        <f>10.11748644</f>
        <v>10.11748644</v>
      </c>
      <c r="CM59">
        <f>23.03918238</f>
        <v>23.03918238</v>
      </c>
      <c r="CN59">
        <f>20.38683781</f>
        <v>20.386837809999999</v>
      </c>
      <c r="CO59">
        <f>18.04967161</f>
        <v>18.049671610000001</v>
      </c>
      <c r="CP59">
        <f>19.11975894</f>
        <v>19.119758940000001</v>
      </c>
      <c r="CQ59">
        <f>6.179742695</f>
        <v>6.1797426949999998</v>
      </c>
      <c r="CR59">
        <f>2.972366583</f>
        <v>2.9723665829999999</v>
      </c>
      <c r="CS59">
        <f>-3.403176999</f>
        <v>-3.4031769989999998</v>
      </c>
      <c r="CT59">
        <f>-3.37667344</f>
        <v>-3.3766734399999998</v>
      </c>
      <c r="CU59">
        <f>-11.26159138</f>
        <v>-11.26159138</v>
      </c>
      <c r="CV59">
        <f>-12.94103114</f>
        <v>-12.94103114</v>
      </c>
      <c r="CW59">
        <f>-7.390687512</f>
        <v>-7.3906875120000004</v>
      </c>
      <c r="CX59">
        <f>-3.052106402</f>
        <v>-3.0521064020000002</v>
      </c>
      <c r="CY59">
        <f>-3.395464675</f>
        <v>-3.3954646749999999</v>
      </c>
      <c r="CZ59">
        <f>-0.315449441</f>
        <v>-0.315449441</v>
      </c>
      <c r="DA59">
        <f>1.278589127</f>
        <v>1.278589127</v>
      </c>
      <c r="DB59">
        <f>-9.116732828</f>
        <v>-9.116732828</v>
      </c>
      <c r="DC59">
        <f>0.460295993</f>
        <v>0.46029599300000001</v>
      </c>
      <c r="DD59">
        <f>-2.014221801</f>
        <v>-2.0142218010000001</v>
      </c>
      <c r="DE59">
        <f>-2.934394527</f>
        <v>-2.9343945269999998</v>
      </c>
      <c r="DF59">
        <f>5.083220863</f>
        <v>5.0832208630000002</v>
      </c>
      <c r="DG59">
        <f>5.364247441</f>
        <v>5.3642474409999998</v>
      </c>
      <c r="DH59">
        <f>7.813079734</f>
        <v>7.8130797340000004</v>
      </c>
      <c r="DI59">
        <f>7.757790956</f>
        <v>7.757790956</v>
      </c>
      <c r="DJ59">
        <f>8.692710456</f>
        <v>8.6927104560000004</v>
      </c>
      <c r="DK59">
        <f>11.31724438</f>
        <v>11.31724438</v>
      </c>
      <c r="DL59">
        <f>12.44209464</f>
        <v>12.442094640000001</v>
      </c>
      <c r="DM59">
        <f>10.78196263</f>
        <v>10.781962630000001</v>
      </c>
      <c r="DN59">
        <f>13.26457889</f>
        <v>13.264578889999999</v>
      </c>
      <c r="DO59">
        <f>11.06373936</f>
        <v>11.06373936</v>
      </c>
      <c r="DP59">
        <f>10.00920757</f>
        <v>10.009207569999999</v>
      </c>
      <c r="DQ59">
        <f>10.39799476</f>
        <v>10.39799476</v>
      </c>
      <c r="DR59">
        <f>4.039344746</f>
        <v>4.0393447460000003</v>
      </c>
      <c r="DS59">
        <f>0.659273572</f>
        <v>0.65927357200000003</v>
      </c>
      <c r="DT59">
        <f>0.937952779</f>
        <v>0.93795277899999996</v>
      </c>
      <c r="DU59">
        <f>1.926585842</f>
        <v>1.9265858419999999</v>
      </c>
    </row>
    <row r="60" spans="1:125">
      <c r="A60" t="str">
        <f>"    "</f>
        <v xml:space="preserve">    </v>
      </c>
      <c r="B60" t="str">
        <f>""</f>
        <v/>
      </c>
      <c r="E60" t="str">
        <f>"静态"</f>
        <v>静态</v>
      </c>
      <c r="F60" t="str">
        <f t="shared" ref="F60:AK60" ca="1" si="12">HLOOKUP(INDIRECT(ADDRESS(2,COLUMN())),OFFSET($BN$2,0,0,ROW()-1,60),ROW()-1,FALSE)</f>
        <v/>
      </c>
      <c r="G60" t="str">
        <f t="shared" ca="1" si="12"/>
        <v/>
      </c>
      <c r="H60" t="str">
        <f t="shared" ca="1" si="12"/>
        <v/>
      </c>
      <c r="I60" t="str">
        <f t="shared" ca="1" si="12"/>
        <v/>
      </c>
      <c r="J60" t="str">
        <f t="shared" ca="1" si="12"/>
        <v/>
      </c>
      <c r="K60" t="str">
        <f t="shared" ca="1" si="12"/>
        <v/>
      </c>
      <c r="L60" t="str">
        <f t="shared" ca="1" si="12"/>
        <v/>
      </c>
      <c r="M60" t="str">
        <f t="shared" ca="1" si="12"/>
        <v/>
      </c>
      <c r="N60" t="str">
        <f t="shared" ca="1" si="12"/>
        <v/>
      </c>
      <c r="O60" t="str">
        <f t="shared" ca="1" si="12"/>
        <v/>
      </c>
      <c r="P60" t="str">
        <f t="shared" ca="1" si="12"/>
        <v/>
      </c>
      <c r="Q60" t="str">
        <f t="shared" ca="1" si="12"/>
        <v/>
      </c>
      <c r="R60" t="str">
        <f t="shared" ca="1" si="12"/>
        <v/>
      </c>
      <c r="S60" t="str">
        <f t="shared" ca="1" si="12"/>
        <v/>
      </c>
      <c r="T60" t="str">
        <f t="shared" ca="1" si="12"/>
        <v/>
      </c>
      <c r="U60" t="str">
        <f t="shared" ca="1" si="12"/>
        <v/>
      </c>
      <c r="V60" t="str">
        <f t="shared" ca="1" si="12"/>
        <v/>
      </c>
      <c r="W60" t="str">
        <f t="shared" ca="1" si="12"/>
        <v/>
      </c>
      <c r="X60" t="str">
        <f t="shared" ca="1" si="12"/>
        <v/>
      </c>
      <c r="Y60" t="str">
        <f t="shared" ca="1" si="12"/>
        <v/>
      </c>
      <c r="Z60" t="str">
        <f t="shared" ca="1" si="12"/>
        <v/>
      </c>
      <c r="AA60" t="str">
        <f t="shared" ca="1" si="12"/>
        <v/>
      </c>
      <c r="AB60" t="str">
        <f t="shared" ca="1" si="12"/>
        <v/>
      </c>
      <c r="AC60" t="str">
        <f t="shared" ca="1" si="12"/>
        <v/>
      </c>
      <c r="AD60" t="str">
        <f t="shared" ca="1" si="12"/>
        <v/>
      </c>
      <c r="AE60" t="str">
        <f t="shared" ca="1" si="12"/>
        <v/>
      </c>
      <c r="AF60" t="str">
        <f t="shared" ca="1" si="12"/>
        <v/>
      </c>
      <c r="AG60" t="str">
        <f t="shared" ca="1" si="12"/>
        <v/>
      </c>
      <c r="AH60" t="str">
        <f t="shared" ca="1" si="12"/>
        <v/>
      </c>
      <c r="AI60" t="str">
        <f t="shared" ca="1" si="12"/>
        <v/>
      </c>
      <c r="AJ60" t="str">
        <f t="shared" ca="1" si="12"/>
        <v/>
      </c>
      <c r="AK60" t="str">
        <f t="shared" ca="1" si="12"/>
        <v/>
      </c>
      <c r="AL60" t="str">
        <f t="shared" ref="AL60:BM60" ca="1" si="13">HLOOKUP(INDIRECT(ADDRESS(2,COLUMN())),OFFSET($BN$2,0,0,ROW()-1,60),ROW()-1,FALSE)</f>
        <v/>
      </c>
      <c r="AM60" t="str">
        <f t="shared" ca="1" si="13"/>
        <v/>
      </c>
      <c r="AN60" t="str">
        <f t="shared" ca="1" si="13"/>
        <v/>
      </c>
      <c r="AO60" t="str">
        <f t="shared" ca="1" si="13"/>
        <v/>
      </c>
      <c r="AP60" t="str">
        <f t="shared" ca="1" si="13"/>
        <v/>
      </c>
      <c r="AQ60" t="str">
        <f t="shared" ca="1" si="13"/>
        <v/>
      </c>
      <c r="AR60" t="str">
        <f t="shared" ca="1" si="13"/>
        <v/>
      </c>
      <c r="AS60" t="str">
        <f t="shared" ca="1" si="13"/>
        <v/>
      </c>
      <c r="AT60" t="str">
        <f t="shared" ca="1" si="13"/>
        <v/>
      </c>
      <c r="AU60" t="str">
        <f t="shared" ca="1" si="13"/>
        <v/>
      </c>
      <c r="AV60" t="str">
        <f t="shared" ca="1" si="13"/>
        <v/>
      </c>
      <c r="AW60" t="str">
        <f t="shared" ca="1" si="13"/>
        <v/>
      </c>
      <c r="AX60" t="str">
        <f t="shared" ca="1" si="13"/>
        <v/>
      </c>
      <c r="AY60" t="str">
        <f t="shared" ca="1" si="13"/>
        <v/>
      </c>
      <c r="AZ60" t="str">
        <f t="shared" ca="1" si="13"/>
        <v/>
      </c>
      <c r="BA60" t="str">
        <f t="shared" ca="1" si="13"/>
        <v/>
      </c>
      <c r="BB60" t="str">
        <f t="shared" ca="1" si="13"/>
        <v/>
      </c>
      <c r="BC60" t="str">
        <f t="shared" ca="1" si="13"/>
        <v/>
      </c>
      <c r="BD60" t="str">
        <f t="shared" ca="1" si="13"/>
        <v/>
      </c>
      <c r="BE60" t="str">
        <f t="shared" ca="1" si="13"/>
        <v/>
      </c>
      <c r="BF60" t="str">
        <f t="shared" ca="1" si="13"/>
        <v/>
      </c>
      <c r="BG60" t="str">
        <f t="shared" ca="1" si="13"/>
        <v/>
      </c>
      <c r="BH60" t="str">
        <f t="shared" ca="1" si="13"/>
        <v/>
      </c>
      <c r="BI60" t="str">
        <f t="shared" ca="1" si="13"/>
        <v/>
      </c>
      <c r="BJ60" t="str">
        <f t="shared" ca="1" si="13"/>
        <v/>
      </c>
      <c r="BK60" t="str">
        <f t="shared" ca="1" si="13"/>
        <v/>
      </c>
      <c r="BL60" t="str">
        <f t="shared" ca="1" si="13"/>
        <v/>
      </c>
      <c r="BM60" t="str">
        <f t="shared" ca="1" si="13"/>
        <v/>
      </c>
      <c r="BN60" t="str">
        <f>""</f>
        <v/>
      </c>
      <c r="BO60" t="str">
        <f>""</f>
        <v/>
      </c>
      <c r="BP60" t="str">
        <f>""</f>
        <v/>
      </c>
      <c r="BQ60" t="str">
        <f>""</f>
        <v/>
      </c>
      <c r="BR60" t="str">
        <f>""</f>
        <v/>
      </c>
      <c r="BS60" t="str">
        <f>""</f>
        <v/>
      </c>
      <c r="BT60" t="str">
        <f>""</f>
        <v/>
      </c>
      <c r="BU60" t="str">
        <f>""</f>
        <v/>
      </c>
      <c r="BV60" t="str">
        <f>""</f>
        <v/>
      </c>
      <c r="BW60" t="str">
        <f>""</f>
        <v/>
      </c>
      <c r="BX60" t="str">
        <f>""</f>
        <v/>
      </c>
      <c r="BY60" t="str">
        <f>""</f>
        <v/>
      </c>
      <c r="BZ60" t="str">
        <f>""</f>
        <v/>
      </c>
      <c r="CA60" t="str">
        <f>""</f>
        <v/>
      </c>
      <c r="CB60" t="str">
        <f>""</f>
        <v/>
      </c>
      <c r="CC60" t="str">
        <f>""</f>
        <v/>
      </c>
      <c r="CD60" t="str">
        <f>""</f>
        <v/>
      </c>
      <c r="CE60" t="str">
        <f>""</f>
        <v/>
      </c>
      <c r="CF60" t="str">
        <f>""</f>
        <v/>
      </c>
      <c r="CG60" t="str">
        <f>""</f>
        <v/>
      </c>
      <c r="CH60" t="str">
        <f>""</f>
        <v/>
      </c>
      <c r="CI60" t="str">
        <f>""</f>
        <v/>
      </c>
      <c r="CJ60" t="str">
        <f>""</f>
        <v/>
      </c>
      <c r="CK60" t="str">
        <f>""</f>
        <v/>
      </c>
      <c r="CL60" t="str">
        <f>""</f>
        <v/>
      </c>
      <c r="CM60" t="str">
        <f>""</f>
        <v/>
      </c>
      <c r="CN60" t="str">
        <f>""</f>
        <v/>
      </c>
      <c r="CO60" t="str">
        <f>""</f>
        <v/>
      </c>
      <c r="CP60" t="str">
        <f>""</f>
        <v/>
      </c>
      <c r="CQ60" t="str">
        <f>""</f>
        <v/>
      </c>
      <c r="CR60" t="str">
        <f>""</f>
        <v/>
      </c>
      <c r="CS60" t="str">
        <f>""</f>
        <v/>
      </c>
      <c r="CT60" t="str">
        <f>""</f>
        <v/>
      </c>
      <c r="CU60" t="str">
        <f>""</f>
        <v/>
      </c>
      <c r="CV60" t="str">
        <f>""</f>
        <v/>
      </c>
      <c r="CW60" t="str">
        <f>""</f>
        <v/>
      </c>
      <c r="CX60" t="str">
        <f>""</f>
        <v/>
      </c>
      <c r="CY60" t="str">
        <f>""</f>
        <v/>
      </c>
      <c r="CZ60" t="str">
        <f>""</f>
        <v/>
      </c>
      <c r="DA60" t="str">
        <f>""</f>
        <v/>
      </c>
      <c r="DB60" t="str">
        <f>""</f>
        <v/>
      </c>
      <c r="DC60" t="str">
        <f>""</f>
        <v/>
      </c>
      <c r="DD60" t="str">
        <f>""</f>
        <v/>
      </c>
      <c r="DE60" t="str">
        <f>""</f>
        <v/>
      </c>
      <c r="DF60" t="str">
        <f>""</f>
        <v/>
      </c>
      <c r="DG60" t="str">
        <f>""</f>
        <v/>
      </c>
      <c r="DH60" t="str">
        <f>""</f>
        <v/>
      </c>
      <c r="DI60" t="str">
        <f>""</f>
        <v/>
      </c>
      <c r="DJ60" t="str">
        <f>""</f>
        <v/>
      </c>
      <c r="DK60" t="str">
        <f>""</f>
        <v/>
      </c>
      <c r="DL60" t="str">
        <f>""</f>
        <v/>
      </c>
      <c r="DM60" t="str">
        <f>""</f>
        <v/>
      </c>
      <c r="DN60" t="str">
        <f>""</f>
        <v/>
      </c>
      <c r="DO60" t="str">
        <f>""</f>
        <v/>
      </c>
      <c r="DP60" t="str">
        <f>""</f>
        <v/>
      </c>
      <c r="DQ60" t="str">
        <f>""</f>
        <v/>
      </c>
      <c r="DR60" t="str">
        <f>""</f>
        <v/>
      </c>
      <c r="DS60" t="str">
        <f>""</f>
        <v/>
      </c>
      <c r="DT60" t="str">
        <f>""</f>
        <v/>
      </c>
      <c r="DU60" t="str">
        <f>""</f>
        <v/>
      </c>
    </row>
    <row r="61" spans="1:125">
      <c r="A61" t="str">
        <f>"总股利支付-所有股票房地产投资信托"</f>
        <v>总股利支付-所有股票房地产投资信托</v>
      </c>
      <c r="B61" t="str">
        <f>"RECFTDEQ Index"</f>
        <v>RECFTDEQ Index</v>
      </c>
      <c r="C61" t="str">
        <f t="shared" ref="C61:C78" si="14">"PR005"</f>
        <v>PR005</v>
      </c>
      <c r="D61" t="str">
        <f t="shared" ref="D61:D78" si="15">"PX_LAST"</f>
        <v>PX_LAST</v>
      </c>
      <c r="E61" t="str">
        <f t="shared" ref="E61:E78" si="16">"动态"</f>
        <v>动态</v>
      </c>
      <c r="F61">
        <f ca="1">IF(AND(ISNUMBER($F$290),$B$183=1),$F$290,HLOOKUP(INDIRECT(ADDRESS(2,COLUMN())),OFFSET($BN$2,0,0,ROW()-1,60),ROW()-1,FALSE))</f>
        <v>11814.52414</v>
      </c>
      <c r="G61">
        <f ca="1">IF(AND(ISNUMBER($G$290),$B$183=1),$G$290,HLOOKUP(INDIRECT(ADDRESS(2,COLUMN())),OFFSET($BN$2,0,0,ROW()-1,60),ROW()-1,FALSE))</f>
        <v>11391.896000000001</v>
      </c>
      <c r="H61">
        <f ca="1">IF(AND(ISNUMBER($H$290),$B$183=1),$H$290,HLOOKUP(INDIRECT(ADDRESS(2,COLUMN())),OFFSET($BN$2,0,0,ROW()-1,60),ROW()-1,FALSE))</f>
        <v>11119.370999999999</v>
      </c>
      <c r="I61">
        <f ca="1">IF(AND(ISNUMBER($I$290),$B$183=1),$I$290,HLOOKUP(INDIRECT(ADDRESS(2,COLUMN())),OFFSET($BN$2,0,0,ROW()-1,60),ROW()-1,FALSE))</f>
        <v>11771.567999999999</v>
      </c>
      <c r="J61">
        <f ca="1">IF(AND(ISNUMBER($J$290),$B$183=1),$J$290,HLOOKUP(INDIRECT(ADDRESS(2,COLUMN())),OFFSET($BN$2,0,0,ROW()-1,60),ROW()-1,FALSE))</f>
        <v>11630.138000000001</v>
      </c>
      <c r="K61">
        <f ca="1">IF(AND(ISNUMBER($K$290),$B$183=1),$K$290,HLOOKUP(INDIRECT(ADDRESS(2,COLUMN())),OFFSET($BN$2,0,0,ROW()-1,60),ROW()-1,FALSE))</f>
        <v>10686.674000000001</v>
      </c>
      <c r="L61">
        <f ca="1">IF(AND(ISNUMBER($L$290),$B$183=1),$L$290,HLOOKUP(INDIRECT(ADDRESS(2,COLUMN())),OFFSET($BN$2,0,0,ROW()-1,60),ROW()-1,FALSE))</f>
        <v>10393.754000000001</v>
      </c>
      <c r="M61">
        <f ca="1">IF(AND(ISNUMBER($M$290),$B$183=1),$M$290,HLOOKUP(INDIRECT(ADDRESS(2,COLUMN())),OFFSET($BN$2,0,0,ROW()-1,60),ROW()-1,FALSE))</f>
        <v>13828.117</v>
      </c>
      <c r="N61">
        <f ca="1">IF(AND(ISNUMBER($N$290),$B$183=1),$N$290,HLOOKUP(INDIRECT(ADDRESS(2,COLUMN())),OFFSET($BN$2,0,0,ROW()-1,60),ROW()-1,FALSE))</f>
        <v>9974.5509999999995</v>
      </c>
      <c r="O61">
        <f ca="1">IF(AND(ISNUMBER($O$290),$B$183=1),$O$290,HLOOKUP(INDIRECT(ADDRESS(2,COLUMN())),OFFSET($BN$2,0,0,ROW()-1,60),ROW()-1,FALSE))</f>
        <v>10748.380999999999</v>
      </c>
      <c r="P61">
        <f ca="1">IF(AND(ISNUMBER($P$290),$B$183=1),$P$290,HLOOKUP(INDIRECT(ADDRESS(2,COLUMN())),OFFSET($BN$2,0,0,ROW()-1,60),ROW()-1,FALSE))</f>
        <v>9118.7360000000008</v>
      </c>
      <c r="Q61">
        <f ca="1">IF(AND(ISNUMBER($Q$290),$B$183=1),$Q$290,HLOOKUP(INDIRECT(ADDRESS(2,COLUMN())),OFFSET($BN$2,0,0,ROW()-1,60),ROW()-1,FALSE))</f>
        <v>9883.0499999999993</v>
      </c>
      <c r="R61">
        <f ca="1">IF(AND(ISNUMBER($R$290),$B$183=1),$R$290,HLOOKUP(INDIRECT(ADDRESS(2,COLUMN())),OFFSET($BN$2,0,0,ROW()-1,60),ROW()-1,FALSE))</f>
        <v>9408.9320000000007</v>
      </c>
      <c r="S61">
        <f ca="1">IF(AND(ISNUMBER($S$290),$B$183=1),$S$290,HLOOKUP(INDIRECT(ADDRESS(2,COLUMN())),OFFSET($BN$2,0,0,ROW()-1,60),ROW()-1,FALSE))</f>
        <v>7881.2150000000001</v>
      </c>
      <c r="T61">
        <f ca="1">IF(AND(ISNUMBER($T$290),$B$183=1),$T$290,HLOOKUP(INDIRECT(ADDRESS(2,COLUMN())),OFFSET($BN$2,0,0,ROW()-1,60),ROW()-1,FALSE))</f>
        <v>8794.5290000000005</v>
      </c>
      <c r="U61">
        <f ca="1">IF(AND(ISNUMBER($U$290),$B$183=1),$U$290,HLOOKUP(INDIRECT(ADDRESS(2,COLUMN())),OFFSET($BN$2,0,0,ROW()-1,60),ROW()-1,FALSE))</f>
        <v>7870.21</v>
      </c>
      <c r="V61">
        <f ca="1">IF(AND(ISNUMBER($V$290),$B$183=1),$V$290,HLOOKUP(INDIRECT(ADDRESS(2,COLUMN())),OFFSET($BN$2,0,0,ROW()-1,60),ROW()-1,FALSE))</f>
        <v>7001.8869999999997</v>
      </c>
      <c r="W61">
        <f ca="1">IF(AND(ISNUMBER($W$290),$B$183=1),$W$290,HLOOKUP(INDIRECT(ADDRESS(2,COLUMN())),OFFSET($BN$2,0,0,ROW()-1,60),ROW()-1,FALSE))</f>
        <v>6361.9210000000003</v>
      </c>
      <c r="X61">
        <f ca="1">IF(AND(ISNUMBER($X$290),$B$183=1),$X$290,HLOOKUP(INDIRECT(ADDRESS(2,COLUMN())),OFFSET($BN$2,0,0,ROW()-1,60),ROW()-1,FALSE))</f>
        <v>6301.31</v>
      </c>
      <c r="Y61">
        <f ca="1">IF(AND(ISNUMBER($Y$290),$B$183=1),$Y$290,HLOOKUP(INDIRECT(ADDRESS(2,COLUMN())),OFFSET($BN$2,0,0,ROW()-1,60),ROW()-1,FALSE))</f>
        <v>5976.3770000000004</v>
      </c>
      <c r="Z61">
        <f ca="1">IF(AND(ISNUMBER($Z$290),$B$183=1),$Z$290,HLOOKUP(INDIRECT(ADDRESS(2,COLUMN())),OFFSET($BN$2,0,0,ROW()-1,60),ROW()-1,FALSE))</f>
        <v>6578.4269999999997</v>
      </c>
      <c r="AA61">
        <f ca="1">IF(AND(ISNUMBER($AA$290),$B$183=1),$AA$290,HLOOKUP(INDIRECT(ADDRESS(2,COLUMN())),OFFSET($BN$2,0,0,ROW()-1,60),ROW()-1,FALSE))</f>
        <v>5066.8559999999998</v>
      </c>
      <c r="AB61">
        <f ca="1">IF(AND(ISNUMBER($AB$290),$B$183=1),$AB$290,HLOOKUP(INDIRECT(ADDRESS(2,COLUMN())),OFFSET($BN$2,0,0,ROW()-1,60),ROW()-1,FALSE))</f>
        <v>5147.17</v>
      </c>
      <c r="AC61">
        <f ca="1">IF(AND(ISNUMBER($AC$290),$B$183=1),$AC$290,HLOOKUP(INDIRECT(ADDRESS(2,COLUMN())),OFFSET($BN$2,0,0,ROW()-1,60),ROW()-1,FALSE))</f>
        <v>4939.1009999999997</v>
      </c>
      <c r="AD61">
        <f ca="1">IF(AND(ISNUMBER($AD$290),$B$183=1),$AD$290,HLOOKUP(INDIRECT(ADDRESS(2,COLUMN())),OFFSET($BN$2,0,0,ROW()-1,60),ROW()-1,FALSE))</f>
        <v>4602.9780000000001</v>
      </c>
      <c r="AE61">
        <f ca="1">IF(AND(ISNUMBER($AE$290),$B$183=1),$AE$290,HLOOKUP(INDIRECT(ADDRESS(2,COLUMN())),OFFSET($BN$2,0,0,ROW()-1,60),ROW()-1,FALSE))</f>
        <v>4380.1809999999996</v>
      </c>
      <c r="AF61">
        <f ca="1">IF(AND(ISNUMBER($AF$290),$B$183=1),$AF$290,HLOOKUP(INDIRECT(ADDRESS(2,COLUMN())),OFFSET($BN$2,0,0,ROW()-1,60),ROW()-1,FALSE))</f>
        <v>4320.723</v>
      </c>
      <c r="AG61">
        <f ca="1">IF(AND(ISNUMBER($AG$290),$B$183=1),$AG$290,HLOOKUP(INDIRECT(ADDRESS(2,COLUMN())),OFFSET($BN$2,0,0,ROW()-1,60),ROW()-1,FALSE))</f>
        <v>4202.8850000000002</v>
      </c>
      <c r="AH61">
        <f ca="1">IF(AND(ISNUMBER($AH$290),$B$183=1),$AH$290,HLOOKUP(INDIRECT(ADDRESS(2,COLUMN())),OFFSET($BN$2,0,0,ROW()-1,60),ROW()-1,FALSE))</f>
        <v>3665.1374999999998</v>
      </c>
      <c r="AI61">
        <f ca="1">IF(AND(ISNUMBER($AI$290),$B$183=1),$AI$290,HLOOKUP(INDIRECT(ADDRESS(2,COLUMN())),OFFSET($BN$2,0,0,ROW()-1,60),ROW()-1,FALSE))</f>
        <v>3502.848</v>
      </c>
      <c r="AJ61">
        <f ca="1">IF(AND(ISNUMBER($AJ$290),$B$183=1),$AJ$290,HLOOKUP(INDIRECT(ADDRESS(2,COLUMN())),OFFSET($BN$2,0,0,ROW()-1,60),ROW()-1,FALSE))</f>
        <v>3434.502</v>
      </c>
      <c r="AK61">
        <f ca="1">IF(AND(ISNUMBER($AK$290),$B$183=1),$AK$290,HLOOKUP(INDIRECT(ADDRESS(2,COLUMN())),OFFSET($BN$2,0,0,ROW()-1,60),ROW()-1,FALSE))</f>
        <v>3299.3690000000001</v>
      </c>
      <c r="AL61">
        <f ca="1">IF(AND(ISNUMBER($AL$290),$B$183=1),$AL$290,HLOOKUP(INDIRECT(ADDRESS(2,COLUMN())),OFFSET($BN$2,0,0,ROW()-1,60),ROW()-1,FALSE))</f>
        <v>2836.0839999999998</v>
      </c>
      <c r="AM61">
        <f ca="1">IF(AND(ISNUMBER($AM$290),$B$183=1),$AM$290,HLOOKUP(INDIRECT(ADDRESS(2,COLUMN())),OFFSET($BN$2,0,0,ROW()-1,60),ROW()-1,FALSE))</f>
        <v>2787.2550000000001</v>
      </c>
      <c r="AN61">
        <f ca="1">IF(AND(ISNUMBER($AN$290),$B$183=1),$AN$290,HLOOKUP(INDIRECT(ADDRESS(2,COLUMN())),OFFSET($BN$2,0,0,ROW()-1,60),ROW()-1,FALSE))</f>
        <v>2987.1869999999999</v>
      </c>
      <c r="AO61">
        <f ca="1">IF(AND(ISNUMBER($AO$290),$B$183=1),$AO$290,HLOOKUP(INDIRECT(ADDRESS(2,COLUMN())),OFFSET($BN$2,0,0,ROW()-1,60),ROW()-1,FALSE))</f>
        <v>3414.2350000000001</v>
      </c>
      <c r="AP61">
        <f ca="1">IF(AND(ISNUMBER($AP$290),$B$183=1),$AP$290,HLOOKUP(INDIRECT(ADDRESS(2,COLUMN())),OFFSET($BN$2,0,0,ROW()-1,60),ROW()-1,FALSE))</f>
        <v>4572.107</v>
      </c>
      <c r="AQ61">
        <f ca="1">IF(AND(ISNUMBER($AQ$290),$B$183=1),$AQ$290,HLOOKUP(INDIRECT(ADDRESS(2,COLUMN())),OFFSET($BN$2,0,0,ROW()-1,60),ROW()-1,FALSE))</f>
        <v>4597.45</v>
      </c>
      <c r="AR61">
        <f ca="1">IF(AND(ISNUMBER($AR$290),$B$183=1),$AR$290,HLOOKUP(INDIRECT(ADDRESS(2,COLUMN())),OFFSET($BN$2,0,0,ROW()-1,60),ROW()-1,FALSE))</f>
        <v>4527.3540000000003</v>
      </c>
      <c r="AS61">
        <f ca="1">IF(AND(ISNUMBER($AS$290),$B$183=1),$AS$290,HLOOKUP(INDIRECT(ADDRESS(2,COLUMN())),OFFSET($BN$2,0,0,ROW()-1,60),ROW()-1,FALSE))</f>
        <v>5729.2759999999998</v>
      </c>
      <c r="AT61">
        <f ca="1">IF(AND(ISNUMBER($AT$290),$B$183=1),$AT$290,HLOOKUP(INDIRECT(ADDRESS(2,COLUMN())),OFFSET($BN$2,0,0,ROW()-1,60),ROW()-1,FALSE))</f>
        <v>4552.5739999999996</v>
      </c>
      <c r="AU61">
        <f ca="1">IF(AND(ISNUMBER($AU$290),$B$183=1),$AU$290,HLOOKUP(INDIRECT(ADDRESS(2,COLUMN())),OFFSET($BN$2,0,0,ROW()-1,60),ROW()-1,FALSE))</f>
        <v>4354.7870000000003</v>
      </c>
      <c r="AV61">
        <f ca="1">IF(AND(ISNUMBER($AV$290),$B$183=1),$AV$290,HLOOKUP(INDIRECT(ADDRESS(2,COLUMN())),OFFSET($BN$2,0,0,ROW()-1,60),ROW()-1,FALSE))</f>
        <v>5311.125</v>
      </c>
      <c r="AW61">
        <f ca="1">IF(AND(ISNUMBER($AW$290),$B$183=1),$AW$290,HLOOKUP(INDIRECT(ADDRESS(2,COLUMN())),OFFSET($BN$2,0,0,ROW()-1,60),ROW()-1,FALSE))</f>
        <v>5512.2790000000005</v>
      </c>
      <c r="AX61">
        <f ca="1">IF(AND(ISNUMBER($AX$290),$B$183=1),$AX$290,HLOOKUP(INDIRECT(ADDRESS(2,COLUMN())),OFFSET($BN$2,0,0,ROW()-1,60),ROW()-1,FALSE))</f>
        <v>5006.6409999999996</v>
      </c>
      <c r="AY61">
        <f ca="1">IF(AND(ISNUMBER($AY$290),$B$183=1),$AY$290,HLOOKUP(INDIRECT(ADDRESS(2,COLUMN())),OFFSET($BN$2,0,0,ROW()-1,60),ROW()-1,FALSE))</f>
        <v>4557.9780000000001</v>
      </c>
      <c r="AZ61">
        <f ca="1">IF(AND(ISNUMBER($AZ$290),$B$183=1),$AZ$290,HLOOKUP(INDIRECT(ADDRESS(2,COLUMN())),OFFSET($BN$2,0,0,ROW()-1,60),ROW()-1,FALSE))</f>
        <v>4614.9979999999996</v>
      </c>
      <c r="BA61">
        <f ca="1">IF(AND(ISNUMBER($BA$290),$B$183=1),$BA$290,HLOOKUP(INDIRECT(ADDRESS(2,COLUMN())),OFFSET($BN$2,0,0,ROW()-1,60),ROW()-1,FALSE))</f>
        <v>4444.3879999999999</v>
      </c>
      <c r="BB61">
        <f ca="1">IF(AND(ISNUMBER($BB$290),$B$183=1),$BB$290,HLOOKUP(INDIRECT(ADDRESS(2,COLUMN())),OFFSET($BN$2,0,0,ROW()-1,60),ROW()-1,FALSE))</f>
        <v>5537.13</v>
      </c>
      <c r="BC61">
        <f ca="1">IF(AND(ISNUMBER($BC$290),$B$183=1),$BC$290,HLOOKUP(INDIRECT(ADDRESS(2,COLUMN())),OFFSET($BN$2,0,0,ROW()-1,60),ROW()-1,FALSE))</f>
        <v>4642.7340000000004</v>
      </c>
      <c r="BD61">
        <f ca="1">IF(AND(ISNUMBER($BD$290),$B$183=1),$BD$290,HLOOKUP(INDIRECT(ADDRESS(2,COLUMN())),OFFSET($BN$2,0,0,ROW()-1,60),ROW()-1,FALSE))</f>
        <v>4334.1769999999997</v>
      </c>
      <c r="BE61">
        <f ca="1">IF(AND(ISNUMBER($BE$290),$B$183=1),$BE$290,HLOOKUP(INDIRECT(ADDRESS(2,COLUMN())),OFFSET($BN$2,0,0,ROW()-1,60),ROW()-1,FALSE))</f>
        <v>4125.366</v>
      </c>
      <c r="BF61">
        <f ca="1">IF(AND(ISNUMBER($BF$290),$B$183=1),$BF$290,HLOOKUP(INDIRECT(ADDRESS(2,COLUMN())),OFFSET($BN$2,0,0,ROW()-1,60),ROW()-1,FALSE))</f>
        <v>5127.9189999999999</v>
      </c>
      <c r="BG61">
        <f ca="1">IF(AND(ISNUMBER($BG$290),$B$183=1),$BG$290,HLOOKUP(INDIRECT(ADDRESS(2,COLUMN())),OFFSET($BN$2,0,0,ROW()-1,60),ROW()-1,FALSE))</f>
        <v>4012.0140000000001</v>
      </c>
      <c r="BH61">
        <f ca="1">IF(AND(ISNUMBER($BH$290),$B$183=1),$BH$290,HLOOKUP(INDIRECT(ADDRESS(2,COLUMN())),OFFSET($BN$2,0,0,ROW()-1,60),ROW()-1,FALSE))</f>
        <v>3956.2689999999998</v>
      </c>
      <c r="BI61">
        <f ca="1">IF(AND(ISNUMBER($BI$290),$B$183=1),$BI$290,HLOOKUP(INDIRECT(ADDRESS(2,COLUMN())),OFFSET($BN$2,0,0,ROW()-1,60),ROW()-1,FALSE))</f>
        <v>3835.6579999999999</v>
      </c>
      <c r="BJ61">
        <f ca="1">IF(AND(ISNUMBER($BJ$290),$B$183=1),$BJ$290,HLOOKUP(INDIRECT(ADDRESS(2,COLUMN())),OFFSET($BN$2,0,0,ROW()-1,60),ROW()-1,FALSE))</f>
        <v>4160.6440000000002</v>
      </c>
      <c r="BK61">
        <f ca="1">IF(AND(ISNUMBER($BK$290),$B$183=1),$BK$290,HLOOKUP(INDIRECT(ADDRESS(2,COLUMN())),OFFSET($BN$2,0,0,ROW()-1,60),ROW()-1,FALSE))</f>
        <v>3745.3879999999999</v>
      </c>
      <c r="BL61">
        <f ca="1">IF(AND(ISNUMBER($BL$290),$B$183=1),$BL$290,HLOOKUP(INDIRECT(ADDRESS(2,COLUMN())),OFFSET($BN$2,0,0,ROW()-1,60),ROW()-1,FALSE))</f>
        <v>3606.8049999999998</v>
      </c>
      <c r="BM61">
        <f ca="1">IF(AND(ISNUMBER($BM$290),$B$183=1),$BM$290,HLOOKUP(INDIRECT(ADDRESS(2,COLUMN())),OFFSET($BN$2,0,0,ROW()-1,60),ROW()-1,FALSE))</f>
        <v>3441.6889999999999</v>
      </c>
      <c r="BN61">
        <f>11814.52414</f>
        <v>11814.52414</v>
      </c>
      <c r="BO61">
        <f>11391.896</f>
        <v>11391.896000000001</v>
      </c>
      <c r="BP61">
        <f>11119.371</f>
        <v>11119.370999999999</v>
      </c>
      <c r="BQ61">
        <f>11771.568</f>
        <v>11771.567999999999</v>
      </c>
      <c r="BR61">
        <f>11630.138</f>
        <v>11630.138000000001</v>
      </c>
      <c r="BS61">
        <f>10686.674</f>
        <v>10686.674000000001</v>
      </c>
      <c r="BT61">
        <f>10393.754</f>
        <v>10393.754000000001</v>
      </c>
      <c r="BU61">
        <f>13828.117</f>
        <v>13828.117</v>
      </c>
      <c r="BV61">
        <f>9974.551</f>
        <v>9974.5509999999995</v>
      </c>
      <c r="BW61">
        <f>10748.381</f>
        <v>10748.380999999999</v>
      </c>
      <c r="BX61">
        <f>9118.736</f>
        <v>9118.7360000000008</v>
      </c>
      <c r="BY61">
        <f>9883.05</f>
        <v>9883.0499999999993</v>
      </c>
      <c r="BZ61">
        <f>9408.932</f>
        <v>9408.9320000000007</v>
      </c>
      <c r="CA61">
        <f>7881.215</f>
        <v>7881.2150000000001</v>
      </c>
      <c r="CB61">
        <f>8794.529</f>
        <v>8794.5290000000005</v>
      </c>
      <c r="CC61">
        <f>7870.21</f>
        <v>7870.21</v>
      </c>
      <c r="CD61">
        <f>7001.887</f>
        <v>7001.8869999999997</v>
      </c>
      <c r="CE61">
        <f>6361.921</f>
        <v>6361.9210000000003</v>
      </c>
      <c r="CF61">
        <f>6301.31</f>
        <v>6301.31</v>
      </c>
      <c r="CG61">
        <f>5976.377</f>
        <v>5976.3770000000004</v>
      </c>
      <c r="CH61">
        <f>6578.427</f>
        <v>6578.4269999999997</v>
      </c>
      <c r="CI61">
        <f>5066.856</f>
        <v>5066.8559999999998</v>
      </c>
      <c r="CJ61">
        <f>5147.17</f>
        <v>5147.17</v>
      </c>
      <c r="CK61">
        <f>4939.101</f>
        <v>4939.1009999999997</v>
      </c>
      <c r="CL61">
        <f>4602.978</f>
        <v>4602.9780000000001</v>
      </c>
      <c r="CM61">
        <f>4380.181</f>
        <v>4380.1809999999996</v>
      </c>
      <c r="CN61">
        <f>4320.723</f>
        <v>4320.723</v>
      </c>
      <c r="CO61">
        <f>4202.885</f>
        <v>4202.8850000000002</v>
      </c>
      <c r="CP61">
        <f>3665.1375</f>
        <v>3665.1374999999998</v>
      </c>
      <c r="CQ61">
        <f>3502.848</f>
        <v>3502.848</v>
      </c>
      <c r="CR61">
        <f>3434.502</f>
        <v>3434.502</v>
      </c>
      <c r="CS61">
        <f>3299.369</f>
        <v>3299.3690000000001</v>
      </c>
      <c r="CT61">
        <f>2836.084</f>
        <v>2836.0839999999998</v>
      </c>
      <c r="CU61">
        <f>2787.255</f>
        <v>2787.2550000000001</v>
      </c>
      <c r="CV61">
        <f>2987.187</f>
        <v>2987.1869999999999</v>
      </c>
      <c r="CW61">
        <f>3414.235</f>
        <v>3414.2350000000001</v>
      </c>
      <c r="CX61">
        <f>4572.107</f>
        <v>4572.107</v>
      </c>
      <c r="CY61">
        <f>4597.45</f>
        <v>4597.45</v>
      </c>
      <c r="CZ61">
        <f>4527.354</f>
        <v>4527.3540000000003</v>
      </c>
      <c r="DA61">
        <f>5729.276</f>
        <v>5729.2759999999998</v>
      </c>
      <c r="DB61">
        <f>4552.574</f>
        <v>4552.5739999999996</v>
      </c>
      <c r="DC61">
        <f>4354.787</f>
        <v>4354.7870000000003</v>
      </c>
      <c r="DD61">
        <f>5311.125</f>
        <v>5311.125</v>
      </c>
      <c r="DE61">
        <f>5512.279</f>
        <v>5512.2790000000005</v>
      </c>
      <c r="DF61">
        <f>5006.641</f>
        <v>5006.6409999999996</v>
      </c>
      <c r="DG61">
        <f>4557.978</f>
        <v>4557.9780000000001</v>
      </c>
      <c r="DH61">
        <f>4614.998</f>
        <v>4614.9979999999996</v>
      </c>
      <c r="DI61">
        <f>4444.388</f>
        <v>4444.3879999999999</v>
      </c>
      <c r="DJ61">
        <f>5537.13</f>
        <v>5537.13</v>
      </c>
      <c r="DK61">
        <f>4642.734</f>
        <v>4642.7340000000004</v>
      </c>
      <c r="DL61">
        <f>4334.177</f>
        <v>4334.1769999999997</v>
      </c>
      <c r="DM61">
        <f>4125.366</f>
        <v>4125.366</v>
      </c>
      <c r="DN61">
        <f>5127.919</f>
        <v>5127.9189999999999</v>
      </c>
      <c r="DO61">
        <f>4012.014</f>
        <v>4012.0140000000001</v>
      </c>
      <c r="DP61">
        <f>3956.269</f>
        <v>3956.2689999999998</v>
      </c>
      <c r="DQ61">
        <f>3835.658</f>
        <v>3835.6579999999999</v>
      </c>
      <c r="DR61">
        <f>4160.644</f>
        <v>4160.6440000000002</v>
      </c>
      <c r="DS61">
        <f>3745.388</f>
        <v>3745.3879999999999</v>
      </c>
      <c r="DT61">
        <f>3606.805</f>
        <v>3606.8049999999998</v>
      </c>
      <c r="DU61">
        <f>3441.689</f>
        <v>3441.6889999999999</v>
      </c>
    </row>
    <row r="62" spans="1:125">
      <c r="A62" t="str">
        <f>"    Office REITs"</f>
        <v xml:space="preserve">    Office REITs</v>
      </c>
      <c r="B62" t="str">
        <f>"RECFTDOF Index"</f>
        <v>RECFTDOF Index</v>
      </c>
      <c r="C62" t="str">
        <f t="shared" si="14"/>
        <v>PR005</v>
      </c>
      <c r="D62" t="str">
        <f t="shared" si="15"/>
        <v>PX_LAST</v>
      </c>
      <c r="E62" t="str">
        <f t="shared" si="16"/>
        <v>动态</v>
      </c>
      <c r="F62">
        <f ca="1">IF(AND(ISNUMBER($F$291),$B$183=1),$F$291,HLOOKUP(INDIRECT(ADDRESS(2,COLUMN())),OFFSET($BN$2,0,0,ROW()-1,60),ROW()-1,FALSE))</f>
        <v>897.93088790000002</v>
      </c>
      <c r="G62">
        <f ca="1">IF(AND(ISNUMBER($G$291),$B$183=1),$G$291,HLOOKUP(INDIRECT(ADDRESS(2,COLUMN())),OFFSET($BN$2,0,0,ROW()-1,60),ROW()-1,FALSE))</f>
        <v>935.98199999999997</v>
      </c>
      <c r="H62">
        <f ca="1">IF(AND(ISNUMBER($H$291),$B$183=1),$H$291,HLOOKUP(INDIRECT(ADDRESS(2,COLUMN())),OFFSET($BN$2,0,0,ROW()-1,60),ROW()-1,FALSE))</f>
        <v>965.85500000000002</v>
      </c>
      <c r="I62">
        <f ca="1">IF(AND(ISNUMBER($I$291),$B$183=1),$I$291,HLOOKUP(INDIRECT(ADDRESS(2,COLUMN())),OFFSET($BN$2,0,0,ROW()-1,60),ROW()-1,FALSE))</f>
        <v>1244.7560000000001</v>
      </c>
      <c r="J62">
        <f ca="1">IF(AND(ISNUMBER($J$291),$B$183=1),$J$291,HLOOKUP(INDIRECT(ADDRESS(2,COLUMN())),OFFSET($BN$2,0,0,ROW()-1,60),ROW()-1,FALSE))</f>
        <v>1174.595</v>
      </c>
      <c r="K62">
        <f ca="1">IF(AND(ISNUMBER($K$291),$B$183=1),$K$291,HLOOKUP(INDIRECT(ADDRESS(2,COLUMN())),OFFSET($BN$2,0,0,ROW()-1,60),ROW()-1,FALSE))</f>
        <v>813.30600000000004</v>
      </c>
      <c r="L62">
        <f ca="1">IF(AND(ISNUMBER($L$291),$B$183=1),$L$291,HLOOKUP(INDIRECT(ADDRESS(2,COLUMN())),OFFSET($BN$2,0,0,ROW()-1,60),ROW()-1,FALSE))</f>
        <v>932.03700000000003</v>
      </c>
      <c r="M62">
        <f ca="1">IF(AND(ISNUMBER($M$291),$B$183=1),$M$291,HLOOKUP(INDIRECT(ADDRESS(2,COLUMN())),OFFSET($BN$2,0,0,ROW()-1,60),ROW()-1,FALSE))</f>
        <v>1086.9870000000001</v>
      </c>
      <c r="N62">
        <f ca="1">IF(AND(ISNUMBER($N$291),$B$183=1),$N$291,HLOOKUP(INDIRECT(ADDRESS(2,COLUMN())),OFFSET($BN$2,0,0,ROW()-1,60),ROW()-1,FALSE))</f>
        <v>799.26700000000005</v>
      </c>
      <c r="O62">
        <f ca="1">IF(AND(ISNUMBER($O$291),$B$183=1),$O$291,HLOOKUP(INDIRECT(ADDRESS(2,COLUMN())),OFFSET($BN$2,0,0,ROW()-1,60),ROW()-1,FALSE))</f>
        <v>1022.282</v>
      </c>
      <c r="P62">
        <f ca="1">IF(AND(ISNUMBER($P$291),$B$183=1),$P$291,HLOOKUP(INDIRECT(ADDRESS(2,COLUMN())),OFFSET($BN$2,0,0,ROW()-1,60),ROW()-1,FALSE))</f>
        <v>868.27099999999996</v>
      </c>
      <c r="Q62">
        <f ca="1">IF(AND(ISNUMBER($Q$291),$B$183=1),$Q$291,HLOOKUP(INDIRECT(ADDRESS(2,COLUMN())),OFFSET($BN$2,0,0,ROW()-1,60),ROW()-1,FALSE))</f>
        <v>1786.963</v>
      </c>
      <c r="R62">
        <f ca="1">IF(AND(ISNUMBER($R$291),$B$183=1),$R$291,HLOOKUP(INDIRECT(ADDRESS(2,COLUMN())),OFFSET($BN$2,0,0,ROW()-1,60),ROW()-1,FALSE))</f>
        <v>799.12199999999996</v>
      </c>
      <c r="S62">
        <f ca="1">IF(AND(ISNUMBER($S$291),$B$183=1),$S$291,HLOOKUP(INDIRECT(ADDRESS(2,COLUMN())),OFFSET($BN$2,0,0,ROW()-1,60),ROW()-1,FALSE))</f>
        <v>714.07799999999997</v>
      </c>
      <c r="T62">
        <f ca="1">IF(AND(ISNUMBER($T$291),$B$183=1),$T$291,HLOOKUP(INDIRECT(ADDRESS(2,COLUMN())),OFFSET($BN$2,0,0,ROW()-1,60),ROW()-1,FALSE))</f>
        <v>714.45299999999997</v>
      </c>
      <c r="U62">
        <f ca="1">IF(AND(ISNUMBER($U$291),$B$183=1),$U$291,HLOOKUP(INDIRECT(ADDRESS(2,COLUMN())),OFFSET($BN$2,0,0,ROW()-1,60),ROW()-1,FALSE))</f>
        <v>1106.502</v>
      </c>
      <c r="V62">
        <f ca="1">IF(AND(ISNUMBER($V$291),$B$183=1),$V$291,HLOOKUP(INDIRECT(ADDRESS(2,COLUMN())),OFFSET($BN$2,0,0,ROW()-1,60),ROW()-1,FALSE))</f>
        <v>859.48500000000001</v>
      </c>
      <c r="W62">
        <f ca="1">IF(AND(ISNUMBER($W$291),$B$183=1),$W$291,HLOOKUP(INDIRECT(ADDRESS(2,COLUMN())),OFFSET($BN$2,0,0,ROW()-1,60),ROW()-1,FALSE))</f>
        <v>652.74</v>
      </c>
      <c r="X62">
        <f ca="1">IF(AND(ISNUMBER($X$291),$B$183=1),$X$291,HLOOKUP(INDIRECT(ADDRESS(2,COLUMN())),OFFSET($BN$2,0,0,ROW()-1,60),ROW()-1,FALSE))</f>
        <v>670.98500000000001</v>
      </c>
      <c r="Y62">
        <f ca="1">IF(AND(ISNUMBER($Y$291),$B$183=1),$Y$291,HLOOKUP(INDIRECT(ADDRESS(2,COLUMN())),OFFSET($BN$2,0,0,ROW()-1,60),ROW()-1,FALSE))</f>
        <v>661.05700000000002</v>
      </c>
      <c r="Z62">
        <f ca="1">IF(AND(ISNUMBER($Z$291),$B$183=1),$Z$291,HLOOKUP(INDIRECT(ADDRESS(2,COLUMN())),OFFSET($BN$2,0,0,ROW()-1,60),ROW()-1,FALSE))</f>
        <v>560.49599999999998</v>
      </c>
      <c r="AA62">
        <f ca="1">IF(AND(ISNUMBER($AA$291),$B$183=1),$AA$291,HLOOKUP(INDIRECT(ADDRESS(2,COLUMN())),OFFSET($BN$2,0,0,ROW()-1,60),ROW()-1,FALSE))</f>
        <v>564.58100000000002</v>
      </c>
      <c r="AB62">
        <f ca="1">IF(AND(ISNUMBER($AB$291),$B$183=1),$AB$291,HLOOKUP(INDIRECT(ADDRESS(2,COLUMN())),OFFSET($BN$2,0,0,ROW()-1,60),ROW()-1,FALSE))</f>
        <v>596.04100000000005</v>
      </c>
      <c r="AC62">
        <f ca="1">IF(AND(ISNUMBER($AC$291),$B$183=1),$AC$291,HLOOKUP(INDIRECT(ADDRESS(2,COLUMN())),OFFSET($BN$2,0,0,ROW()-1,60),ROW()-1,FALSE))</f>
        <v>639.52599999999995</v>
      </c>
      <c r="AD62">
        <f ca="1">IF(AND(ISNUMBER($AD$291),$B$183=1),$AD$291,HLOOKUP(INDIRECT(ADDRESS(2,COLUMN())),OFFSET($BN$2,0,0,ROW()-1,60),ROW()-1,FALSE))</f>
        <v>523.68100000000004</v>
      </c>
      <c r="AE62">
        <f ca="1">IF(AND(ISNUMBER($AE$291),$B$183=1),$AE$291,HLOOKUP(INDIRECT(ADDRESS(2,COLUMN())),OFFSET($BN$2,0,0,ROW()-1,60),ROW()-1,FALSE))</f>
        <v>537.37300000000005</v>
      </c>
      <c r="AF62">
        <f ca="1">IF(AND(ISNUMBER($AF$291),$B$183=1),$AF$291,HLOOKUP(INDIRECT(ADDRESS(2,COLUMN())),OFFSET($BN$2,0,0,ROW()-1,60),ROW()-1,FALSE))</f>
        <v>650.68899999999996</v>
      </c>
      <c r="AG62">
        <f ca="1">IF(AND(ISNUMBER($AG$291),$B$183=1),$AG$291,HLOOKUP(INDIRECT(ADDRESS(2,COLUMN())),OFFSET($BN$2,0,0,ROW()-1,60),ROW()-1,FALSE))</f>
        <v>494.29500000000002</v>
      </c>
      <c r="AH62">
        <f ca="1">IF(AND(ISNUMBER($AH$291),$B$183=1),$AH$291,HLOOKUP(INDIRECT(ADDRESS(2,COLUMN())),OFFSET($BN$2,0,0,ROW()-1,60),ROW()-1,FALSE))</f>
        <v>484.274</v>
      </c>
      <c r="AI62">
        <f ca="1">IF(AND(ISNUMBER($AI$291),$B$183=1),$AI$291,HLOOKUP(INDIRECT(ADDRESS(2,COLUMN())),OFFSET($BN$2,0,0,ROW()-1,60),ROW()-1,FALSE))</f>
        <v>462.40100000000001</v>
      </c>
      <c r="AJ62">
        <f ca="1">IF(AND(ISNUMBER($AJ$291),$B$183=1),$AJ$291,HLOOKUP(INDIRECT(ADDRESS(2,COLUMN())),OFFSET($BN$2,0,0,ROW()-1,60),ROW()-1,FALSE))</f>
        <v>451.34</v>
      </c>
      <c r="AK62">
        <f ca="1">IF(AND(ISNUMBER($AK$291),$B$183=1),$AK$291,HLOOKUP(INDIRECT(ADDRESS(2,COLUMN())),OFFSET($BN$2,0,0,ROW()-1,60),ROW()-1,FALSE))</f>
        <v>450.565</v>
      </c>
      <c r="AL62">
        <f ca="1">IF(AND(ISNUMBER($AL$291),$B$183=1),$AL$291,HLOOKUP(INDIRECT(ADDRESS(2,COLUMN())),OFFSET($BN$2,0,0,ROW()-1,60),ROW()-1,FALSE))</f>
        <v>380.95</v>
      </c>
      <c r="AM62">
        <f ca="1">IF(AND(ISNUMBER($AM$291),$B$183=1),$AM$291,HLOOKUP(INDIRECT(ADDRESS(2,COLUMN())),OFFSET($BN$2,0,0,ROW()-1,60),ROW()-1,FALSE))</f>
        <v>363.16699999999997</v>
      </c>
      <c r="AN62">
        <f ca="1">IF(AND(ISNUMBER($AN$291),$B$183=1),$AN$291,HLOOKUP(INDIRECT(ADDRESS(2,COLUMN())),OFFSET($BN$2,0,0,ROW()-1,60),ROW()-1,FALSE))</f>
        <v>431.69400000000002</v>
      </c>
      <c r="AO62">
        <f ca="1">IF(AND(ISNUMBER($AO$291),$B$183=1),$AO$291,HLOOKUP(INDIRECT(ADDRESS(2,COLUMN())),OFFSET($BN$2,0,0,ROW()-1,60),ROW()-1,FALSE))</f>
        <v>472.452</v>
      </c>
      <c r="AP62">
        <f ca="1">IF(AND(ISNUMBER($AP$291),$B$183=1),$AP$291,HLOOKUP(INDIRECT(ADDRESS(2,COLUMN())),OFFSET($BN$2,0,0,ROW()-1,60),ROW()-1,FALSE))</f>
        <v>569.83749999999998</v>
      </c>
      <c r="AQ62">
        <f ca="1">IF(AND(ISNUMBER($AQ$291),$B$183=1),$AQ$291,HLOOKUP(INDIRECT(ADDRESS(2,COLUMN())),OFFSET($BN$2,0,0,ROW()-1,60),ROW()-1,FALSE))</f>
        <v>536.96</v>
      </c>
      <c r="AR62">
        <f ca="1">IF(AND(ISNUMBER($AR$291),$B$183=1),$AR$291,HLOOKUP(INDIRECT(ADDRESS(2,COLUMN())),OFFSET($BN$2,0,0,ROW()-1,60),ROW()-1,FALSE))</f>
        <v>549.34299999999996</v>
      </c>
      <c r="AS62">
        <f ca="1">IF(AND(ISNUMBER($AS$291),$B$183=1),$AS$291,HLOOKUP(INDIRECT(ADDRESS(2,COLUMN())),OFFSET($BN$2,0,0,ROW()-1,60),ROW()-1,FALSE))</f>
        <v>1384.4090000000001</v>
      </c>
      <c r="AT62">
        <f ca="1">IF(AND(ISNUMBER($AT$291),$B$183=1),$AT$291,HLOOKUP(INDIRECT(ADDRESS(2,COLUMN())),OFFSET($BN$2,0,0,ROW()-1,60),ROW()-1,FALSE))</f>
        <v>568.73850000000004</v>
      </c>
      <c r="AU62">
        <f ca="1">IF(AND(ISNUMBER($AU$291),$B$183=1),$AU$291,HLOOKUP(INDIRECT(ADDRESS(2,COLUMN())),OFFSET($BN$2,0,0,ROW()-1,60),ROW()-1,FALSE))</f>
        <v>562.41099999999994</v>
      </c>
      <c r="AV62">
        <f ca="1">IF(AND(ISNUMBER($AV$291),$B$183=1),$AV$291,HLOOKUP(INDIRECT(ADDRESS(2,COLUMN())),OFFSET($BN$2,0,0,ROW()-1,60),ROW()-1,FALSE))</f>
        <v>609.35699999999997</v>
      </c>
      <c r="AW62">
        <f ca="1">IF(AND(ISNUMBER($AW$291),$B$183=1),$AW$291,HLOOKUP(INDIRECT(ADDRESS(2,COLUMN())),OFFSET($BN$2,0,0,ROW()-1,60),ROW()-1,FALSE))</f>
        <v>1370.4829999999999</v>
      </c>
      <c r="AX62">
        <f ca="1">IF(AND(ISNUMBER($AX$291),$B$183=1),$AX$291,HLOOKUP(INDIRECT(ADDRESS(2,COLUMN())),OFFSET($BN$2,0,0,ROW()-1,60),ROW()-1,FALSE))</f>
        <v>953.40899999999999</v>
      </c>
      <c r="AY62">
        <f ca="1">IF(AND(ISNUMBER($AY$291),$B$183=1),$AY$291,HLOOKUP(INDIRECT(ADDRESS(2,COLUMN())),OFFSET($BN$2,0,0,ROW()-1,60),ROW()-1,FALSE))</f>
        <v>721.279</v>
      </c>
      <c r="AZ62">
        <f ca="1">IF(AND(ISNUMBER($AZ$291),$B$183=1),$AZ$291,HLOOKUP(INDIRECT(ADDRESS(2,COLUMN())),OFFSET($BN$2,0,0,ROW()-1,60),ROW()-1,FALSE))</f>
        <v>751.85400000000004</v>
      </c>
      <c r="BA62">
        <f ca="1">IF(AND(ISNUMBER($BA$291),$B$183=1),$BA$291,HLOOKUP(INDIRECT(ADDRESS(2,COLUMN())),OFFSET($BN$2,0,0,ROW()-1,60),ROW()-1,FALSE))</f>
        <v>636.03499999999997</v>
      </c>
      <c r="BB62">
        <f ca="1">IF(AND(ISNUMBER($BB$291),$B$183=1),$BB$291,HLOOKUP(INDIRECT(ADDRESS(2,COLUMN())),OFFSET($BN$2,0,0,ROW()-1,60),ROW()-1,FALSE))</f>
        <v>1425.1935000000001</v>
      </c>
      <c r="BC62">
        <f ca="1">IF(AND(ISNUMBER($BC$291),$B$183=1),$BC$291,HLOOKUP(INDIRECT(ADDRESS(2,COLUMN())),OFFSET($BN$2,0,0,ROW()-1,60),ROW()-1,FALSE))</f>
        <v>875.88599999999997</v>
      </c>
      <c r="BD62">
        <f ca="1">IF(AND(ISNUMBER($BD$291),$B$183=1),$BD$291,HLOOKUP(INDIRECT(ADDRESS(2,COLUMN())),OFFSET($BN$2,0,0,ROW()-1,60),ROW()-1,FALSE))</f>
        <v>881.58199999999999</v>
      </c>
      <c r="BE62">
        <f ca="1">IF(AND(ISNUMBER($BE$291),$B$183=1),$BE$291,HLOOKUP(INDIRECT(ADDRESS(2,COLUMN())),OFFSET($BN$2,0,0,ROW()-1,60),ROW()-1,FALSE))</f>
        <v>697.65800000000002</v>
      </c>
      <c r="BF62">
        <f ca="1">IF(AND(ISNUMBER($BF$291),$B$183=1),$BF$291,HLOOKUP(INDIRECT(ADDRESS(2,COLUMN())),OFFSET($BN$2,0,0,ROW()-1,60),ROW()-1,FALSE))</f>
        <v>1081.6125</v>
      </c>
      <c r="BG62">
        <f ca="1">IF(AND(ISNUMBER($BG$291),$B$183=1),$BG$291,HLOOKUP(INDIRECT(ADDRESS(2,COLUMN())),OFFSET($BN$2,0,0,ROW()-1,60),ROW()-1,FALSE))</f>
        <v>834.86</v>
      </c>
      <c r="BH62">
        <f ca="1">IF(AND(ISNUMBER($BH$291),$B$183=1),$BH$291,HLOOKUP(INDIRECT(ADDRESS(2,COLUMN())),OFFSET($BN$2,0,0,ROW()-1,60),ROW()-1,FALSE))</f>
        <v>790.995</v>
      </c>
      <c r="BI62">
        <f ca="1">IF(AND(ISNUMBER($BI$291),$B$183=1),$BI$291,HLOOKUP(INDIRECT(ADDRESS(2,COLUMN())),OFFSET($BN$2,0,0,ROW()-1,60),ROW()-1,FALSE))</f>
        <v>518.00800000000004</v>
      </c>
      <c r="BJ62">
        <f ca="1">IF(AND(ISNUMBER($BJ$291),$B$183=1),$BJ$291,HLOOKUP(INDIRECT(ADDRESS(2,COLUMN())),OFFSET($BN$2,0,0,ROW()-1,60),ROW()-1,FALSE))</f>
        <v>1064.3454999999999</v>
      </c>
      <c r="BK62">
        <f ca="1">IF(AND(ISNUMBER($BK$291),$B$183=1),$BK$291,HLOOKUP(INDIRECT(ADDRESS(2,COLUMN())),OFFSET($BN$2,0,0,ROW()-1,60),ROW()-1,FALSE))</f>
        <v>748.47299999999996</v>
      </c>
      <c r="BL62">
        <f ca="1">IF(AND(ISNUMBER($BL$291),$B$183=1),$BL$291,HLOOKUP(INDIRECT(ADDRESS(2,COLUMN())),OFFSET($BN$2,0,0,ROW()-1,60),ROW()-1,FALSE))</f>
        <v>756.55799999999999</v>
      </c>
      <c r="BM62">
        <f ca="1">IF(AND(ISNUMBER($BM$291),$B$183=1),$BM$291,HLOOKUP(INDIRECT(ADDRESS(2,COLUMN())),OFFSET($BN$2,0,0,ROW()-1,60),ROW()-1,FALSE))</f>
        <v>501.00299999999999</v>
      </c>
      <c r="BN62">
        <f>897.9308879</f>
        <v>897.93088790000002</v>
      </c>
      <c r="BO62">
        <f>935.982</f>
        <v>935.98199999999997</v>
      </c>
      <c r="BP62">
        <f>965.855</f>
        <v>965.85500000000002</v>
      </c>
      <c r="BQ62">
        <f>1244.756</f>
        <v>1244.7560000000001</v>
      </c>
      <c r="BR62">
        <f>1174.595</f>
        <v>1174.595</v>
      </c>
      <c r="BS62">
        <f>813.306</f>
        <v>813.30600000000004</v>
      </c>
      <c r="BT62">
        <f>932.037</f>
        <v>932.03700000000003</v>
      </c>
      <c r="BU62">
        <f>1086.987</f>
        <v>1086.9870000000001</v>
      </c>
      <c r="BV62">
        <f>799.267</f>
        <v>799.26700000000005</v>
      </c>
      <c r="BW62">
        <f>1022.282</f>
        <v>1022.282</v>
      </c>
      <c r="BX62">
        <f>868.271</f>
        <v>868.27099999999996</v>
      </c>
      <c r="BY62">
        <f>1786.963</f>
        <v>1786.963</v>
      </c>
      <c r="BZ62">
        <f>799.122</f>
        <v>799.12199999999996</v>
      </c>
      <c r="CA62">
        <f>714.078</f>
        <v>714.07799999999997</v>
      </c>
      <c r="CB62">
        <f>714.453</f>
        <v>714.45299999999997</v>
      </c>
      <c r="CC62">
        <f>1106.502</f>
        <v>1106.502</v>
      </c>
      <c r="CD62">
        <f>859.485</f>
        <v>859.48500000000001</v>
      </c>
      <c r="CE62">
        <f>652.74</f>
        <v>652.74</v>
      </c>
      <c r="CF62">
        <f>670.985</f>
        <v>670.98500000000001</v>
      </c>
      <c r="CG62">
        <f>661.057</f>
        <v>661.05700000000002</v>
      </c>
      <c r="CH62">
        <f>560.496</f>
        <v>560.49599999999998</v>
      </c>
      <c r="CI62">
        <f>564.581</f>
        <v>564.58100000000002</v>
      </c>
      <c r="CJ62">
        <f>596.041</f>
        <v>596.04100000000005</v>
      </c>
      <c r="CK62">
        <f>639.526</f>
        <v>639.52599999999995</v>
      </c>
      <c r="CL62">
        <f>523.681</f>
        <v>523.68100000000004</v>
      </c>
      <c r="CM62">
        <f>537.373</f>
        <v>537.37300000000005</v>
      </c>
      <c r="CN62">
        <f>650.689</f>
        <v>650.68899999999996</v>
      </c>
      <c r="CO62">
        <f>494.295</f>
        <v>494.29500000000002</v>
      </c>
      <c r="CP62">
        <f>484.274</f>
        <v>484.274</v>
      </c>
      <c r="CQ62">
        <f>462.401</f>
        <v>462.40100000000001</v>
      </c>
      <c r="CR62">
        <f>451.34</f>
        <v>451.34</v>
      </c>
      <c r="CS62">
        <f>450.565</f>
        <v>450.565</v>
      </c>
      <c r="CT62">
        <f>380.95</f>
        <v>380.95</v>
      </c>
      <c r="CU62">
        <f>363.167</f>
        <v>363.16699999999997</v>
      </c>
      <c r="CV62">
        <f>431.694</f>
        <v>431.69400000000002</v>
      </c>
      <c r="CW62">
        <f>472.452</f>
        <v>472.452</v>
      </c>
      <c r="CX62">
        <f>569.8375</f>
        <v>569.83749999999998</v>
      </c>
      <c r="CY62">
        <f>536.96</f>
        <v>536.96</v>
      </c>
      <c r="CZ62">
        <f>549.343</f>
        <v>549.34299999999996</v>
      </c>
      <c r="DA62">
        <f>1384.409</f>
        <v>1384.4090000000001</v>
      </c>
      <c r="DB62">
        <f>568.7385</f>
        <v>568.73850000000004</v>
      </c>
      <c r="DC62">
        <f>562.411</f>
        <v>562.41099999999994</v>
      </c>
      <c r="DD62">
        <f>609.357</f>
        <v>609.35699999999997</v>
      </c>
      <c r="DE62">
        <f>1370.483</f>
        <v>1370.4829999999999</v>
      </c>
      <c r="DF62">
        <f>953.409</f>
        <v>953.40899999999999</v>
      </c>
      <c r="DG62">
        <f>721.279</f>
        <v>721.279</v>
      </c>
      <c r="DH62">
        <f>751.854</f>
        <v>751.85400000000004</v>
      </c>
      <c r="DI62">
        <f>636.035</f>
        <v>636.03499999999997</v>
      </c>
      <c r="DJ62">
        <f>1425.1935</f>
        <v>1425.1935000000001</v>
      </c>
      <c r="DK62">
        <f>875.886</f>
        <v>875.88599999999997</v>
      </c>
      <c r="DL62">
        <f>881.582</f>
        <v>881.58199999999999</v>
      </c>
      <c r="DM62">
        <f>697.658</f>
        <v>697.65800000000002</v>
      </c>
      <c r="DN62">
        <f>1081.6125</f>
        <v>1081.6125</v>
      </c>
      <c r="DO62">
        <f>834.86</f>
        <v>834.86</v>
      </c>
      <c r="DP62">
        <f>790.995</f>
        <v>790.995</v>
      </c>
      <c r="DQ62">
        <f>518.008</f>
        <v>518.00800000000004</v>
      </c>
      <c r="DR62">
        <f>1064.3455</f>
        <v>1064.3454999999999</v>
      </c>
      <c r="DS62">
        <f>748.473</f>
        <v>748.47299999999996</v>
      </c>
      <c r="DT62">
        <f>756.558</f>
        <v>756.55799999999999</v>
      </c>
      <c r="DU62">
        <f>501.003</f>
        <v>501.00299999999999</v>
      </c>
    </row>
    <row r="63" spans="1:125">
      <c r="A63" t="str">
        <f>"    Industrial REITs"</f>
        <v xml:space="preserve">    Industrial REITs</v>
      </c>
      <c r="B63" t="str">
        <f>"RECFTDIN Index"</f>
        <v>RECFTDIN Index</v>
      </c>
      <c r="C63" t="str">
        <f t="shared" si="14"/>
        <v>PR005</v>
      </c>
      <c r="D63" t="str">
        <f t="shared" si="15"/>
        <v>PX_LAST</v>
      </c>
      <c r="E63" t="str">
        <f t="shared" si="16"/>
        <v>动态</v>
      </c>
      <c r="F63">
        <f ca="1">IF(AND(ISNUMBER($F$292),$B$183=1),$F$292,HLOOKUP(INDIRECT(ADDRESS(2,COLUMN())),OFFSET($BN$2,0,0,ROW()-1,60),ROW()-1,FALSE))</f>
        <v>952.89951659999997</v>
      </c>
      <c r="G63">
        <f ca="1">IF(AND(ISNUMBER($G$292),$B$183=1),$G$292,HLOOKUP(INDIRECT(ADDRESS(2,COLUMN())),OFFSET($BN$2,0,0,ROW()-1,60),ROW()-1,FALSE))</f>
        <v>598.84500000000003</v>
      </c>
      <c r="H63">
        <f ca="1">IF(AND(ISNUMBER($H$292),$B$183=1),$H$292,HLOOKUP(INDIRECT(ADDRESS(2,COLUMN())),OFFSET($BN$2,0,0,ROW()-1,60),ROW()-1,FALSE))</f>
        <v>619.97900000000004</v>
      </c>
      <c r="I63">
        <f ca="1">IF(AND(ISNUMBER($I$292),$B$183=1),$I$292,HLOOKUP(INDIRECT(ADDRESS(2,COLUMN())),OFFSET($BN$2,0,0,ROW()-1,60),ROW()-1,FALSE))</f>
        <v>596.33600000000001</v>
      </c>
      <c r="J63">
        <f ca="1">IF(AND(ISNUMBER($J$292),$B$183=1),$J$292,HLOOKUP(INDIRECT(ADDRESS(2,COLUMN())),OFFSET($BN$2,0,0,ROW()-1,60),ROW()-1,FALSE))</f>
        <v>586.47199999999998</v>
      </c>
      <c r="K63">
        <f ca="1">IF(AND(ISNUMBER($K$292),$B$183=1),$K$292,HLOOKUP(INDIRECT(ADDRESS(2,COLUMN())),OFFSET($BN$2,0,0,ROW()-1,60),ROW()-1,FALSE))</f>
        <v>618.12900000000002</v>
      </c>
      <c r="L63">
        <f ca="1">IF(AND(ISNUMBER($L$292),$B$183=1),$L$292,HLOOKUP(INDIRECT(ADDRESS(2,COLUMN())),OFFSET($BN$2,0,0,ROW()-1,60),ROW()-1,FALSE))</f>
        <v>661.03800000000001</v>
      </c>
      <c r="M63">
        <f ca="1">IF(AND(ISNUMBER($M$292),$B$183=1),$M$292,HLOOKUP(INDIRECT(ADDRESS(2,COLUMN())),OFFSET($BN$2,0,0,ROW()-1,60),ROW()-1,FALSE))</f>
        <v>594.875</v>
      </c>
      <c r="N63">
        <f ca="1">IF(AND(ISNUMBER($N$292),$B$183=1),$N$292,HLOOKUP(INDIRECT(ADDRESS(2,COLUMN())),OFFSET($BN$2,0,0,ROW()-1,60),ROW()-1,FALSE))</f>
        <v>637.02800000000002</v>
      </c>
      <c r="O63">
        <f ca="1">IF(AND(ISNUMBER($O$292),$B$183=1),$O$292,HLOOKUP(INDIRECT(ADDRESS(2,COLUMN())),OFFSET($BN$2,0,0,ROW()-1,60),ROW()-1,FALSE))</f>
        <v>637.91300000000001</v>
      </c>
      <c r="P63">
        <f ca="1">IF(AND(ISNUMBER($P$292),$B$183=1),$P$292,HLOOKUP(INDIRECT(ADDRESS(2,COLUMN())),OFFSET($BN$2,0,0,ROW()-1,60),ROW()-1,FALSE))</f>
        <v>503.65</v>
      </c>
      <c r="Q63">
        <f ca="1">IF(AND(ISNUMBER($Q$292),$B$183=1),$Q$292,HLOOKUP(INDIRECT(ADDRESS(2,COLUMN())),OFFSET($BN$2,0,0,ROW()-1,60),ROW()-1,FALSE))</f>
        <v>504.40100000000001</v>
      </c>
      <c r="R63">
        <f ca="1">IF(AND(ISNUMBER($R$292),$B$183=1),$R$292,HLOOKUP(INDIRECT(ADDRESS(2,COLUMN())),OFFSET($BN$2,0,0,ROW()-1,60),ROW()-1,FALSE))</f>
        <v>601.74400000000003</v>
      </c>
      <c r="S63">
        <f ca="1">IF(AND(ISNUMBER($S$292),$B$183=1),$S$292,HLOOKUP(INDIRECT(ADDRESS(2,COLUMN())),OFFSET($BN$2,0,0,ROW()-1,60),ROW()-1,FALSE))</f>
        <v>460.76799999999997</v>
      </c>
      <c r="T63">
        <f ca="1">IF(AND(ISNUMBER($T$292),$B$183=1),$T$292,HLOOKUP(INDIRECT(ADDRESS(2,COLUMN())),OFFSET($BN$2,0,0,ROW()-1,60),ROW()-1,FALSE))</f>
        <v>706.16399999999999</v>
      </c>
      <c r="U63">
        <f ca="1">IF(AND(ISNUMBER($U$292),$B$183=1),$U$292,HLOOKUP(INDIRECT(ADDRESS(2,COLUMN())),OFFSET($BN$2,0,0,ROW()-1,60),ROW()-1,FALSE))</f>
        <v>446.77100000000002</v>
      </c>
      <c r="V63">
        <f ca="1">IF(AND(ISNUMBER($V$292),$B$183=1),$V$292,HLOOKUP(INDIRECT(ADDRESS(2,COLUMN())),OFFSET($BN$2,0,0,ROW()-1,60),ROW()-1,FALSE))</f>
        <v>485.98399999999998</v>
      </c>
      <c r="W63">
        <f ca="1">IF(AND(ISNUMBER($W$292),$B$183=1),$W$292,HLOOKUP(INDIRECT(ADDRESS(2,COLUMN())),OFFSET($BN$2,0,0,ROW()-1,60),ROW()-1,FALSE))</f>
        <v>441.50900000000001</v>
      </c>
      <c r="X63">
        <f ca="1">IF(AND(ISNUMBER($X$292),$B$183=1),$X$292,HLOOKUP(INDIRECT(ADDRESS(2,COLUMN())),OFFSET($BN$2,0,0,ROW()-1,60),ROW()-1,FALSE))</f>
        <v>397.46499999999997</v>
      </c>
      <c r="Y63">
        <f ca="1">IF(AND(ISNUMBER($Y$292),$B$183=1),$Y$292,HLOOKUP(INDIRECT(ADDRESS(2,COLUMN())),OFFSET($BN$2,0,0,ROW()-1,60),ROW()-1,FALSE))</f>
        <v>379.072</v>
      </c>
      <c r="Z63">
        <f ca="1">IF(AND(ISNUMBER($Z$292),$B$183=1),$Z$292,HLOOKUP(INDIRECT(ADDRESS(2,COLUMN())),OFFSET($BN$2,0,0,ROW()-1,60),ROW()-1,FALSE))</f>
        <v>404.33800000000002</v>
      </c>
      <c r="AA63">
        <f ca="1">IF(AND(ISNUMBER($AA$292),$B$183=1),$AA$292,HLOOKUP(INDIRECT(ADDRESS(2,COLUMN())),OFFSET($BN$2,0,0,ROW()-1,60),ROW()-1,FALSE))</f>
        <v>376.084</v>
      </c>
      <c r="AB63">
        <f ca="1">IF(AND(ISNUMBER($AB$292),$B$183=1),$AB$292,HLOOKUP(INDIRECT(ADDRESS(2,COLUMN())),OFFSET($BN$2,0,0,ROW()-1,60),ROW()-1,FALSE))</f>
        <v>366.423</v>
      </c>
      <c r="AC63">
        <f ca="1">IF(AND(ISNUMBER($AC$292),$B$183=1),$AC$292,HLOOKUP(INDIRECT(ADDRESS(2,COLUMN())),OFFSET($BN$2,0,0,ROW()-1,60),ROW()-1,FALSE))</f>
        <v>359.02</v>
      </c>
      <c r="AD63">
        <f ca="1">IF(AND(ISNUMBER($AD$292),$B$183=1),$AD$292,HLOOKUP(INDIRECT(ADDRESS(2,COLUMN())),OFFSET($BN$2,0,0,ROW()-1,60),ROW()-1,FALSE))</f>
        <v>350.37200000000001</v>
      </c>
      <c r="AE63">
        <f ca="1">IF(AND(ISNUMBER($AE$292),$B$183=1),$AE$292,HLOOKUP(INDIRECT(ADDRESS(2,COLUMN())),OFFSET($BN$2,0,0,ROW()-1,60),ROW()-1,FALSE))</f>
        <v>363.67399999999998</v>
      </c>
      <c r="AF63">
        <f ca="1">IF(AND(ISNUMBER($AF$292),$B$183=1),$AF$292,HLOOKUP(INDIRECT(ADDRESS(2,COLUMN())),OFFSET($BN$2,0,0,ROW()-1,60),ROW()-1,FALSE))</f>
        <v>277.70499999999998</v>
      </c>
      <c r="AG63">
        <f ca="1">IF(AND(ISNUMBER($AG$292),$B$183=1),$AG$292,HLOOKUP(INDIRECT(ADDRESS(2,COLUMN())),OFFSET($BN$2,0,0,ROW()-1,60),ROW()-1,FALSE))</f>
        <v>377.38499999999999</v>
      </c>
      <c r="AH63">
        <f ca="1">IF(AND(ISNUMBER($AH$292),$B$183=1),$AH$292,HLOOKUP(INDIRECT(ADDRESS(2,COLUMN())),OFFSET($BN$2,0,0,ROW()-1,60),ROW()-1,FALSE))</f>
        <v>327.49200000000002</v>
      </c>
      <c r="AI63">
        <f ca="1">IF(AND(ISNUMBER($AI$292),$B$183=1),$AI$292,HLOOKUP(INDIRECT(ADDRESS(2,COLUMN())),OFFSET($BN$2,0,0,ROW()-1,60),ROW()-1,FALSE))</f>
        <v>333.37599999999998</v>
      </c>
      <c r="AJ63">
        <f ca="1">IF(AND(ISNUMBER($AJ$292),$B$183=1),$AJ$292,HLOOKUP(INDIRECT(ADDRESS(2,COLUMN())),OFFSET($BN$2,0,0,ROW()-1,60),ROW()-1,FALSE))</f>
        <v>326.214</v>
      </c>
      <c r="AK63">
        <f ca="1">IF(AND(ISNUMBER($AK$292),$B$183=1),$AK$292,HLOOKUP(INDIRECT(ADDRESS(2,COLUMN())),OFFSET($BN$2,0,0,ROW()-1,60),ROW()-1,FALSE))</f>
        <v>324.02</v>
      </c>
      <c r="AL63">
        <f ca="1">IF(AND(ISNUMBER($AL$292),$B$183=1),$AL$292,HLOOKUP(INDIRECT(ADDRESS(2,COLUMN())),OFFSET($BN$2,0,0,ROW()-1,60),ROW()-1,FALSE))</f>
        <v>322.26900000000001</v>
      </c>
      <c r="AM63">
        <f ca="1">IF(AND(ISNUMBER($AM$292),$B$183=1),$AM$292,HLOOKUP(INDIRECT(ADDRESS(2,COLUMN())),OFFSET($BN$2,0,0,ROW()-1,60),ROW()-1,FALSE))</f>
        <v>320.16899999999998</v>
      </c>
      <c r="AN63">
        <f ca="1">IF(AND(ISNUMBER($AN$292),$B$183=1),$AN$292,HLOOKUP(INDIRECT(ADDRESS(2,COLUMN())),OFFSET($BN$2,0,0,ROW()-1,60),ROW()-1,FALSE))</f>
        <v>313.83800000000002</v>
      </c>
      <c r="AO63">
        <f ca="1">IF(AND(ISNUMBER($AO$292),$B$183=1),$AO$292,HLOOKUP(INDIRECT(ADDRESS(2,COLUMN())),OFFSET($BN$2,0,0,ROW()-1,60),ROW()-1,FALSE))</f>
        <v>283.63799999999998</v>
      </c>
      <c r="AP63">
        <f ca="1">IF(AND(ISNUMBER($AP$292),$B$183=1),$AP$292,HLOOKUP(INDIRECT(ADDRESS(2,COLUMN())),OFFSET($BN$2,0,0,ROW()-1,60),ROW()-1,FALSE))</f>
        <v>480.99799999999999</v>
      </c>
      <c r="AQ63">
        <f ca="1">IF(AND(ISNUMBER($AQ$292),$B$183=1),$AQ$292,HLOOKUP(INDIRECT(ADDRESS(2,COLUMN())),OFFSET($BN$2,0,0,ROW()-1,60),ROW()-1,FALSE))</f>
        <v>510.55900000000003</v>
      </c>
      <c r="AR63">
        <f ca="1">IF(AND(ISNUMBER($AR$292),$B$183=1),$AR$292,HLOOKUP(INDIRECT(ADDRESS(2,COLUMN())),OFFSET($BN$2,0,0,ROW()-1,60),ROW()-1,FALSE))</f>
        <v>505.59699999999998</v>
      </c>
      <c r="AS63">
        <f ca="1">IF(AND(ISNUMBER($AS$292),$B$183=1),$AS$292,HLOOKUP(INDIRECT(ADDRESS(2,COLUMN())),OFFSET($BN$2,0,0,ROW()-1,60),ROW()-1,FALSE))</f>
        <v>512.09699999999998</v>
      </c>
      <c r="AT63">
        <f ca="1">IF(AND(ISNUMBER($AT$292),$B$183=1),$AT$292,HLOOKUP(INDIRECT(ADDRESS(2,COLUMN())),OFFSET($BN$2,0,0,ROW()-1,60),ROW()-1,FALSE))</f>
        <v>499.98950000000002</v>
      </c>
      <c r="AU63">
        <f ca="1">IF(AND(ISNUMBER($AU$292),$B$183=1),$AU$292,HLOOKUP(INDIRECT(ADDRESS(2,COLUMN())),OFFSET($BN$2,0,0,ROW()-1,60),ROW()-1,FALSE))</f>
        <v>496.52499999999998</v>
      </c>
      <c r="AV63">
        <f ca="1">IF(AND(ISNUMBER($AV$292),$B$183=1),$AV$292,HLOOKUP(INDIRECT(ADDRESS(2,COLUMN())),OFFSET($BN$2,0,0,ROW()-1,60),ROW()-1,FALSE))</f>
        <v>478.03100000000001</v>
      </c>
      <c r="AW63">
        <f ca="1">IF(AND(ISNUMBER($AW$292),$B$183=1),$AW$292,HLOOKUP(INDIRECT(ADDRESS(2,COLUMN())),OFFSET($BN$2,0,0,ROW()-1,60),ROW()-1,FALSE))</f>
        <v>505.76900000000001</v>
      </c>
      <c r="AX63">
        <f ca="1">IF(AND(ISNUMBER($AX$292),$B$183=1),$AX$292,HLOOKUP(INDIRECT(ADDRESS(2,COLUMN())),OFFSET($BN$2,0,0,ROW()-1,60),ROW()-1,FALSE))</f>
        <v>445.14100000000002</v>
      </c>
      <c r="AY63">
        <f ca="1">IF(AND(ISNUMBER($AY$292),$B$183=1),$AY$292,HLOOKUP(INDIRECT(ADDRESS(2,COLUMN())),OFFSET($BN$2,0,0,ROW()-1,60),ROW()-1,FALSE))</f>
        <v>435.80799999999999</v>
      </c>
      <c r="AZ63">
        <f ca="1">IF(AND(ISNUMBER($AZ$292),$B$183=1),$AZ$292,HLOOKUP(INDIRECT(ADDRESS(2,COLUMN())),OFFSET($BN$2,0,0,ROW()-1,60),ROW()-1,FALSE))</f>
        <v>396.416</v>
      </c>
      <c r="BA63">
        <f ca="1">IF(AND(ISNUMBER($BA$292),$B$183=1),$BA$292,HLOOKUP(INDIRECT(ADDRESS(2,COLUMN())),OFFSET($BN$2,0,0,ROW()-1,60),ROW()-1,FALSE))</f>
        <v>422.37799999999999</v>
      </c>
      <c r="BB63">
        <f ca="1">IF(AND(ISNUMBER($BB$292),$B$183=1),$BB$292,HLOOKUP(INDIRECT(ADDRESS(2,COLUMN())),OFFSET($BN$2,0,0,ROW()-1,60),ROW()-1,FALSE))</f>
        <v>836.88</v>
      </c>
      <c r="BC63">
        <f ca="1">IF(AND(ISNUMBER($BC$292),$B$183=1),$BC$292,HLOOKUP(INDIRECT(ADDRESS(2,COLUMN())),OFFSET($BN$2,0,0,ROW()-1,60),ROW()-1,FALSE))</f>
        <v>392.41500000000002</v>
      </c>
      <c r="BD63">
        <f ca="1">IF(AND(ISNUMBER($BD$292),$B$183=1),$BD$292,HLOOKUP(INDIRECT(ADDRESS(2,COLUMN())),OFFSET($BN$2,0,0,ROW()-1,60),ROW()-1,FALSE))</f>
        <v>437.25</v>
      </c>
      <c r="BE63">
        <f ca="1">IF(AND(ISNUMBER($BE$292),$B$183=1),$BE$292,HLOOKUP(INDIRECT(ADDRESS(2,COLUMN())),OFFSET($BN$2,0,0,ROW()-1,60),ROW()-1,FALSE))</f>
        <v>470.62599999999998</v>
      </c>
      <c r="BF63">
        <f ca="1">IF(AND(ISNUMBER($BF$292),$B$183=1),$BF$292,HLOOKUP(INDIRECT(ADDRESS(2,COLUMN())),OFFSET($BN$2,0,0,ROW()-1,60),ROW()-1,FALSE))</f>
        <v>418.99299999999999</v>
      </c>
      <c r="BG63">
        <f ca="1">IF(AND(ISNUMBER($BG$292),$B$183=1),$BG$292,HLOOKUP(INDIRECT(ADDRESS(2,COLUMN())),OFFSET($BN$2,0,0,ROW()-1,60),ROW()-1,FALSE))</f>
        <v>389.64400000000001</v>
      </c>
      <c r="BH63">
        <f ca="1">IF(AND(ISNUMBER($BH$292),$B$183=1),$BH$292,HLOOKUP(INDIRECT(ADDRESS(2,COLUMN())),OFFSET($BN$2,0,0,ROW()-1,60),ROW()-1,FALSE))</f>
        <v>398.86099999999999</v>
      </c>
      <c r="BI63">
        <f ca="1">IF(AND(ISNUMBER($BI$292),$B$183=1),$BI$292,HLOOKUP(INDIRECT(ADDRESS(2,COLUMN())),OFFSET($BN$2,0,0,ROW()-1,60),ROW()-1,FALSE))</f>
        <v>382.44799999999998</v>
      </c>
      <c r="BJ63">
        <f ca="1">IF(AND(ISNUMBER($BJ$292),$B$183=1),$BJ$292,HLOOKUP(INDIRECT(ADDRESS(2,COLUMN())),OFFSET($BN$2,0,0,ROW()-1,60),ROW()-1,FALSE))</f>
        <v>373.04450000000003</v>
      </c>
      <c r="BK63">
        <f ca="1">IF(AND(ISNUMBER($BK$292),$B$183=1),$BK$292,HLOOKUP(INDIRECT(ADDRESS(2,COLUMN())),OFFSET($BN$2,0,0,ROW()-1,60),ROW()-1,FALSE))</f>
        <v>393.74200000000002</v>
      </c>
      <c r="BL63">
        <f ca="1">IF(AND(ISNUMBER($BL$292),$B$183=1),$BL$292,HLOOKUP(INDIRECT(ADDRESS(2,COLUMN())),OFFSET($BN$2,0,0,ROW()-1,60),ROW()-1,FALSE))</f>
        <v>356.22199999999998</v>
      </c>
      <c r="BM63">
        <f ca="1">IF(AND(ISNUMBER($BM$292),$B$183=1),$BM$292,HLOOKUP(INDIRECT(ADDRESS(2,COLUMN())),OFFSET($BN$2,0,0,ROW()-1,60),ROW()-1,FALSE))</f>
        <v>351.95600000000002</v>
      </c>
      <c r="BN63">
        <f>952.8995166</f>
        <v>952.89951659999997</v>
      </c>
      <c r="BO63">
        <f>598.845</f>
        <v>598.84500000000003</v>
      </c>
      <c r="BP63">
        <f>619.979</f>
        <v>619.97900000000004</v>
      </c>
      <c r="BQ63">
        <f>596.336</f>
        <v>596.33600000000001</v>
      </c>
      <c r="BR63">
        <f>586.472</f>
        <v>586.47199999999998</v>
      </c>
      <c r="BS63">
        <f>618.129</f>
        <v>618.12900000000002</v>
      </c>
      <c r="BT63">
        <f>661.038</f>
        <v>661.03800000000001</v>
      </c>
      <c r="BU63">
        <f>594.875</f>
        <v>594.875</v>
      </c>
      <c r="BV63">
        <f>637.028</f>
        <v>637.02800000000002</v>
      </c>
      <c r="BW63">
        <f>637.913</f>
        <v>637.91300000000001</v>
      </c>
      <c r="BX63">
        <f>503.65</f>
        <v>503.65</v>
      </c>
      <c r="BY63">
        <f>504.401</f>
        <v>504.40100000000001</v>
      </c>
      <c r="BZ63">
        <f>601.744</f>
        <v>601.74400000000003</v>
      </c>
      <c r="CA63">
        <f>460.768</f>
        <v>460.76799999999997</v>
      </c>
      <c r="CB63">
        <f>706.164</f>
        <v>706.16399999999999</v>
      </c>
      <c r="CC63">
        <f>446.771</f>
        <v>446.77100000000002</v>
      </c>
      <c r="CD63">
        <f>485.984</f>
        <v>485.98399999999998</v>
      </c>
      <c r="CE63">
        <f>441.509</f>
        <v>441.50900000000001</v>
      </c>
      <c r="CF63">
        <f>397.465</f>
        <v>397.46499999999997</v>
      </c>
      <c r="CG63">
        <f>379.072</f>
        <v>379.072</v>
      </c>
      <c r="CH63">
        <f>404.338</f>
        <v>404.33800000000002</v>
      </c>
      <c r="CI63">
        <f>376.084</f>
        <v>376.084</v>
      </c>
      <c r="CJ63">
        <f>366.423</f>
        <v>366.423</v>
      </c>
      <c r="CK63">
        <f>359.02</f>
        <v>359.02</v>
      </c>
      <c r="CL63">
        <f>350.372</f>
        <v>350.37200000000001</v>
      </c>
      <c r="CM63">
        <f>363.674</f>
        <v>363.67399999999998</v>
      </c>
      <c r="CN63">
        <f>277.705</f>
        <v>277.70499999999998</v>
      </c>
      <c r="CO63">
        <f>377.385</f>
        <v>377.38499999999999</v>
      </c>
      <c r="CP63">
        <f>327.492</f>
        <v>327.49200000000002</v>
      </c>
      <c r="CQ63">
        <f>333.376</f>
        <v>333.37599999999998</v>
      </c>
      <c r="CR63">
        <f>326.214</f>
        <v>326.214</v>
      </c>
      <c r="CS63">
        <f>324.02</f>
        <v>324.02</v>
      </c>
      <c r="CT63">
        <f>322.269</f>
        <v>322.26900000000001</v>
      </c>
      <c r="CU63">
        <f>320.169</f>
        <v>320.16899999999998</v>
      </c>
      <c r="CV63">
        <f>313.838</f>
        <v>313.83800000000002</v>
      </c>
      <c r="CW63">
        <f>283.638</f>
        <v>283.63799999999998</v>
      </c>
      <c r="CX63">
        <f>480.998</f>
        <v>480.99799999999999</v>
      </c>
      <c r="CY63">
        <f>510.559</f>
        <v>510.55900000000003</v>
      </c>
      <c r="CZ63">
        <f>505.597</f>
        <v>505.59699999999998</v>
      </c>
      <c r="DA63">
        <f>512.097</f>
        <v>512.09699999999998</v>
      </c>
      <c r="DB63">
        <f>499.9895</f>
        <v>499.98950000000002</v>
      </c>
      <c r="DC63">
        <f>496.525</f>
        <v>496.52499999999998</v>
      </c>
      <c r="DD63">
        <f>478.031</f>
        <v>478.03100000000001</v>
      </c>
      <c r="DE63">
        <f>505.769</f>
        <v>505.76900000000001</v>
      </c>
      <c r="DF63">
        <f>445.141</f>
        <v>445.14100000000002</v>
      </c>
      <c r="DG63">
        <f>435.808</f>
        <v>435.80799999999999</v>
      </c>
      <c r="DH63">
        <f>396.416</f>
        <v>396.416</v>
      </c>
      <c r="DI63">
        <f>422.378</f>
        <v>422.37799999999999</v>
      </c>
      <c r="DJ63">
        <f>836.88</f>
        <v>836.88</v>
      </c>
      <c r="DK63">
        <f>392.415</f>
        <v>392.41500000000002</v>
      </c>
      <c r="DL63">
        <f>437.25</f>
        <v>437.25</v>
      </c>
      <c r="DM63">
        <f>470.626</f>
        <v>470.62599999999998</v>
      </c>
      <c r="DN63">
        <f>418.993</f>
        <v>418.99299999999999</v>
      </c>
      <c r="DO63">
        <f>389.644</f>
        <v>389.64400000000001</v>
      </c>
      <c r="DP63">
        <f>398.861</f>
        <v>398.86099999999999</v>
      </c>
      <c r="DQ63">
        <f>382.448</f>
        <v>382.44799999999998</v>
      </c>
      <c r="DR63">
        <f>373.0445</f>
        <v>373.04450000000003</v>
      </c>
      <c r="DS63">
        <f>393.742</f>
        <v>393.74200000000002</v>
      </c>
      <c r="DT63">
        <f>356.222</f>
        <v>356.22199999999998</v>
      </c>
      <c r="DU63">
        <f>351.956</f>
        <v>351.95600000000002</v>
      </c>
    </row>
    <row r="64" spans="1:125">
      <c r="A64" t="str">
        <f>"    Retail REITs"</f>
        <v xml:space="preserve">    Retail REITs</v>
      </c>
      <c r="B64" t="str">
        <f>"RECFTDRT Index"</f>
        <v>RECFTDRT Index</v>
      </c>
      <c r="C64" t="str">
        <f t="shared" si="14"/>
        <v>PR005</v>
      </c>
      <c r="D64" t="str">
        <f t="shared" si="15"/>
        <v>PX_LAST</v>
      </c>
      <c r="E64" t="str">
        <f t="shared" si="16"/>
        <v>动态</v>
      </c>
      <c r="F64">
        <f ca="1">IF(AND(ISNUMBER($F$293),$B$183=1),$F$293,HLOOKUP(INDIRECT(ADDRESS(2,COLUMN())),OFFSET($BN$2,0,0,ROW()-1,60),ROW()-1,FALSE))</f>
        <v>2520.6331650000002</v>
      </c>
      <c r="G64">
        <f ca="1">IF(AND(ISNUMBER($G$293),$B$183=1),$G$293,HLOOKUP(INDIRECT(ADDRESS(2,COLUMN())),OFFSET($BN$2,0,0,ROW()-1,60),ROW()-1,FALSE))</f>
        <v>2371.723</v>
      </c>
      <c r="H64">
        <f ca="1">IF(AND(ISNUMBER($H$293),$B$183=1),$H$293,HLOOKUP(INDIRECT(ADDRESS(2,COLUMN())),OFFSET($BN$2,0,0,ROW()-1,60),ROW()-1,FALSE))</f>
        <v>2374.6489999999999</v>
      </c>
      <c r="I64">
        <f ca="1">IF(AND(ISNUMBER($I$293),$B$183=1),$I$293,HLOOKUP(INDIRECT(ADDRESS(2,COLUMN())),OFFSET($BN$2,0,0,ROW()-1,60),ROW()-1,FALSE))</f>
        <v>2558.607</v>
      </c>
      <c r="J64">
        <f ca="1">IF(AND(ISNUMBER($J$293),$B$183=1),$J$293,HLOOKUP(INDIRECT(ADDRESS(2,COLUMN())),OFFSET($BN$2,0,0,ROW()-1,60),ROW()-1,FALSE))</f>
        <v>2286.9140000000002</v>
      </c>
      <c r="K64">
        <f ca="1">IF(AND(ISNUMBER($K$293),$B$183=1),$K$293,HLOOKUP(INDIRECT(ADDRESS(2,COLUMN())),OFFSET($BN$2,0,0,ROW()-1,60),ROW()-1,FALSE))</f>
        <v>2207.2890000000002</v>
      </c>
      <c r="L64">
        <f ca="1">IF(AND(ISNUMBER($L$293),$B$183=1),$L$293,HLOOKUP(INDIRECT(ADDRESS(2,COLUMN())),OFFSET($BN$2,0,0,ROW()-1,60),ROW()-1,FALSE))</f>
        <v>2339.6260000000002</v>
      </c>
      <c r="M64">
        <f ca="1">IF(AND(ISNUMBER($M$293),$B$183=1),$M$293,HLOOKUP(INDIRECT(ADDRESS(2,COLUMN())),OFFSET($BN$2,0,0,ROW()-1,60),ROW()-1,FALSE))</f>
        <v>2592.9229999999998</v>
      </c>
      <c r="N64">
        <f ca="1">IF(AND(ISNUMBER($N$293),$B$183=1),$N$293,HLOOKUP(INDIRECT(ADDRESS(2,COLUMN())),OFFSET($BN$2,0,0,ROW()-1,60),ROW()-1,FALSE))</f>
        <v>2445.4760000000001</v>
      </c>
      <c r="O64">
        <f ca="1">IF(AND(ISNUMBER($O$293),$B$183=1),$O$293,HLOOKUP(INDIRECT(ADDRESS(2,COLUMN())),OFFSET($BN$2,0,0,ROW()-1,60),ROW()-1,FALSE))</f>
        <v>2066.8760000000002</v>
      </c>
      <c r="P64">
        <f ca="1">IF(AND(ISNUMBER($P$293),$B$183=1),$P$293,HLOOKUP(INDIRECT(ADDRESS(2,COLUMN())),OFFSET($BN$2,0,0,ROW()-1,60),ROW()-1,FALSE))</f>
        <v>2120.67</v>
      </c>
      <c r="Q64">
        <f ca="1">IF(AND(ISNUMBER($Q$293),$B$183=1),$Q$293,HLOOKUP(INDIRECT(ADDRESS(2,COLUMN())),OFFSET($BN$2,0,0,ROW()-1,60),ROW()-1,FALSE))</f>
        <v>2060.0680000000002</v>
      </c>
      <c r="R64">
        <f ca="1">IF(AND(ISNUMBER($R$293),$B$183=1),$R$293,HLOOKUP(INDIRECT(ADDRESS(2,COLUMN())),OFFSET($BN$2,0,0,ROW()-1,60),ROW()-1,FALSE))</f>
        <v>2607.4879999999998</v>
      </c>
      <c r="S64">
        <f ca="1">IF(AND(ISNUMBER($S$293),$B$183=1),$S$293,HLOOKUP(INDIRECT(ADDRESS(2,COLUMN())),OFFSET($BN$2,0,0,ROW()-1,60),ROW()-1,FALSE))</f>
        <v>2239.395</v>
      </c>
      <c r="T64">
        <f ca="1">IF(AND(ISNUMBER($T$293),$B$183=1),$T$293,HLOOKUP(INDIRECT(ADDRESS(2,COLUMN())),OFFSET($BN$2,0,0,ROW()-1,60),ROW()-1,FALSE))</f>
        <v>3083.4920000000002</v>
      </c>
      <c r="U64">
        <f ca="1">IF(AND(ISNUMBER($U$293),$B$183=1),$U$293,HLOOKUP(INDIRECT(ADDRESS(2,COLUMN())),OFFSET($BN$2,0,0,ROW()-1,60),ROW()-1,FALSE))</f>
        <v>1966.8630000000001</v>
      </c>
      <c r="V64">
        <f ca="1">IF(AND(ISNUMBER($V$293),$B$183=1),$V$293,HLOOKUP(INDIRECT(ADDRESS(2,COLUMN())),OFFSET($BN$2,0,0,ROW()-1,60),ROW()-1,FALSE))</f>
        <v>1799.4949999999999</v>
      </c>
      <c r="W64">
        <f ca="1">IF(AND(ISNUMBER($W$293),$B$183=1),$W$293,HLOOKUP(INDIRECT(ADDRESS(2,COLUMN())),OFFSET($BN$2,0,0,ROW()-1,60),ROW()-1,FALSE))</f>
        <v>1711.047</v>
      </c>
      <c r="X64">
        <f ca="1">IF(AND(ISNUMBER($X$293),$B$183=1),$X$293,HLOOKUP(INDIRECT(ADDRESS(2,COLUMN())),OFFSET($BN$2,0,0,ROW()-1,60),ROW()-1,FALSE))</f>
        <v>1646.9349999999999</v>
      </c>
      <c r="Y64">
        <f ca="1">IF(AND(ISNUMBER($Y$293),$B$183=1),$Y$293,HLOOKUP(INDIRECT(ADDRESS(2,COLUMN())),OFFSET($BN$2,0,0,ROW()-1,60),ROW()-1,FALSE))</f>
        <v>1495.913</v>
      </c>
      <c r="Z64">
        <f ca="1">IF(AND(ISNUMBER($Z$293),$B$183=1),$Z$293,HLOOKUP(INDIRECT(ADDRESS(2,COLUMN())),OFFSET($BN$2,0,0,ROW()-1,60),ROW()-1,FALSE))</f>
        <v>2111.616</v>
      </c>
      <c r="AA64">
        <f ca="1">IF(AND(ISNUMBER($AA$293),$B$183=1),$AA$293,HLOOKUP(INDIRECT(ADDRESS(2,COLUMN())),OFFSET($BN$2,0,0,ROW()-1,60),ROW()-1,FALSE))</f>
        <v>1396.18</v>
      </c>
      <c r="AB64">
        <f ca="1">IF(AND(ISNUMBER($AB$293),$B$183=1),$AB$293,HLOOKUP(INDIRECT(ADDRESS(2,COLUMN())),OFFSET($BN$2,0,0,ROW()-1,60),ROW()-1,FALSE))</f>
        <v>1355.588</v>
      </c>
      <c r="AC64">
        <f ca="1">IF(AND(ISNUMBER($AC$293),$B$183=1),$AC$293,HLOOKUP(INDIRECT(ADDRESS(2,COLUMN())),OFFSET($BN$2,0,0,ROW()-1,60),ROW()-1,FALSE))</f>
        <v>1250.9000000000001</v>
      </c>
      <c r="AD64">
        <f ca="1">IF(AND(ISNUMBER($AD$293),$B$183=1),$AD$293,HLOOKUP(INDIRECT(ADDRESS(2,COLUMN())),OFFSET($BN$2,0,0,ROW()-1,60),ROW()-1,FALSE))</f>
        <v>1378.9390000000001</v>
      </c>
      <c r="AE64">
        <f ca="1">IF(AND(ISNUMBER($AE$293),$B$183=1),$AE$293,HLOOKUP(INDIRECT(ADDRESS(2,COLUMN())),OFFSET($BN$2,0,0,ROW()-1,60),ROW()-1,FALSE))</f>
        <v>1130.201</v>
      </c>
      <c r="AF64">
        <f ca="1">IF(AND(ISNUMBER($AF$293),$B$183=1),$AF$293,HLOOKUP(INDIRECT(ADDRESS(2,COLUMN())),OFFSET($BN$2,0,0,ROW()-1,60),ROW()-1,FALSE))</f>
        <v>1139.095</v>
      </c>
      <c r="AG64">
        <f ca="1">IF(AND(ISNUMBER($AG$293),$B$183=1),$AG$293,HLOOKUP(INDIRECT(ADDRESS(2,COLUMN())),OFFSET($BN$2,0,0,ROW()-1,60),ROW()-1,FALSE))</f>
        <v>1062.4839999999999</v>
      </c>
      <c r="AH64">
        <f ca="1">IF(AND(ISNUMBER($AH$293),$B$183=1),$AH$293,HLOOKUP(INDIRECT(ADDRESS(2,COLUMN())),OFFSET($BN$2,0,0,ROW()-1,60),ROW()-1,FALSE))</f>
        <v>986.58749999999998</v>
      </c>
      <c r="AI64">
        <f ca="1">IF(AND(ISNUMBER($AI$293),$B$183=1),$AI$293,HLOOKUP(INDIRECT(ADDRESS(2,COLUMN())),OFFSET($BN$2,0,0,ROW()-1,60),ROW()-1,FALSE))</f>
        <v>859.07500000000005</v>
      </c>
      <c r="AJ64">
        <f ca="1">IF(AND(ISNUMBER($AJ$293),$B$183=1),$AJ$293,HLOOKUP(INDIRECT(ADDRESS(2,COLUMN())),OFFSET($BN$2,0,0,ROW()-1,60),ROW()-1,FALSE))</f>
        <v>853.03599999999994</v>
      </c>
      <c r="AK64">
        <f ca="1">IF(AND(ISNUMBER($AK$293),$B$183=1),$AK$293,HLOOKUP(INDIRECT(ADDRESS(2,COLUMN())),OFFSET($BN$2,0,0,ROW()-1,60),ROW()-1,FALSE))</f>
        <v>748.40099999999995</v>
      </c>
      <c r="AL64">
        <f ca="1">IF(AND(ISNUMBER($AL$293),$B$183=1),$AL$293,HLOOKUP(INDIRECT(ADDRESS(2,COLUMN())),OFFSET($BN$2,0,0,ROW()-1,60),ROW()-1,FALSE))</f>
        <v>549.62</v>
      </c>
      <c r="AM64">
        <f ca="1">IF(AND(ISNUMBER($AM$293),$B$183=1),$AM$293,HLOOKUP(INDIRECT(ADDRESS(2,COLUMN())),OFFSET($BN$2,0,0,ROW()-1,60),ROW()-1,FALSE))</f>
        <v>524.63599999999997</v>
      </c>
      <c r="AN64">
        <f ca="1">IF(AND(ISNUMBER($AN$293),$B$183=1),$AN$293,HLOOKUP(INDIRECT(ADDRESS(2,COLUMN())),OFFSET($BN$2,0,0,ROW()-1,60),ROW()-1,FALSE))</f>
        <v>628.28599999999994</v>
      </c>
      <c r="AO64">
        <f ca="1">IF(AND(ISNUMBER($AO$293),$B$183=1),$AO$293,HLOOKUP(INDIRECT(ADDRESS(2,COLUMN())),OFFSET($BN$2,0,0,ROW()-1,60),ROW()-1,FALSE))</f>
        <v>768.06100000000004</v>
      </c>
      <c r="AP64">
        <f ca="1">IF(AND(ISNUMBER($AP$293),$B$183=1),$AP$293,HLOOKUP(INDIRECT(ADDRESS(2,COLUMN())),OFFSET($BN$2,0,0,ROW()-1,60),ROW()-1,FALSE))</f>
        <v>1148.5415</v>
      </c>
      <c r="AQ64">
        <f ca="1">IF(AND(ISNUMBER($AQ$293),$B$183=1),$AQ$293,HLOOKUP(INDIRECT(ADDRESS(2,COLUMN())),OFFSET($BN$2,0,0,ROW()-1,60),ROW()-1,FALSE))</f>
        <v>1267.027</v>
      </c>
      <c r="AR64">
        <f ca="1">IF(AND(ISNUMBER($AR$293),$B$183=1),$AR$293,HLOOKUP(INDIRECT(ADDRESS(2,COLUMN())),OFFSET($BN$2,0,0,ROW()-1,60),ROW()-1,FALSE))</f>
        <v>1269.0840000000001</v>
      </c>
      <c r="AS64">
        <f ca="1">IF(AND(ISNUMBER($AS$293),$B$183=1),$AS$293,HLOOKUP(INDIRECT(ADDRESS(2,COLUMN())),OFFSET($BN$2,0,0,ROW()-1,60),ROW()-1,FALSE))</f>
        <v>1283.221</v>
      </c>
      <c r="AT64">
        <f ca="1">IF(AND(ISNUMBER($AT$293),$B$183=1),$AT$293,HLOOKUP(INDIRECT(ADDRESS(2,COLUMN())),OFFSET($BN$2,0,0,ROW()-1,60),ROW()-1,FALSE))</f>
        <v>1211.0419999999999</v>
      </c>
      <c r="AU64">
        <f ca="1">IF(AND(ISNUMBER($AU$293),$B$183=1),$AU$293,HLOOKUP(INDIRECT(ADDRESS(2,COLUMN())),OFFSET($BN$2,0,0,ROW()-1,60),ROW()-1,FALSE))</f>
        <v>1192.701</v>
      </c>
      <c r="AV64">
        <f ca="1">IF(AND(ISNUMBER($AV$293),$B$183=1),$AV$293,HLOOKUP(INDIRECT(ADDRESS(2,COLUMN())),OFFSET($BN$2,0,0,ROW()-1,60),ROW()-1,FALSE))</f>
        <v>1224.3720000000001</v>
      </c>
      <c r="AW64">
        <f ca="1">IF(AND(ISNUMBER($AW$293),$B$183=1),$AW$293,HLOOKUP(INDIRECT(ADDRESS(2,COLUMN())),OFFSET($BN$2,0,0,ROW()-1,60),ROW()-1,FALSE))</f>
        <v>1165.173</v>
      </c>
      <c r="AX64">
        <f ca="1">IF(AND(ISNUMBER($AX$293),$B$183=1),$AX$293,HLOOKUP(INDIRECT(ADDRESS(2,COLUMN())),OFFSET($BN$2,0,0,ROW()-1,60),ROW()-1,FALSE))</f>
        <v>1163.7650000000001</v>
      </c>
      <c r="AY64">
        <f ca="1">IF(AND(ISNUMBER($AY$293),$B$183=1),$AY$293,HLOOKUP(INDIRECT(ADDRESS(2,COLUMN())),OFFSET($BN$2,0,0,ROW()-1,60),ROW()-1,FALSE))</f>
        <v>1138.6320000000001</v>
      </c>
      <c r="AZ64">
        <f ca="1">IF(AND(ISNUMBER($AZ$293),$B$183=1),$AZ$293,HLOOKUP(INDIRECT(ADDRESS(2,COLUMN())),OFFSET($BN$2,0,0,ROW()-1,60),ROW()-1,FALSE))</f>
        <v>1323.4059999999999</v>
      </c>
      <c r="BA64">
        <f ca="1">IF(AND(ISNUMBER($BA$293),$B$183=1),$BA$293,HLOOKUP(INDIRECT(ADDRESS(2,COLUMN())),OFFSET($BN$2,0,0,ROW()-1,60),ROW()-1,FALSE))</f>
        <v>1207.626</v>
      </c>
      <c r="BB64">
        <f ca="1">IF(AND(ISNUMBER($BB$293),$B$183=1),$BB$293,HLOOKUP(INDIRECT(ADDRESS(2,COLUMN())),OFFSET($BN$2,0,0,ROW()-1,60),ROW()-1,FALSE))</f>
        <v>1170.0425</v>
      </c>
      <c r="BC64">
        <f ca="1">IF(AND(ISNUMBER($BC$293),$B$183=1),$BC$293,HLOOKUP(INDIRECT(ADDRESS(2,COLUMN())),OFFSET($BN$2,0,0,ROW()-1,60),ROW()-1,FALSE))</f>
        <v>1469.374</v>
      </c>
      <c r="BD64">
        <f ca="1">IF(AND(ISNUMBER($BD$293),$B$183=1),$BD$293,HLOOKUP(INDIRECT(ADDRESS(2,COLUMN())),OFFSET($BN$2,0,0,ROW()-1,60),ROW()-1,FALSE))</f>
        <v>1148.2049999999999</v>
      </c>
      <c r="BE64">
        <f ca="1">IF(AND(ISNUMBER($BE$293),$B$183=1),$BE$293,HLOOKUP(INDIRECT(ADDRESS(2,COLUMN())),OFFSET($BN$2,0,0,ROW()-1,60),ROW()-1,FALSE))</f>
        <v>1116.56</v>
      </c>
      <c r="BF64">
        <f ca="1">IF(AND(ISNUMBER($BF$293),$B$183=1),$BF$293,HLOOKUP(INDIRECT(ADDRESS(2,COLUMN())),OFFSET($BN$2,0,0,ROW()-1,60),ROW()-1,FALSE))</f>
        <v>1162.8119999999999</v>
      </c>
      <c r="BG64">
        <f ca="1">IF(AND(ISNUMBER($BG$293),$B$183=1),$BG$293,HLOOKUP(INDIRECT(ADDRESS(2,COLUMN())),OFFSET($BN$2,0,0,ROW()-1,60),ROW()-1,FALSE))</f>
        <v>1050.623</v>
      </c>
      <c r="BH64">
        <f ca="1">IF(AND(ISNUMBER($BH$293),$B$183=1),$BH$293,HLOOKUP(INDIRECT(ADDRESS(2,COLUMN())),OFFSET($BN$2,0,0,ROW()-1,60),ROW()-1,FALSE))</f>
        <v>1084.345</v>
      </c>
      <c r="BI64">
        <f ca="1">IF(AND(ISNUMBER($BI$293),$B$183=1),$BI$293,HLOOKUP(INDIRECT(ADDRESS(2,COLUMN())),OFFSET($BN$2,0,0,ROW()-1,60),ROW()-1,FALSE))</f>
        <v>1019.524</v>
      </c>
      <c r="BJ64">
        <f ca="1">IF(AND(ISNUMBER($BJ$293),$B$183=1),$BJ$293,HLOOKUP(INDIRECT(ADDRESS(2,COLUMN())),OFFSET($BN$2,0,0,ROW()-1,60),ROW()-1,FALSE))</f>
        <v>996.40099999999995</v>
      </c>
      <c r="BK64">
        <f ca="1">IF(AND(ISNUMBER($BK$293),$B$183=1),$BK$293,HLOOKUP(INDIRECT(ADDRESS(2,COLUMN())),OFFSET($BN$2,0,0,ROW()-1,60),ROW()-1,FALSE))</f>
        <v>923.17399999999998</v>
      </c>
      <c r="BL64">
        <f ca="1">IF(AND(ISNUMBER($BL$293),$B$183=1),$BL$293,HLOOKUP(INDIRECT(ADDRESS(2,COLUMN())),OFFSET($BN$2,0,0,ROW()-1,60),ROW()-1,FALSE))</f>
        <v>922.86199999999997</v>
      </c>
      <c r="BM64">
        <f ca="1">IF(AND(ISNUMBER($BM$293),$B$183=1),$BM$293,HLOOKUP(INDIRECT(ADDRESS(2,COLUMN())),OFFSET($BN$2,0,0,ROW()-1,60),ROW()-1,FALSE))</f>
        <v>884.19200000000001</v>
      </c>
      <c r="BN64">
        <f>2520.633165</f>
        <v>2520.6331650000002</v>
      </c>
      <c r="BO64">
        <f>2371.723</f>
        <v>2371.723</v>
      </c>
      <c r="BP64">
        <f>2374.649</f>
        <v>2374.6489999999999</v>
      </c>
      <c r="BQ64">
        <f>2558.607</f>
        <v>2558.607</v>
      </c>
      <c r="BR64">
        <f>2286.914</f>
        <v>2286.9140000000002</v>
      </c>
      <c r="BS64">
        <f>2207.289</f>
        <v>2207.2890000000002</v>
      </c>
      <c r="BT64">
        <f>2339.626</f>
        <v>2339.6260000000002</v>
      </c>
      <c r="BU64">
        <f>2592.923</f>
        <v>2592.9229999999998</v>
      </c>
      <c r="BV64">
        <f>2445.476</f>
        <v>2445.4760000000001</v>
      </c>
      <c r="BW64">
        <f>2066.876</f>
        <v>2066.8760000000002</v>
      </c>
      <c r="BX64">
        <f>2120.67</f>
        <v>2120.67</v>
      </c>
      <c r="BY64">
        <f>2060.068</f>
        <v>2060.0680000000002</v>
      </c>
      <c r="BZ64">
        <f>2607.488</f>
        <v>2607.4879999999998</v>
      </c>
      <c r="CA64">
        <f>2239.395</f>
        <v>2239.395</v>
      </c>
      <c r="CB64">
        <f>3083.492</f>
        <v>3083.4920000000002</v>
      </c>
      <c r="CC64">
        <f>1966.863</f>
        <v>1966.8630000000001</v>
      </c>
      <c r="CD64">
        <f>1799.495</f>
        <v>1799.4949999999999</v>
      </c>
      <c r="CE64">
        <f>1711.047</f>
        <v>1711.047</v>
      </c>
      <c r="CF64">
        <f>1646.935</f>
        <v>1646.9349999999999</v>
      </c>
      <c r="CG64">
        <f>1495.913</f>
        <v>1495.913</v>
      </c>
      <c r="CH64">
        <f>2111.616</f>
        <v>2111.616</v>
      </c>
      <c r="CI64">
        <f>1396.18</f>
        <v>1396.18</v>
      </c>
      <c r="CJ64">
        <f>1355.588</f>
        <v>1355.588</v>
      </c>
      <c r="CK64">
        <f>1250.9</f>
        <v>1250.9000000000001</v>
      </c>
      <c r="CL64">
        <f>1378.939</f>
        <v>1378.9390000000001</v>
      </c>
      <c r="CM64">
        <f>1130.201</f>
        <v>1130.201</v>
      </c>
      <c r="CN64">
        <f>1139.095</f>
        <v>1139.095</v>
      </c>
      <c r="CO64">
        <f>1062.484</f>
        <v>1062.4839999999999</v>
      </c>
      <c r="CP64">
        <f>986.5875</f>
        <v>986.58749999999998</v>
      </c>
      <c r="CQ64">
        <f>859.075</f>
        <v>859.07500000000005</v>
      </c>
      <c r="CR64">
        <f>853.036</f>
        <v>853.03599999999994</v>
      </c>
      <c r="CS64">
        <f>748.401</f>
        <v>748.40099999999995</v>
      </c>
      <c r="CT64">
        <f>549.62</f>
        <v>549.62</v>
      </c>
      <c r="CU64">
        <f>524.636</f>
        <v>524.63599999999997</v>
      </c>
      <c r="CV64">
        <f>628.286</f>
        <v>628.28599999999994</v>
      </c>
      <c r="CW64">
        <f>768.061</f>
        <v>768.06100000000004</v>
      </c>
      <c r="CX64">
        <f>1148.5415</f>
        <v>1148.5415</v>
      </c>
      <c r="CY64">
        <f>1267.027</f>
        <v>1267.027</v>
      </c>
      <c r="CZ64">
        <f>1269.084</f>
        <v>1269.0840000000001</v>
      </c>
      <c r="DA64">
        <f>1283.221</f>
        <v>1283.221</v>
      </c>
      <c r="DB64">
        <f>1211.042</f>
        <v>1211.0419999999999</v>
      </c>
      <c r="DC64">
        <f>1192.701</f>
        <v>1192.701</v>
      </c>
      <c r="DD64">
        <f>1224.372</f>
        <v>1224.3720000000001</v>
      </c>
      <c r="DE64">
        <f>1165.173</f>
        <v>1165.173</v>
      </c>
      <c r="DF64">
        <f>1163.765</f>
        <v>1163.7650000000001</v>
      </c>
      <c r="DG64">
        <f>1138.632</f>
        <v>1138.6320000000001</v>
      </c>
      <c r="DH64">
        <f>1323.406</f>
        <v>1323.4059999999999</v>
      </c>
      <c r="DI64">
        <f>1207.626</f>
        <v>1207.626</v>
      </c>
      <c r="DJ64">
        <f>1170.0425</f>
        <v>1170.0425</v>
      </c>
      <c r="DK64">
        <f>1469.374</f>
        <v>1469.374</v>
      </c>
      <c r="DL64">
        <f>1148.205</f>
        <v>1148.2049999999999</v>
      </c>
      <c r="DM64">
        <f>1116.56</f>
        <v>1116.56</v>
      </c>
      <c r="DN64">
        <f>1162.812</f>
        <v>1162.8119999999999</v>
      </c>
      <c r="DO64">
        <f>1050.623</f>
        <v>1050.623</v>
      </c>
      <c r="DP64">
        <f>1084.345</f>
        <v>1084.345</v>
      </c>
      <c r="DQ64">
        <f>1019.524</f>
        <v>1019.524</v>
      </c>
      <c r="DR64">
        <f>996.401</f>
        <v>996.40099999999995</v>
      </c>
      <c r="DS64">
        <f>923.174</f>
        <v>923.17399999999998</v>
      </c>
      <c r="DT64">
        <f>922.862</f>
        <v>922.86199999999997</v>
      </c>
      <c r="DU64">
        <f>884.192</f>
        <v>884.19200000000001</v>
      </c>
    </row>
    <row r="65" spans="1:125">
      <c r="A65" t="str">
        <f>"    Shopping Center REITs"</f>
        <v xml:space="preserve">    Shopping Center REITs</v>
      </c>
      <c r="B65" t="str">
        <f>"RECFTDSC Index"</f>
        <v>RECFTDSC Index</v>
      </c>
      <c r="C65" t="str">
        <f t="shared" si="14"/>
        <v>PR005</v>
      </c>
      <c r="D65" t="str">
        <f t="shared" si="15"/>
        <v>PX_LAST</v>
      </c>
      <c r="E65" t="str">
        <f t="shared" si="16"/>
        <v>动态</v>
      </c>
      <c r="F65">
        <f ca="1">IF(AND(ISNUMBER($F$294),$B$183=1),$F$294,HLOOKUP(INDIRECT(ADDRESS(2,COLUMN())),OFFSET($BN$2,0,0,ROW()-1,60),ROW()-1,FALSE))</f>
        <v>753.92453850000004</v>
      </c>
      <c r="G65">
        <f ca="1">IF(AND(ISNUMBER($G$294),$B$183=1),$G$294,HLOOKUP(INDIRECT(ADDRESS(2,COLUMN())),OFFSET($BN$2,0,0,ROW()-1,60),ROW()-1,FALSE))</f>
        <v>747.44</v>
      </c>
      <c r="H65">
        <f ca="1">IF(AND(ISNUMBER($H$294),$B$183=1),$H$294,HLOOKUP(INDIRECT(ADDRESS(2,COLUMN())),OFFSET($BN$2,0,0,ROW()-1,60),ROW()-1,FALSE))</f>
        <v>753.59199999999998</v>
      </c>
      <c r="I65">
        <f ca="1">IF(AND(ISNUMBER($I$294),$B$183=1),$I$294,HLOOKUP(INDIRECT(ADDRESS(2,COLUMN())),OFFSET($BN$2,0,0,ROW()-1,60),ROW()-1,FALSE))</f>
        <v>729.51400000000001</v>
      </c>
      <c r="J65">
        <f ca="1">IF(AND(ISNUMBER($J$294),$B$183=1),$J$294,HLOOKUP(INDIRECT(ADDRESS(2,COLUMN())),OFFSET($BN$2,0,0,ROW()-1,60),ROW()-1,FALSE))</f>
        <v>746.70299999999997</v>
      </c>
      <c r="K65">
        <f ca="1">IF(AND(ISNUMBER($K$294),$B$183=1),$K$294,HLOOKUP(INDIRECT(ADDRESS(2,COLUMN())),OFFSET($BN$2,0,0,ROW()-1,60),ROW()-1,FALSE))</f>
        <v>705.96900000000005</v>
      </c>
      <c r="L65">
        <f ca="1">IF(AND(ISNUMBER($L$294),$B$183=1),$L$294,HLOOKUP(INDIRECT(ADDRESS(2,COLUMN())),OFFSET($BN$2,0,0,ROW()-1,60),ROW()-1,FALSE))</f>
        <v>736.29200000000003</v>
      </c>
      <c r="M65">
        <f ca="1">IF(AND(ISNUMBER($M$294),$B$183=1),$M$294,HLOOKUP(INDIRECT(ADDRESS(2,COLUMN())),OFFSET($BN$2,0,0,ROW()-1,60),ROW()-1,FALSE))</f>
        <v>773.27700000000004</v>
      </c>
      <c r="N65">
        <f ca="1">IF(AND(ISNUMBER($N$294),$B$183=1),$N$294,HLOOKUP(INDIRECT(ADDRESS(2,COLUMN())),OFFSET($BN$2,0,0,ROW()-1,60),ROW()-1,FALSE))</f>
        <v>674.80700000000002</v>
      </c>
      <c r="O65">
        <f ca="1">IF(AND(ISNUMBER($O$294),$B$183=1),$O$294,HLOOKUP(INDIRECT(ADDRESS(2,COLUMN())),OFFSET($BN$2,0,0,ROW()-1,60),ROW()-1,FALSE))</f>
        <v>685.77</v>
      </c>
      <c r="P65">
        <f ca="1">IF(AND(ISNUMBER($P$294),$B$183=1),$P$294,HLOOKUP(INDIRECT(ADDRESS(2,COLUMN())),OFFSET($BN$2,0,0,ROW()-1,60),ROW()-1,FALSE))</f>
        <v>714.99400000000003</v>
      </c>
      <c r="Q65">
        <f ca="1">IF(AND(ISNUMBER($Q$294),$B$183=1),$Q$294,HLOOKUP(INDIRECT(ADDRESS(2,COLUMN())),OFFSET($BN$2,0,0,ROW()-1,60),ROW()-1,FALSE))</f>
        <v>749.37099999999998</v>
      </c>
      <c r="R65">
        <f ca="1">IF(AND(ISNUMBER($R$294),$B$183=1),$R$294,HLOOKUP(INDIRECT(ADDRESS(2,COLUMN())),OFFSET($BN$2,0,0,ROW()-1,60),ROW()-1,FALSE))</f>
        <v>679.88099999999997</v>
      </c>
      <c r="S65">
        <f ca="1">IF(AND(ISNUMBER($S$294),$B$183=1),$S$294,HLOOKUP(INDIRECT(ADDRESS(2,COLUMN())),OFFSET($BN$2,0,0,ROW()-1,60),ROW()-1,FALSE))</f>
        <v>781.84500000000003</v>
      </c>
      <c r="T65">
        <f ca="1">IF(AND(ISNUMBER($T$294),$B$183=1),$T$294,HLOOKUP(INDIRECT(ADDRESS(2,COLUMN())),OFFSET($BN$2,0,0,ROW()-1,60),ROW()-1,FALSE))</f>
        <v>634.29600000000005</v>
      </c>
      <c r="U65">
        <f ca="1">IF(AND(ISNUMBER($U$294),$B$183=1),$U$294,HLOOKUP(INDIRECT(ADDRESS(2,COLUMN())),OFFSET($BN$2,0,0,ROW()-1,60),ROW()-1,FALSE))</f>
        <v>628.80799999999999</v>
      </c>
      <c r="V65">
        <f ca="1">IF(AND(ISNUMBER($V$294),$B$183=1),$V$294,HLOOKUP(INDIRECT(ADDRESS(2,COLUMN())),OFFSET($BN$2,0,0,ROW()-1,60),ROW()-1,FALSE))</f>
        <v>617.625</v>
      </c>
      <c r="W65">
        <f ca="1">IF(AND(ISNUMBER($W$294),$B$183=1),$W$294,HLOOKUP(INDIRECT(ADDRESS(2,COLUMN())),OFFSET($BN$2,0,0,ROW()-1,60),ROW()-1,FALSE))</f>
        <v>532.97900000000004</v>
      </c>
      <c r="X65">
        <f ca="1">IF(AND(ISNUMBER($X$294),$B$183=1),$X$294,HLOOKUP(INDIRECT(ADDRESS(2,COLUMN())),OFFSET($BN$2,0,0,ROW()-1,60),ROW()-1,FALSE))</f>
        <v>529.00800000000004</v>
      </c>
      <c r="Y65">
        <f ca="1">IF(AND(ISNUMBER($Y$294),$B$183=1),$Y$294,HLOOKUP(INDIRECT(ADDRESS(2,COLUMN())),OFFSET($BN$2,0,0,ROW()-1,60),ROW()-1,FALSE))</f>
        <v>494.56099999999998</v>
      </c>
      <c r="Z65">
        <f ca="1">IF(AND(ISNUMBER($Z$294),$B$183=1),$Z$294,HLOOKUP(INDIRECT(ADDRESS(2,COLUMN())),OFFSET($BN$2,0,0,ROW()-1,60),ROW()-1,FALSE))</f>
        <v>1223.83</v>
      </c>
      <c r="AA65">
        <f ca="1">IF(AND(ISNUMBER($AA$294),$B$183=1),$AA$294,HLOOKUP(INDIRECT(ADDRESS(2,COLUMN())),OFFSET($BN$2,0,0,ROW()-1,60),ROW()-1,FALSE))</f>
        <v>503.04700000000003</v>
      </c>
      <c r="AB65">
        <f ca="1">IF(AND(ISNUMBER($AB$294),$B$183=1),$AB$294,HLOOKUP(INDIRECT(ADDRESS(2,COLUMN())),OFFSET($BN$2,0,0,ROW()-1,60),ROW()-1,FALSE))</f>
        <v>508.846</v>
      </c>
      <c r="AC65">
        <f ca="1">IF(AND(ISNUMBER($AC$294),$B$183=1),$AC$294,HLOOKUP(INDIRECT(ADDRESS(2,COLUMN())),OFFSET($BN$2,0,0,ROW()-1,60),ROW()-1,FALSE))</f>
        <v>423.125</v>
      </c>
      <c r="AD65">
        <f ca="1">IF(AND(ISNUMBER($AD$294),$B$183=1),$AD$294,HLOOKUP(INDIRECT(ADDRESS(2,COLUMN())),OFFSET($BN$2,0,0,ROW()-1,60),ROW()-1,FALSE))</f>
        <v>405.55500000000001</v>
      </c>
      <c r="AE65">
        <f ca="1">IF(AND(ISNUMBER($AE$294),$B$183=1),$AE$294,HLOOKUP(INDIRECT(ADDRESS(2,COLUMN())),OFFSET($BN$2,0,0,ROW()-1,60),ROW()-1,FALSE))</f>
        <v>390.70100000000002</v>
      </c>
      <c r="AF65">
        <f ca="1">IF(AND(ISNUMBER($AF$294),$B$183=1),$AF$294,HLOOKUP(INDIRECT(ADDRESS(2,COLUMN())),OFFSET($BN$2,0,0,ROW()-1,60),ROW()-1,FALSE))</f>
        <v>383.48</v>
      </c>
      <c r="AG65">
        <f ca="1">IF(AND(ISNUMBER($AG$294),$B$183=1),$AG$294,HLOOKUP(INDIRECT(ADDRESS(2,COLUMN())),OFFSET($BN$2,0,0,ROW()-1,60),ROW()-1,FALSE))</f>
        <v>372.88099999999997</v>
      </c>
      <c r="AH65">
        <f ca="1">IF(AND(ISNUMBER($AH$294),$B$183=1),$AH$294,HLOOKUP(INDIRECT(ADDRESS(2,COLUMN())),OFFSET($BN$2,0,0,ROW()-1,60),ROW()-1,FALSE))</f>
        <v>350.20850000000002</v>
      </c>
      <c r="AI65">
        <f ca="1">IF(AND(ISNUMBER($AI$294),$B$183=1),$AI$294,HLOOKUP(INDIRECT(ADDRESS(2,COLUMN())),OFFSET($BN$2,0,0,ROW()-1,60),ROW()-1,FALSE))</f>
        <v>339.52499999999998</v>
      </c>
      <c r="AJ65">
        <f ca="1">IF(AND(ISNUMBER($AJ$294),$B$183=1),$AJ$294,HLOOKUP(INDIRECT(ADDRESS(2,COLUMN())),OFFSET($BN$2,0,0,ROW()-1,60),ROW()-1,FALSE))</f>
        <v>339.09500000000003</v>
      </c>
      <c r="AK65">
        <f ca="1">IF(AND(ISNUMBER($AK$294),$B$183=1),$AK$294,HLOOKUP(INDIRECT(ADDRESS(2,COLUMN())),OFFSET($BN$2,0,0,ROW()-1,60),ROW()-1,FALSE))</f>
        <v>325.02999999999997</v>
      </c>
      <c r="AL65">
        <f ca="1">IF(AND(ISNUMBER($AL$294),$B$183=1),$AL$294,HLOOKUP(INDIRECT(ADDRESS(2,COLUMN())),OFFSET($BN$2,0,0,ROW()-1,60),ROW()-1,FALSE))</f>
        <v>274.45499999999998</v>
      </c>
      <c r="AM65">
        <f ca="1">IF(AND(ISNUMBER($AM$294),$B$183=1),$AM$294,HLOOKUP(INDIRECT(ADDRESS(2,COLUMN())),OFFSET($BN$2,0,0,ROW()-1,60),ROW()-1,FALSE))</f>
        <v>272.64400000000001</v>
      </c>
      <c r="AN65">
        <f ca="1">IF(AND(ISNUMBER($AN$294),$B$183=1),$AN$294,HLOOKUP(INDIRECT(ADDRESS(2,COLUMN())),OFFSET($BN$2,0,0,ROW()-1,60),ROW()-1,FALSE))</f>
        <v>372.27499999999998</v>
      </c>
      <c r="AO65">
        <f ca="1">IF(AND(ISNUMBER($AO$294),$B$183=1),$AO$294,HLOOKUP(INDIRECT(ADDRESS(2,COLUMN())),OFFSET($BN$2,0,0,ROW()-1,60),ROW()-1,FALSE))</f>
        <v>406.51400000000001</v>
      </c>
      <c r="AP65">
        <f ca="1">IF(AND(ISNUMBER($AP$294),$B$183=1),$AP$294,HLOOKUP(INDIRECT(ADDRESS(2,COLUMN())),OFFSET($BN$2,0,0,ROW()-1,60),ROW()-1,FALSE))</f>
        <v>529.38800000000003</v>
      </c>
      <c r="AQ65">
        <f ca="1">IF(AND(ISNUMBER($AQ$294),$B$183=1),$AQ$294,HLOOKUP(INDIRECT(ADDRESS(2,COLUMN())),OFFSET($BN$2,0,0,ROW()-1,60),ROW()-1,FALSE))</f>
        <v>483.79899999999998</v>
      </c>
      <c r="AR65">
        <f ca="1">IF(AND(ISNUMBER($AR$294),$B$183=1),$AR$294,HLOOKUP(INDIRECT(ADDRESS(2,COLUMN())),OFFSET($BN$2,0,0,ROW()-1,60),ROW()-1,FALSE))</f>
        <v>487.351</v>
      </c>
      <c r="AS65">
        <f ca="1">IF(AND(ISNUMBER($AS$294),$B$183=1),$AS$294,HLOOKUP(INDIRECT(ADDRESS(2,COLUMN())),OFFSET($BN$2,0,0,ROW()-1,60),ROW()-1,FALSE))</f>
        <v>473.89600000000002</v>
      </c>
      <c r="AT65">
        <f ca="1">IF(AND(ISNUMBER($AT$294),$B$183=1),$AT$294,HLOOKUP(INDIRECT(ADDRESS(2,COLUMN())),OFFSET($BN$2,0,0,ROW()-1,60),ROW()-1,FALSE))</f>
        <v>461.32850000000002</v>
      </c>
      <c r="AU65">
        <f ca="1">IF(AND(ISNUMBER($AU$294),$B$183=1),$AU$294,HLOOKUP(INDIRECT(ADDRESS(2,COLUMN())),OFFSET($BN$2,0,0,ROW()-1,60),ROW()-1,FALSE))</f>
        <v>461.34199999999998</v>
      </c>
      <c r="AV65">
        <f ca="1">IF(AND(ISNUMBER($AV$294),$B$183=1),$AV$294,HLOOKUP(INDIRECT(ADDRESS(2,COLUMN())),OFFSET($BN$2,0,0,ROW()-1,60),ROW()-1,FALSE))</f>
        <v>453.61700000000002</v>
      </c>
      <c r="AW65">
        <f ca="1">IF(AND(ISNUMBER($AW$294),$B$183=1),$AW$294,HLOOKUP(INDIRECT(ADDRESS(2,COLUMN())),OFFSET($BN$2,0,0,ROW()-1,60),ROW()-1,FALSE))</f>
        <v>455.37799999999999</v>
      </c>
      <c r="AX65">
        <f ca="1">IF(AND(ISNUMBER($AX$294),$B$183=1),$AX$294,HLOOKUP(INDIRECT(ADDRESS(2,COLUMN())),OFFSET($BN$2,0,0,ROW()-1,60),ROW()-1,FALSE))</f>
        <v>454.98599999999999</v>
      </c>
      <c r="AY65">
        <f ca="1">IF(AND(ISNUMBER($AY$294),$B$183=1),$AY$294,HLOOKUP(INDIRECT(ADDRESS(2,COLUMN())),OFFSET($BN$2,0,0,ROW()-1,60),ROW()-1,FALSE))</f>
        <v>429.84100000000001</v>
      </c>
      <c r="AZ65">
        <f ca="1">IF(AND(ISNUMBER($AZ$294),$B$183=1),$AZ$294,HLOOKUP(INDIRECT(ADDRESS(2,COLUMN())),OFFSET($BN$2,0,0,ROW()-1,60),ROW()-1,FALSE))</f>
        <v>560.84699999999998</v>
      </c>
      <c r="BA65">
        <f ca="1">IF(AND(ISNUMBER($BA$294),$B$183=1),$BA$294,HLOOKUP(INDIRECT(ADDRESS(2,COLUMN())),OFFSET($BN$2,0,0,ROW()-1,60),ROW()-1,FALSE))</f>
        <v>519.322</v>
      </c>
      <c r="BB65">
        <f ca="1">IF(AND(ISNUMBER($BB$294),$B$183=1),$BB$294,HLOOKUP(INDIRECT(ADDRESS(2,COLUMN())),OFFSET($BN$2,0,0,ROW()-1,60),ROW()-1,FALSE))</f>
        <v>497.34949999999998</v>
      </c>
      <c r="BC65">
        <f ca="1">IF(AND(ISNUMBER($BC$294),$B$183=1),$BC$294,HLOOKUP(INDIRECT(ADDRESS(2,COLUMN())),OFFSET($BN$2,0,0,ROW()-1,60),ROW()-1,FALSE))</f>
        <v>785.87099999999998</v>
      </c>
      <c r="BD65">
        <f ca="1">IF(AND(ISNUMBER($BD$294),$B$183=1),$BD$294,HLOOKUP(INDIRECT(ADDRESS(2,COLUMN())),OFFSET($BN$2,0,0,ROW()-1,60),ROW()-1,FALSE))</f>
        <v>464.49599999999998</v>
      </c>
      <c r="BE65">
        <f ca="1">IF(AND(ISNUMBER($BE$294),$B$183=1),$BE$294,HLOOKUP(INDIRECT(ADDRESS(2,COLUMN())),OFFSET($BN$2,0,0,ROW()-1,60),ROW()-1,FALSE))</f>
        <v>454.13600000000002</v>
      </c>
      <c r="BF65">
        <f ca="1">IF(AND(ISNUMBER($BF$294),$B$183=1),$BF$294,HLOOKUP(INDIRECT(ADDRESS(2,COLUMN())),OFFSET($BN$2,0,0,ROW()-1,60),ROW()-1,FALSE))</f>
        <v>451.53</v>
      </c>
      <c r="BG65">
        <f ca="1">IF(AND(ISNUMBER($BG$294),$B$183=1),$BG$294,HLOOKUP(INDIRECT(ADDRESS(2,COLUMN())),OFFSET($BN$2,0,0,ROW()-1,60),ROW()-1,FALSE))</f>
        <v>441.113</v>
      </c>
      <c r="BH65">
        <f ca="1">IF(AND(ISNUMBER($BH$294),$B$183=1),$BH$294,HLOOKUP(INDIRECT(ADDRESS(2,COLUMN())),OFFSET($BN$2,0,0,ROW()-1,60),ROW()-1,FALSE))</f>
        <v>442.61</v>
      </c>
      <c r="BI65">
        <f ca="1">IF(AND(ISNUMBER($BI$294),$B$183=1),$BI$294,HLOOKUP(INDIRECT(ADDRESS(2,COLUMN())),OFFSET($BN$2,0,0,ROW()-1,60),ROW()-1,FALSE))</f>
        <v>412.27699999999999</v>
      </c>
      <c r="BJ65">
        <f ca="1">IF(AND(ISNUMBER($BJ$294),$B$183=1),$BJ$294,HLOOKUP(INDIRECT(ADDRESS(2,COLUMN())),OFFSET($BN$2,0,0,ROW()-1,60),ROW()-1,FALSE))</f>
        <v>427.5745</v>
      </c>
      <c r="BK65">
        <f ca="1">IF(AND(ISNUMBER($BK$294),$B$183=1),$BK$294,HLOOKUP(INDIRECT(ADDRESS(2,COLUMN())),OFFSET($BN$2,0,0,ROW()-1,60),ROW()-1,FALSE))</f>
        <v>399.95600000000002</v>
      </c>
      <c r="BL65">
        <f ca="1">IF(AND(ISNUMBER($BL$294),$B$183=1),$BL$294,HLOOKUP(INDIRECT(ADDRESS(2,COLUMN())),OFFSET($BN$2,0,0,ROW()-1,60),ROW()-1,FALSE))</f>
        <v>409.483</v>
      </c>
      <c r="BM65">
        <f ca="1">IF(AND(ISNUMBER($BM$294),$B$183=1),$BM$294,HLOOKUP(INDIRECT(ADDRESS(2,COLUMN())),OFFSET($BN$2,0,0,ROW()-1,60),ROW()-1,FALSE))</f>
        <v>364.721</v>
      </c>
      <c r="BN65">
        <f>753.9245385</f>
        <v>753.92453850000004</v>
      </c>
      <c r="BO65">
        <f>747.44</f>
        <v>747.44</v>
      </c>
      <c r="BP65">
        <f>753.592</f>
        <v>753.59199999999998</v>
      </c>
      <c r="BQ65">
        <f>729.514</f>
        <v>729.51400000000001</v>
      </c>
      <c r="BR65">
        <f>746.703</f>
        <v>746.70299999999997</v>
      </c>
      <c r="BS65">
        <f>705.969</f>
        <v>705.96900000000005</v>
      </c>
      <c r="BT65">
        <f>736.292</f>
        <v>736.29200000000003</v>
      </c>
      <c r="BU65">
        <f>773.277</f>
        <v>773.27700000000004</v>
      </c>
      <c r="BV65">
        <f>674.807</f>
        <v>674.80700000000002</v>
      </c>
      <c r="BW65">
        <f>685.77</f>
        <v>685.77</v>
      </c>
      <c r="BX65">
        <f>714.994</f>
        <v>714.99400000000003</v>
      </c>
      <c r="BY65">
        <f>749.371</f>
        <v>749.37099999999998</v>
      </c>
      <c r="BZ65">
        <f>679.881</f>
        <v>679.88099999999997</v>
      </c>
      <c r="CA65">
        <f>781.845</f>
        <v>781.84500000000003</v>
      </c>
      <c r="CB65">
        <f>634.296</f>
        <v>634.29600000000005</v>
      </c>
      <c r="CC65">
        <f>628.808</f>
        <v>628.80799999999999</v>
      </c>
      <c r="CD65">
        <f>617.625</f>
        <v>617.625</v>
      </c>
      <c r="CE65">
        <f>532.979</f>
        <v>532.97900000000004</v>
      </c>
      <c r="CF65">
        <f>529.008</f>
        <v>529.00800000000004</v>
      </c>
      <c r="CG65">
        <f>494.561</f>
        <v>494.56099999999998</v>
      </c>
      <c r="CH65">
        <f>1223.83</f>
        <v>1223.83</v>
      </c>
      <c r="CI65">
        <f>503.047</f>
        <v>503.04700000000003</v>
      </c>
      <c r="CJ65">
        <f>508.846</f>
        <v>508.846</v>
      </c>
      <c r="CK65">
        <f>423.125</f>
        <v>423.125</v>
      </c>
      <c r="CL65">
        <f>405.555</f>
        <v>405.55500000000001</v>
      </c>
      <c r="CM65">
        <f>390.701</f>
        <v>390.70100000000002</v>
      </c>
      <c r="CN65">
        <f>383.48</f>
        <v>383.48</v>
      </c>
      <c r="CO65">
        <f>372.881</f>
        <v>372.88099999999997</v>
      </c>
      <c r="CP65">
        <f>350.2085</f>
        <v>350.20850000000002</v>
      </c>
      <c r="CQ65">
        <f>339.525</f>
        <v>339.52499999999998</v>
      </c>
      <c r="CR65">
        <f>339.095</f>
        <v>339.09500000000003</v>
      </c>
      <c r="CS65">
        <f>325.03</f>
        <v>325.02999999999997</v>
      </c>
      <c r="CT65">
        <f>274.455</f>
        <v>274.45499999999998</v>
      </c>
      <c r="CU65">
        <f>272.644</f>
        <v>272.64400000000001</v>
      </c>
      <c r="CV65">
        <f>372.275</f>
        <v>372.27499999999998</v>
      </c>
      <c r="CW65">
        <f>406.514</f>
        <v>406.51400000000001</v>
      </c>
      <c r="CX65">
        <f>529.388</f>
        <v>529.38800000000003</v>
      </c>
      <c r="CY65">
        <f>483.799</f>
        <v>483.79899999999998</v>
      </c>
      <c r="CZ65">
        <f>487.351</f>
        <v>487.351</v>
      </c>
      <c r="DA65">
        <f>473.896</f>
        <v>473.89600000000002</v>
      </c>
      <c r="DB65">
        <f>461.3285</f>
        <v>461.32850000000002</v>
      </c>
      <c r="DC65">
        <f>461.342</f>
        <v>461.34199999999998</v>
      </c>
      <c r="DD65">
        <f>453.617</f>
        <v>453.61700000000002</v>
      </c>
      <c r="DE65">
        <f>455.378</f>
        <v>455.37799999999999</v>
      </c>
      <c r="DF65">
        <f>454.986</f>
        <v>454.98599999999999</v>
      </c>
      <c r="DG65">
        <f>429.841</f>
        <v>429.84100000000001</v>
      </c>
      <c r="DH65">
        <f>560.847</f>
        <v>560.84699999999998</v>
      </c>
      <c r="DI65">
        <f>519.322</f>
        <v>519.322</v>
      </c>
      <c r="DJ65">
        <f>497.3495</f>
        <v>497.34949999999998</v>
      </c>
      <c r="DK65">
        <f>785.871</f>
        <v>785.87099999999998</v>
      </c>
      <c r="DL65">
        <f>464.496</f>
        <v>464.49599999999998</v>
      </c>
      <c r="DM65">
        <f>454.136</f>
        <v>454.13600000000002</v>
      </c>
      <c r="DN65">
        <f>451.53</f>
        <v>451.53</v>
      </c>
      <c r="DO65">
        <f>441.113</f>
        <v>441.113</v>
      </c>
      <c r="DP65">
        <f>442.61</f>
        <v>442.61</v>
      </c>
      <c r="DQ65">
        <f>412.277</f>
        <v>412.27699999999999</v>
      </c>
      <c r="DR65">
        <f>427.5745</f>
        <v>427.5745</v>
      </c>
      <c r="DS65">
        <f>399.956</f>
        <v>399.95600000000002</v>
      </c>
      <c r="DT65">
        <f>409.483</f>
        <v>409.483</v>
      </c>
      <c r="DU65">
        <f>364.721</f>
        <v>364.721</v>
      </c>
    </row>
    <row r="66" spans="1:125">
      <c r="A66" t="str">
        <f>"    Regional Mall REITs"</f>
        <v xml:space="preserve">    Regional Mall REITs</v>
      </c>
      <c r="B66" t="str">
        <f>"RECFTDRM Index"</f>
        <v>RECFTDRM Index</v>
      </c>
      <c r="C66" t="str">
        <f t="shared" si="14"/>
        <v>PR005</v>
      </c>
      <c r="D66" t="str">
        <f t="shared" si="15"/>
        <v>PX_LAST</v>
      </c>
      <c r="E66" t="str">
        <f t="shared" si="16"/>
        <v>动态</v>
      </c>
      <c r="F66">
        <f ca="1">IF(AND(ISNUMBER($F$295),$B$183=1),$F$295,HLOOKUP(INDIRECT(ADDRESS(2,COLUMN())),OFFSET($BN$2,0,0,ROW()-1,60),ROW()-1,FALSE))</f>
        <v>1308.6773860000001</v>
      </c>
      <c r="G66">
        <f ca="1">IF(AND(ISNUMBER($G$295),$B$183=1),$G$295,HLOOKUP(INDIRECT(ADDRESS(2,COLUMN())),OFFSET($BN$2,0,0,ROW()-1,60),ROW()-1,FALSE))</f>
        <v>1178.818</v>
      </c>
      <c r="H66">
        <f ca="1">IF(AND(ISNUMBER($H$295),$B$183=1),$H$295,HLOOKUP(INDIRECT(ADDRESS(2,COLUMN())),OFFSET($BN$2,0,0,ROW()-1,60),ROW()-1,FALSE))</f>
        <v>1182.825</v>
      </c>
      <c r="I66">
        <f ca="1">IF(AND(ISNUMBER($I$295),$B$183=1),$I$295,HLOOKUP(INDIRECT(ADDRESS(2,COLUMN())),OFFSET($BN$2,0,0,ROW()-1,60),ROW()-1,FALSE))</f>
        <v>1396.0920000000001</v>
      </c>
      <c r="J66">
        <f ca="1">IF(AND(ISNUMBER($J$295),$B$183=1),$J$295,HLOOKUP(INDIRECT(ADDRESS(2,COLUMN())),OFFSET($BN$2,0,0,ROW()-1,60),ROW()-1,FALSE))</f>
        <v>1107.846</v>
      </c>
      <c r="K66">
        <f ca="1">IF(AND(ISNUMBER($K$295),$B$183=1),$K$295,HLOOKUP(INDIRECT(ADDRESS(2,COLUMN())),OFFSET($BN$2,0,0,ROW()-1,60),ROW()-1,FALSE))</f>
        <v>1090.076</v>
      </c>
      <c r="L66">
        <f ca="1">IF(AND(ISNUMBER($L$295),$B$183=1),$L$295,HLOOKUP(INDIRECT(ADDRESS(2,COLUMN())),OFFSET($BN$2,0,0,ROW()-1,60),ROW()-1,FALSE))</f>
        <v>1239.864</v>
      </c>
      <c r="M66">
        <f ca="1">IF(AND(ISNUMBER($M$295),$B$183=1),$M$295,HLOOKUP(INDIRECT(ADDRESS(2,COLUMN())),OFFSET($BN$2,0,0,ROW()-1,60),ROW()-1,FALSE))</f>
        <v>1430.7570000000001</v>
      </c>
      <c r="N66">
        <f ca="1">IF(AND(ISNUMBER($N$295),$B$183=1),$N$295,HLOOKUP(INDIRECT(ADDRESS(2,COLUMN())),OFFSET($BN$2,0,0,ROW()-1,60),ROW()-1,FALSE))</f>
        <v>1427.7190000000001</v>
      </c>
      <c r="O66">
        <f ca="1">IF(AND(ISNUMBER($O$295),$B$183=1),$O$295,HLOOKUP(INDIRECT(ADDRESS(2,COLUMN())),OFFSET($BN$2,0,0,ROW()-1,60),ROW()-1,FALSE))</f>
        <v>1049.5219999999999</v>
      </c>
      <c r="P66">
        <f ca="1">IF(AND(ISNUMBER($P$295),$B$183=1),$P$295,HLOOKUP(INDIRECT(ADDRESS(2,COLUMN())),OFFSET($BN$2,0,0,ROW()-1,60),ROW()-1,FALSE))</f>
        <v>1086.249</v>
      </c>
      <c r="Q66">
        <f ca="1">IF(AND(ISNUMBER($Q$295),$B$183=1),$Q$295,HLOOKUP(INDIRECT(ADDRESS(2,COLUMN())),OFFSET($BN$2,0,0,ROW()-1,60),ROW()-1,FALSE))</f>
        <v>990.73400000000004</v>
      </c>
      <c r="R66">
        <f ca="1">IF(AND(ISNUMBER($R$295),$B$183=1),$R$295,HLOOKUP(INDIRECT(ADDRESS(2,COLUMN())),OFFSET($BN$2,0,0,ROW()-1,60),ROW()-1,FALSE))</f>
        <v>1395.1880000000001</v>
      </c>
      <c r="S66">
        <f ca="1">IF(AND(ISNUMBER($S$295),$B$183=1),$S$295,HLOOKUP(INDIRECT(ADDRESS(2,COLUMN())),OFFSET($BN$2,0,0,ROW()-1,60),ROW()-1,FALSE))</f>
        <v>929.38300000000004</v>
      </c>
      <c r="T66">
        <f ca="1">IF(AND(ISNUMBER($T$295),$B$183=1),$T$295,HLOOKUP(INDIRECT(ADDRESS(2,COLUMN())),OFFSET($BN$2,0,0,ROW()-1,60),ROW()-1,FALSE))</f>
        <v>1951.0989999999999</v>
      </c>
      <c r="U66">
        <f ca="1">IF(AND(ISNUMBER($U$295),$B$183=1),$U$295,HLOOKUP(INDIRECT(ADDRESS(2,COLUMN())),OFFSET($BN$2,0,0,ROW()-1,60),ROW()-1,FALSE))</f>
        <v>867.048</v>
      </c>
      <c r="V66">
        <f ca="1">IF(AND(ISNUMBER($V$295),$B$183=1),$V$295,HLOOKUP(INDIRECT(ADDRESS(2,COLUMN())),OFFSET($BN$2,0,0,ROW()-1,60),ROW()-1,FALSE))</f>
        <v>859.81100000000004</v>
      </c>
      <c r="W66">
        <f ca="1">IF(AND(ISNUMBER($W$295),$B$183=1),$W$295,HLOOKUP(INDIRECT(ADDRESS(2,COLUMN())),OFFSET($BN$2,0,0,ROW()-1,60),ROW()-1,FALSE))</f>
        <v>795.74599999999998</v>
      </c>
      <c r="X66">
        <f ca="1">IF(AND(ISNUMBER($X$295),$B$183=1),$X$295,HLOOKUP(INDIRECT(ADDRESS(2,COLUMN())),OFFSET($BN$2,0,0,ROW()-1,60),ROW()-1,FALSE))</f>
        <v>790.40899999999999</v>
      </c>
      <c r="Y66">
        <f ca="1">IF(AND(ISNUMBER($Y$295),$B$183=1),$Y$295,HLOOKUP(INDIRECT(ADDRESS(2,COLUMN())),OFFSET($BN$2,0,0,ROW()-1,60),ROW()-1,FALSE))</f>
        <v>769.66700000000003</v>
      </c>
      <c r="Z66">
        <f ca="1">IF(AND(ISNUMBER($Z$295),$B$183=1),$Z$295,HLOOKUP(INDIRECT(ADDRESS(2,COLUMN())),OFFSET($BN$2,0,0,ROW()-1,60),ROW()-1,FALSE))</f>
        <v>759.64200000000005</v>
      </c>
      <c r="AA66">
        <f ca="1">IF(AND(ISNUMBER($AA$295),$B$183=1),$AA$295,HLOOKUP(INDIRECT(ADDRESS(2,COLUMN())),OFFSET($BN$2,0,0,ROW()-1,60),ROW()-1,FALSE))</f>
        <v>738.22</v>
      </c>
      <c r="AB66">
        <f ca="1">IF(AND(ISNUMBER($AB$295),$B$183=1),$AB$295,HLOOKUP(INDIRECT(ADDRESS(2,COLUMN())),OFFSET($BN$2,0,0,ROW()-1,60),ROW()-1,FALSE))</f>
        <v>697.38400000000001</v>
      </c>
      <c r="AC66">
        <f ca="1">IF(AND(ISNUMBER($AC$295),$B$183=1),$AC$295,HLOOKUP(INDIRECT(ADDRESS(2,COLUMN())),OFFSET($BN$2,0,0,ROW()-1,60),ROW()-1,FALSE))</f>
        <v>689.22400000000005</v>
      </c>
      <c r="AD66">
        <f ca="1">IF(AND(ISNUMBER($AD$295),$B$183=1),$AD$295,HLOOKUP(INDIRECT(ADDRESS(2,COLUMN())),OFFSET($BN$2,0,0,ROW()-1,60),ROW()-1,FALSE))</f>
        <v>849.28499999999997</v>
      </c>
      <c r="AE66">
        <f ca="1">IF(AND(ISNUMBER($AE$295),$B$183=1),$AE$295,HLOOKUP(INDIRECT(ADDRESS(2,COLUMN())),OFFSET($BN$2,0,0,ROW()-1,60),ROW()-1,FALSE))</f>
        <v>622.84799999999996</v>
      </c>
      <c r="AF66">
        <f ca="1">IF(AND(ISNUMBER($AF$295),$B$183=1),$AF$295,HLOOKUP(INDIRECT(ADDRESS(2,COLUMN())),OFFSET($BN$2,0,0,ROW()-1,60),ROW()-1,FALSE))</f>
        <v>639.71699999999998</v>
      </c>
      <c r="AG66">
        <f ca="1">IF(AND(ISNUMBER($AG$295),$B$183=1),$AG$295,HLOOKUP(INDIRECT(ADDRESS(2,COLUMN())),OFFSET($BN$2,0,0,ROW()-1,60),ROW()-1,FALSE))</f>
        <v>579.42399999999998</v>
      </c>
      <c r="AH66">
        <f ca="1">IF(AND(ISNUMBER($AH$295),$B$183=1),$AH$295,HLOOKUP(INDIRECT(ADDRESS(2,COLUMN())),OFFSET($BN$2,0,0,ROW()-1,60),ROW()-1,FALSE))</f>
        <v>529.61</v>
      </c>
      <c r="AI66">
        <f ca="1">IF(AND(ISNUMBER($AI$295),$B$183=1),$AI$295,HLOOKUP(INDIRECT(ADDRESS(2,COLUMN())),OFFSET($BN$2,0,0,ROW()-1,60),ROW()-1,FALSE))</f>
        <v>415.75700000000001</v>
      </c>
      <c r="AJ66">
        <f ca="1">IF(AND(ISNUMBER($AJ$295),$B$183=1),$AJ$295,HLOOKUP(INDIRECT(ADDRESS(2,COLUMN())),OFFSET($BN$2,0,0,ROW()-1,60),ROW()-1,FALSE))</f>
        <v>413.09399999999999</v>
      </c>
      <c r="AK66">
        <f ca="1">IF(AND(ISNUMBER($AK$295),$B$183=1),$AK$295,HLOOKUP(INDIRECT(ADDRESS(2,COLUMN())),OFFSET($BN$2,0,0,ROW()-1,60),ROW()-1,FALSE))</f>
        <v>323.60599999999999</v>
      </c>
      <c r="AL66">
        <f ca="1">IF(AND(ISNUMBER($AL$295),$B$183=1),$AL$295,HLOOKUP(INDIRECT(ADDRESS(2,COLUMN())),OFFSET($BN$2,0,0,ROW()-1,60),ROW()-1,FALSE))</f>
        <v>175.54900000000001</v>
      </c>
      <c r="AM66">
        <f ca="1">IF(AND(ISNUMBER($AM$295),$B$183=1),$AM$295,HLOOKUP(INDIRECT(ADDRESS(2,COLUMN())),OFFSET($BN$2,0,0,ROW()-1,60),ROW()-1,FALSE))</f>
        <v>153.53399999999999</v>
      </c>
      <c r="AN66">
        <f ca="1">IF(AND(ISNUMBER($AN$295),$B$183=1),$AN$295,HLOOKUP(INDIRECT(ADDRESS(2,COLUMN())),OFFSET($BN$2,0,0,ROW()-1,60),ROW()-1,FALSE))</f>
        <v>157.898</v>
      </c>
      <c r="AO66">
        <f ca="1">IF(AND(ISNUMBER($AO$295),$B$183=1),$AO$295,HLOOKUP(INDIRECT(ADDRESS(2,COLUMN())),OFFSET($BN$2,0,0,ROW()-1,60),ROW()-1,FALSE))</f>
        <v>263.91699999999997</v>
      </c>
      <c r="AP66">
        <f ca="1">IF(AND(ISNUMBER($AP$295),$B$183=1),$AP$295,HLOOKUP(INDIRECT(ADDRESS(2,COLUMN())),OFFSET($BN$2,0,0,ROW()-1,60),ROW()-1,FALSE))</f>
        <v>512.36800000000005</v>
      </c>
      <c r="AQ66">
        <f ca="1">IF(AND(ISNUMBER($AQ$295),$B$183=1),$AQ$295,HLOOKUP(INDIRECT(ADDRESS(2,COLUMN())),OFFSET($BN$2,0,0,ROW()-1,60),ROW()-1,FALSE))</f>
        <v>668.41399999999999</v>
      </c>
      <c r="AR66">
        <f ca="1">IF(AND(ISNUMBER($AR$295),$B$183=1),$AR$295,HLOOKUP(INDIRECT(ADDRESS(2,COLUMN())),OFFSET($BN$2,0,0,ROW()-1,60),ROW()-1,FALSE))</f>
        <v>664.53899999999999</v>
      </c>
      <c r="AS66">
        <f ca="1">IF(AND(ISNUMBER($AS$295),$B$183=1),$AS$295,HLOOKUP(INDIRECT(ADDRESS(2,COLUMN())),OFFSET($BN$2,0,0,ROW()-1,60),ROW()-1,FALSE))</f>
        <v>717.26900000000001</v>
      </c>
      <c r="AT66">
        <f ca="1">IF(AND(ISNUMBER($AT$295),$B$183=1),$AT$295,HLOOKUP(INDIRECT(ADDRESS(2,COLUMN())),OFFSET($BN$2,0,0,ROW()-1,60),ROW()-1,FALSE))</f>
        <v>654.1875</v>
      </c>
      <c r="AU66">
        <f ca="1">IF(AND(ISNUMBER($AU$295),$B$183=1),$AU$295,HLOOKUP(INDIRECT(ADDRESS(2,COLUMN())),OFFSET($BN$2,0,0,ROW()-1,60),ROW()-1,FALSE))</f>
        <v>633.73900000000003</v>
      </c>
      <c r="AV66">
        <f ca="1">IF(AND(ISNUMBER($AV$295),$B$183=1),$AV$295,HLOOKUP(INDIRECT(ADDRESS(2,COLUMN())),OFFSET($BN$2,0,0,ROW()-1,60),ROW()-1,FALSE))</f>
        <v>672.28099999999995</v>
      </c>
      <c r="AW66">
        <f ca="1">IF(AND(ISNUMBER($AW$295),$B$183=1),$AW$295,HLOOKUP(INDIRECT(ADDRESS(2,COLUMN())),OFFSET($BN$2,0,0,ROW()-1,60),ROW()-1,FALSE))</f>
        <v>627.846</v>
      </c>
      <c r="AX66">
        <f ca="1">IF(AND(ISNUMBER($AX$295),$B$183=1),$AX$295,HLOOKUP(INDIRECT(ADDRESS(2,COLUMN())),OFFSET($BN$2,0,0,ROW()-1,60),ROW()-1,FALSE))</f>
        <v>606.64599999999996</v>
      </c>
      <c r="AY66">
        <f ca="1">IF(AND(ISNUMBER($AY$295),$B$183=1),$AY$295,HLOOKUP(INDIRECT(ADDRESS(2,COLUMN())),OFFSET($BN$2,0,0,ROW()-1,60),ROW()-1,FALSE))</f>
        <v>596.19399999999996</v>
      </c>
      <c r="AZ66">
        <f ca="1">IF(AND(ISNUMBER($AZ$295),$B$183=1),$AZ$295,HLOOKUP(INDIRECT(ADDRESS(2,COLUMN())),OFFSET($BN$2,0,0,ROW()-1,60),ROW()-1,FALSE))</f>
        <v>656.63199999999995</v>
      </c>
      <c r="BA66">
        <f ca="1">IF(AND(ISNUMBER($BA$295),$B$183=1),$BA$295,HLOOKUP(INDIRECT(ADDRESS(2,COLUMN())),OFFSET($BN$2,0,0,ROW()-1,60),ROW()-1,FALSE))</f>
        <v>589.05799999999999</v>
      </c>
      <c r="BB66">
        <f ca="1">IF(AND(ISNUMBER($BB$295),$B$183=1),$BB$295,HLOOKUP(INDIRECT(ADDRESS(2,COLUMN())),OFFSET($BN$2,0,0,ROW()-1,60),ROW()-1,FALSE))</f>
        <v>555.83100000000002</v>
      </c>
      <c r="BC66">
        <f ca="1">IF(AND(ISNUMBER($BC$295),$B$183=1),$BC$295,HLOOKUP(INDIRECT(ADDRESS(2,COLUMN())),OFFSET($BN$2,0,0,ROW()-1,60),ROW()-1,FALSE))</f>
        <v>593.202</v>
      </c>
      <c r="BD66">
        <f ca="1">IF(AND(ISNUMBER($BD$295),$B$183=1),$BD$295,HLOOKUP(INDIRECT(ADDRESS(2,COLUMN())),OFFSET($BN$2,0,0,ROW()-1,60),ROW()-1,FALSE))</f>
        <v>594.322</v>
      </c>
      <c r="BE66">
        <f ca="1">IF(AND(ISNUMBER($BE$295),$B$183=1),$BE$295,HLOOKUP(INDIRECT(ADDRESS(2,COLUMN())),OFFSET($BN$2,0,0,ROW()-1,60),ROW()-1,FALSE))</f>
        <v>577.93399999999997</v>
      </c>
      <c r="BF66">
        <f ca="1">IF(AND(ISNUMBER($BF$295),$B$183=1),$BF$295,HLOOKUP(INDIRECT(ADDRESS(2,COLUMN())),OFFSET($BN$2,0,0,ROW()-1,60),ROW()-1,FALSE))</f>
        <v>649.44100000000003</v>
      </c>
      <c r="BG66">
        <f ca="1">IF(AND(ISNUMBER($BG$295),$B$183=1),$BG$295,HLOOKUP(INDIRECT(ADDRESS(2,COLUMN())),OFFSET($BN$2,0,0,ROW()-1,60),ROW()-1,FALSE))</f>
        <v>539.822</v>
      </c>
      <c r="BH66">
        <f ca="1">IF(AND(ISNUMBER($BH$295),$B$183=1),$BH$295,HLOOKUP(INDIRECT(ADDRESS(2,COLUMN())),OFFSET($BN$2,0,0,ROW()-1,60),ROW()-1,FALSE))</f>
        <v>572.55100000000004</v>
      </c>
      <c r="BI66">
        <f ca="1">IF(AND(ISNUMBER($BI$295),$B$183=1),$BI$295,HLOOKUP(INDIRECT(ADDRESS(2,COLUMN())),OFFSET($BN$2,0,0,ROW()-1,60),ROW()-1,FALSE))</f>
        <v>539.649</v>
      </c>
      <c r="BJ66">
        <f ca="1">IF(AND(ISNUMBER($BJ$295),$B$183=1),$BJ$295,HLOOKUP(INDIRECT(ADDRESS(2,COLUMN())),OFFSET($BN$2,0,0,ROW()-1,60),ROW()-1,FALSE))</f>
        <v>503.2235</v>
      </c>
      <c r="BK66">
        <f ca="1">IF(AND(ISNUMBER($BK$295),$B$183=1),$BK$295,HLOOKUP(INDIRECT(ADDRESS(2,COLUMN())),OFFSET($BN$2,0,0,ROW()-1,60),ROW()-1,FALSE))</f>
        <v>460.89600000000002</v>
      </c>
      <c r="BL66">
        <f ca="1">IF(AND(ISNUMBER($BL$295),$B$183=1),$BL$295,HLOOKUP(INDIRECT(ADDRESS(2,COLUMN())),OFFSET($BN$2,0,0,ROW()-1,60),ROW()-1,FALSE))</f>
        <v>455.988</v>
      </c>
      <c r="BM66">
        <f ca="1">IF(AND(ISNUMBER($BM$295),$B$183=1),$BM$295,HLOOKUP(INDIRECT(ADDRESS(2,COLUMN())),OFFSET($BN$2,0,0,ROW()-1,60),ROW()-1,FALSE))</f>
        <v>461.96600000000001</v>
      </c>
      <c r="BN66">
        <f>1308.677386</f>
        <v>1308.6773860000001</v>
      </c>
      <c r="BO66">
        <f>1178.818</f>
        <v>1178.818</v>
      </c>
      <c r="BP66">
        <f>1182.825</f>
        <v>1182.825</v>
      </c>
      <c r="BQ66">
        <f>1396.092</f>
        <v>1396.0920000000001</v>
      </c>
      <c r="BR66">
        <f>1107.846</f>
        <v>1107.846</v>
      </c>
      <c r="BS66">
        <f>1090.076</f>
        <v>1090.076</v>
      </c>
      <c r="BT66">
        <f>1239.864</f>
        <v>1239.864</v>
      </c>
      <c r="BU66">
        <f>1430.757</f>
        <v>1430.7570000000001</v>
      </c>
      <c r="BV66">
        <f>1427.719</f>
        <v>1427.7190000000001</v>
      </c>
      <c r="BW66">
        <f>1049.522</f>
        <v>1049.5219999999999</v>
      </c>
      <c r="BX66">
        <f>1086.249</f>
        <v>1086.249</v>
      </c>
      <c r="BY66">
        <f>990.734</f>
        <v>990.73400000000004</v>
      </c>
      <c r="BZ66">
        <f>1395.188</f>
        <v>1395.1880000000001</v>
      </c>
      <c r="CA66">
        <f>929.383</f>
        <v>929.38300000000004</v>
      </c>
      <c r="CB66">
        <f>1951.099</f>
        <v>1951.0989999999999</v>
      </c>
      <c r="CC66">
        <f>867.048</f>
        <v>867.048</v>
      </c>
      <c r="CD66">
        <f>859.811</f>
        <v>859.81100000000004</v>
      </c>
      <c r="CE66">
        <f>795.746</f>
        <v>795.74599999999998</v>
      </c>
      <c r="CF66">
        <f>790.409</f>
        <v>790.40899999999999</v>
      </c>
      <c r="CG66">
        <f>769.667</f>
        <v>769.66700000000003</v>
      </c>
      <c r="CH66">
        <f>759.642</f>
        <v>759.64200000000005</v>
      </c>
      <c r="CI66">
        <f>738.22</f>
        <v>738.22</v>
      </c>
      <c r="CJ66">
        <f>697.384</f>
        <v>697.38400000000001</v>
      </c>
      <c r="CK66">
        <f>689.224</f>
        <v>689.22400000000005</v>
      </c>
      <c r="CL66">
        <f>849.285</f>
        <v>849.28499999999997</v>
      </c>
      <c r="CM66">
        <f>622.848</f>
        <v>622.84799999999996</v>
      </c>
      <c r="CN66">
        <f>639.717</f>
        <v>639.71699999999998</v>
      </c>
      <c r="CO66">
        <f>579.424</f>
        <v>579.42399999999998</v>
      </c>
      <c r="CP66">
        <f>529.61</f>
        <v>529.61</v>
      </c>
      <c r="CQ66">
        <f>415.757</f>
        <v>415.75700000000001</v>
      </c>
      <c r="CR66">
        <f>413.094</f>
        <v>413.09399999999999</v>
      </c>
      <c r="CS66">
        <f>323.606</f>
        <v>323.60599999999999</v>
      </c>
      <c r="CT66">
        <f>175.549</f>
        <v>175.54900000000001</v>
      </c>
      <c r="CU66">
        <f>153.534</f>
        <v>153.53399999999999</v>
      </c>
      <c r="CV66">
        <f>157.898</f>
        <v>157.898</v>
      </c>
      <c r="CW66">
        <f>263.917</f>
        <v>263.91699999999997</v>
      </c>
      <c r="CX66">
        <f>512.368</f>
        <v>512.36800000000005</v>
      </c>
      <c r="CY66">
        <f>668.414</f>
        <v>668.41399999999999</v>
      </c>
      <c r="CZ66">
        <f>664.539</f>
        <v>664.53899999999999</v>
      </c>
      <c r="DA66">
        <f>717.269</f>
        <v>717.26900000000001</v>
      </c>
      <c r="DB66">
        <f>654.1875</f>
        <v>654.1875</v>
      </c>
      <c r="DC66">
        <f>633.739</f>
        <v>633.73900000000003</v>
      </c>
      <c r="DD66">
        <f>672.281</f>
        <v>672.28099999999995</v>
      </c>
      <c r="DE66">
        <f>627.846</f>
        <v>627.846</v>
      </c>
      <c r="DF66">
        <f>606.646</f>
        <v>606.64599999999996</v>
      </c>
      <c r="DG66">
        <f>596.194</f>
        <v>596.19399999999996</v>
      </c>
      <c r="DH66">
        <f>656.632</f>
        <v>656.63199999999995</v>
      </c>
      <c r="DI66">
        <f>589.058</f>
        <v>589.05799999999999</v>
      </c>
      <c r="DJ66">
        <f>555.831</f>
        <v>555.83100000000002</v>
      </c>
      <c r="DK66">
        <f>593.202</f>
        <v>593.202</v>
      </c>
      <c r="DL66">
        <f>594.322</f>
        <v>594.322</v>
      </c>
      <c r="DM66">
        <f>577.934</f>
        <v>577.93399999999997</v>
      </c>
      <c r="DN66">
        <f>649.441</f>
        <v>649.44100000000003</v>
      </c>
      <c r="DO66">
        <f>539.822</f>
        <v>539.822</v>
      </c>
      <c r="DP66">
        <f>572.551</f>
        <v>572.55100000000004</v>
      </c>
      <c r="DQ66">
        <f>539.649</f>
        <v>539.649</v>
      </c>
      <c r="DR66">
        <f>503.2235</f>
        <v>503.2235</v>
      </c>
      <c r="DS66">
        <f>460.896</f>
        <v>460.89600000000002</v>
      </c>
      <c r="DT66">
        <f>455.988</f>
        <v>455.988</v>
      </c>
      <c r="DU66">
        <f>461.966</f>
        <v>461.96600000000001</v>
      </c>
    </row>
    <row r="67" spans="1:125">
      <c r="A67" t="str">
        <f>"    Free Standing Retail REITs"</f>
        <v xml:space="preserve">    Free Standing Retail REITs</v>
      </c>
      <c r="B67" t="str">
        <f>"RECFTDFS Index"</f>
        <v>RECFTDFS Index</v>
      </c>
      <c r="C67" t="str">
        <f t="shared" si="14"/>
        <v>PR005</v>
      </c>
      <c r="D67" t="str">
        <f t="shared" si="15"/>
        <v>PX_LAST</v>
      </c>
      <c r="E67" t="str">
        <f t="shared" si="16"/>
        <v>动态</v>
      </c>
      <c r="F67">
        <f ca="1">IF(AND(ISNUMBER($F$296),$B$183=1),$F$296,HLOOKUP(INDIRECT(ADDRESS(2,COLUMN())),OFFSET($BN$2,0,0,ROW()-1,60),ROW()-1,FALSE))</f>
        <v>458.0312399</v>
      </c>
      <c r="G67">
        <f ca="1">IF(AND(ISNUMBER($G$296),$B$183=1),$G$296,HLOOKUP(INDIRECT(ADDRESS(2,COLUMN())),OFFSET($BN$2,0,0,ROW()-1,60),ROW()-1,FALSE))</f>
        <v>445.46499999999997</v>
      </c>
      <c r="H67">
        <f ca="1">IF(AND(ISNUMBER($H$296),$B$183=1),$H$296,HLOOKUP(INDIRECT(ADDRESS(2,COLUMN())),OFFSET($BN$2,0,0,ROW()-1,60),ROW()-1,FALSE))</f>
        <v>438.23200000000003</v>
      </c>
      <c r="I67">
        <f ca="1">IF(AND(ISNUMBER($I$296),$B$183=1),$I$296,HLOOKUP(INDIRECT(ADDRESS(2,COLUMN())),OFFSET($BN$2,0,0,ROW()-1,60),ROW()-1,FALSE))</f>
        <v>433.00099999999998</v>
      </c>
      <c r="J67">
        <f ca="1">IF(AND(ISNUMBER($J$296),$B$183=1),$J$296,HLOOKUP(INDIRECT(ADDRESS(2,COLUMN())),OFFSET($BN$2,0,0,ROW()-1,60),ROW()-1,FALSE))</f>
        <v>432.36500000000001</v>
      </c>
      <c r="K67">
        <f ca="1">IF(AND(ISNUMBER($K$296),$B$183=1),$K$296,HLOOKUP(INDIRECT(ADDRESS(2,COLUMN())),OFFSET($BN$2,0,0,ROW()-1,60),ROW()-1,FALSE))</f>
        <v>411.24400000000003</v>
      </c>
      <c r="L67">
        <f ca="1">IF(AND(ISNUMBER($L$296),$B$183=1),$L$296,HLOOKUP(INDIRECT(ADDRESS(2,COLUMN())),OFFSET($BN$2,0,0,ROW()-1,60),ROW()-1,FALSE))</f>
        <v>363.47</v>
      </c>
      <c r="M67">
        <f ca="1">IF(AND(ISNUMBER($M$296),$B$183=1),$M$296,HLOOKUP(INDIRECT(ADDRESS(2,COLUMN())),OFFSET($BN$2,0,0,ROW()-1,60),ROW()-1,FALSE))</f>
        <v>388.88900000000001</v>
      </c>
      <c r="N67">
        <f ca="1">IF(AND(ISNUMBER($N$296),$B$183=1),$N$296,HLOOKUP(INDIRECT(ADDRESS(2,COLUMN())),OFFSET($BN$2,0,0,ROW()-1,60),ROW()-1,FALSE))</f>
        <v>342.95</v>
      </c>
      <c r="O67">
        <f ca="1">IF(AND(ISNUMBER($O$296),$B$183=1),$O$296,HLOOKUP(INDIRECT(ADDRESS(2,COLUMN())),OFFSET($BN$2,0,0,ROW()-1,60),ROW()-1,FALSE))</f>
        <v>331.584</v>
      </c>
      <c r="P67">
        <f ca="1">IF(AND(ISNUMBER($P$296),$B$183=1),$P$296,HLOOKUP(INDIRECT(ADDRESS(2,COLUMN())),OFFSET($BN$2,0,0,ROW()-1,60),ROW()-1,FALSE))</f>
        <v>319.42700000000002</v>
      </c>
      <c r="Q67">
        <f ca="1">IF(AND(ISNUMBER($Q$296),$B$183=1),$Q$296,HLOOKUP(INDIRECT(ADDRESS(2,COLUMN())),OFFSET($BN$2,0,0,ROW()-1,60),ROW()-1,FALSE))</f>
        <v>319.96300000000002</v>
      </c>
      <c r="R67">
        <f ca="1">IF(AND(ISNUMBER($R$296),$B$183=1),$R$296,HLOOKUP(INDIRECT(ADDRESS(2,COLUMN())),OFFSET($BN$2,0,0,ROW()-1,60),ROW()-1,FALSE))</f>
        <v>532.41899999999998</v>
      </c>
      <c r="S67">
        <f ca="1">IF(AND(ISNUMBER($S$296),$B$183=1),$S$296,HLOOKUP(INDIRECT(ADDRESS(2,COLUMN())),OFFSET($BN$2,0,0,ROW()-1,60),ROW()-1,FALSE))</f>
        <v>528.16700000000003</v>
      </c>
      <c r="T67">
        <f ca="1">IF(AND(ISNUMBER($T$296),$B$183=1),$T$296,HLOOKUP(INDIRECT(ADDRESS(2,COLUMN())),OFFSET($BN$2,0,0,ROW()-1,60),ROW()-1,FALSE))</f>
        <v>498.09699999999998</v>
      </c>
      <c r="U67">
        <f ca="1">IF(AND(ISNUMBER($U$296),$B$183=1),$U$296,HLOOKUP(INDIRECT(ADDRESS(2,COLUMN())),OFFSET($BN$2,0,0,ROW()-1,60),ROW()-1,FALSE))</f>
        <v>471.00700000000001</v>
      </c>
      <c r="V67">
        <f ca="1">IF(AND(ISNUMBER($V$296),$B$183=1),$V$296,HLOOKUP(INDIRECT(ADDRESS(2,COLUMN())),OFFSET($BN$2,0,0,ROW()-1,60),ROW()-1,FALSE))</f>
        <v>322.05900000000003</v>
      </c>
      <c r="W67">
        <f ca="1">IF(AND(ISNUMBER($W$296),$B$183=1),$W$296,HLOOKUP(INDIRECT(ADDRESS(2,COLUMN())),OFFSET($BN$2,0,0,ROW()-1,60),ROW()-1,FALSE))</f>
        <v>382.322</v>
      </c>
      <c r="X67">
        <f ca="1">IF(AND(ISNUMBER($X$296),$B$183=1),$X$296,HLOOKUP(INDIRECT(ADDRESS(2,COLUMN())),OFFSET($BN$2,0,0,ROW()-1,60),ROW()-1,FALSE))</f>
        <v>327.51799999999997</v>
      </c>
      <c r="Y67">
        <f ca="1">IF(AND(ISNUMBER($Y$296),$B$183=1),$Y$296,HLOOKUP(INDIRECT(ADDRESS(2,COLUMN())),OFFSET($BN$2,0,0,ROW()-1,60),ROW()-1,FALSE))</f>
        <v>231.685</v>
      </c>
      <c r="Z67">
        <f ca="1">IF(AND(ISNUMBER($Z$296),$B$183=1),$Z$296,HLOOKUP(INDIRECT(ADDRESS(2,COLUMN())),OFFSET($BN$2,0,0,ROW()-1,60),ROW()-1,FALSE))</f>
        <v>128.14400000000001</v>
      </c>
      <c r="AA67">
        <f ca="1">IF(AND(ISNUMBER($AA$296),$B$183=1),$AA$296,HLOOKUP(INDIRECT(ADDRESS(2,COLUMN())),OFFSET($BN$2,0,0,ROW()-1,60),ROW()-1,FALSE))</f>
        <v>154.91300000000001</v>
      </c>
      <c r="AB67">
        <f ca="1">IF(AND(ISNUMBER($AB$296),$B$183=1),$AB$296,HLOOKUP(INDIRECT(ADDRESS(2,COLUMN())),OFFSET($BN$2,0,0,ROW()-1,60),ROW()-1,FALSE))</f>
        <v>149.358</v>
      </c>
      <c r="AC67">
        <f ca="1">IF(AND(ISNUMBER($AC$296),$B$183=1),$AC$296,HLOOKUP(INDIRECT(ADDRESS(2,COLUMN())),OFFSET($BN$2,0,0,ROW()-1,60),ROW()-1,FALSE))</f>
        <v>138.55099999999999</v>
      </c>
      <c r="AD67">
        <f ca="1">IF(AND(ISNUMBER($AD$296),$B$183=1),$AD$296,HLOOKUP(INDIRECT(ADDRESS(2,COLUMN())),OFFSET($BN$2,0,0,ROW()-1,60),ROW()-1,FALSE))</f>
        <v>124.099</v>
      </c>
      <c r="AE67">
        <f ca="1">IF(AND(ISNUMBER($AE$296),$B$183=1),$AE$296,HLOOKUP(INDIRECT(ADDRESS(2,COLUMN())),OFFSET($BN$2,0,0,ROW()-1,60),ROW()-1,FALSE))</f>
        <v>116.652</v>
      </c>
      <c r="AF67">
        <f ca="1">IF(AND(ISNUMBER($AF$296),$B$183=1),$AF$296,HLOOKUP(INDIRECT(ADDRESS(2,COLUMN())),OFFSET($BN$2,0,0,ROW()-1,60),ROW()-1,FALSE))</f>
        <v>115.898</v>
      </c>
      <c r="AG67">
        <f ca="1">IF(AND(ISNUMBER($AG$296),$B$183=1),$AG$296,HLOOKUP(INDIRECT(ADDRESS(2,COLUMN())),OFFSET($BN$2,0,0,ROW()-1,60),ROW()-1,FALSE))</f>
        <v>110.179</v>
      </c>
      <c r="AH67">
        <f ca="1">IF(AND(ISNUMBER($AH$296),$B$183=1),$AH$296,HLOOKUP(INDIRECT(ADDRESS(2,COLUMN())),OFFSET($BN$2,0,0,ROW()-1,60),ROW()-1,FALSE))</f>
        <v>106.76900000000001</v>
      </c>
      <c r="AI67">
        <f ca="1">IF(AND(ISNUMBER($AI$296),$B$183=1),$AI$296,HLOOKUP(INDIRECT(ADDRESS(2,COLUMN())),OFFSET($BN$2,0,0,ROW()-1,60),ROW()-1,FALSE))</f>
        <v>103.79300000000001</v>
      </c>
      <c r="AJ67">
        <f ca="1">IF(AND(ISNUMBER($AJ$296),$B$183=1),$AJ$296,HLOOKUP(INDIRECT(ADDRESS(2,COLUMN())),OFFSET($BN$2,0,0,ROW()-1,60),ROW()-1,FALSE))</f>
        <v>100.84699999999999</v>
      </c>
      <c r="AK67">
        <f ca="1">IF(AND(ISNUMBER($AK$296),$B$183=1),$AK$296,HLOOKUP(INDIRECT(ADDRESS(2,COLUMN())),OFFSET($BN$2,0,0,ROW()-1,60),ROW()-1,FALSE))</f>
        <v>99.765000000000001</v>
      </c>
      <c r="AL67">
        <f ca="1">IF(AND(ISNUMBER($AL$296),$B$183=1),$AL$296,HLOOKUP(INDIRECT(ADDRESS(2,COLUMN())),OFFSET($BN$2,0,0,ROW()-1,60),ROW()-1,FALSE))</f>
        <v>99.616</v>
      </c>
      <c r="AM67">
        <f ca="1">IF(AND(ISNUMBER($AM$296),$B$183=1),$AM$296,HLOOKUP(INDIRECT(ADDRESS(2,COLUMN())),OFFSET($BN$2,0,0,ROW()-1,60),ROW()-1,FALSE))</f>
        <v>98.457999999999998</v>
      </c>
      <c r="AN67">
        <f ca="1">IF(AND(ISNUMBER($AN$296),$B$183=1),$AN$296,HLOOKUP(INDIRECT(ADDRESS(2,COLUMN())),OFFSET($BN$2,0,0,ROW()-1,60),ROW()-1,FALSE))</f>
        <v>98.113</v>
      </c>
      <c r="AO67">
        <f ca="1">IF(AND(ISNUMBER($AO$296),$B$183=1),$AO$296,HLOOKUP(INDIRECT(ADDRESS(2,COLUMN())),OFFSET($BN$2,0,0,ROW()-1,60),ROW()-1,FALSE))</f>
        <v>97.63</v>
      </c>
      <c r="AP67">
        <f ca="1">IF(AND(ISNUMBER($AP$296),$B$183=1),$AP$296,HLOOKUP(INDIRECT(ADDRESS(2,COLUMN())),OFFSET($BN$2,0,0,ROW()-1,60),ROW()-1,FALSE))</f>
        <v>106.7855</v>
      </c>
      <c r="AQ67">
        <f ca="1">IF(AND(ISNUMBER($AQ$296),$B$183=1),$AQ$296,HLOOKUP(INDIRECT(ADDRESS(2,COLUMN())),OFFSET($BN$2,0,0,ROW()-1,60),ROW()-1,FALSE))</f>
        <v>114.81399999999999</v>
      </c>
      <c r="AR67">
        <f ca="1">IF(AND(ISNUMBER($AR$296),$B$183=1),$AR$296,HLOOKUP(INDIRECT(ADDRESS(2,COLUMN())),OFFSET($BN$2,0,0,ROW()-1,60),ROW()-1,FALSE))</f>
        <v>117.194</v>
      </c>
      <c r="AS67">
        <f ca="1">IF(AND(ISNUMBER($AS$296),$B$183=1),$AS$296,HLOOKUP(INDIRECT(ADDRESS(2,COLUMN())),OFFSET($BN$2,0,0,ROW()-1,60),ROW()-1,FALSE))</f>
        <v>92.055999999999997</v>
      </c>
      <c r="AT67">
        <f ca="1">IF(AND(ISNUMBER($AT$296),$B$183=1),$AT$296,HLOOKUP(INDIRECT(ADDRESS(2,COLUMN())),OFFSET($BN$2,0,0,ROW()-1,60),ROW()-1,FALSE))</f>
        <v>95.525999999999996</v>
      </c>
      <c r="AU67">
        <f ca="1">IF(AND(ISNUMBER($AU$296),$B$183=1),$AU$296,HLOOKUP(INDIRECT(ADDRESS(2,COLUMN())),OFFSET($BN$2,0,0,ROW()-1,60),ROW()-1,FALSE))</f>
        <v>97.62</v>
      </c>
      <c r="AV67">
        <f ca="1">IF(AND(ISNUMBER($AV$296),$B$183=1),$AV$296,HLOOKUP(INDIRECT(ADDRESS(2,COLUMN())),OFFSET($BN$2,0,0,ROW()-1,60),ROW()-1,FALSE))</f>
        <v>98.474000000000004</v>
      </c>
      <c r="AW67">
        <f ca="1">IF(AND(ISNUMBER($AW$296),$B$183=1),$AW$296,HLOOKUP(INDIRECT(ADDRESS(2,COLUMN())),OFFSET($BN$2,0,0,ROW()-1,60),ROW()-1,FALSE))</f>
        <v>81.948999999999998</v>
      </c>
      <c r="AX67">
        <f ca="1">IF(AND(ISNUMBER($AX$296),$B$183=1),$AX$296,HLOOKUP(INDIRECT(ADDRESS(2,COLUMN())),OFFSET($BN$2,0,0,ROW()-1,60),ROW()-1,FALSE))</f>
        <v>102.133</v>
      </c>
      <c r="AY67">
        <f ca="1">IF(AND(ISNUMBER($AY$296),$B$183=1),$AY$296,HLOOKUP(INDIRECT(ADDRESS(2,COLUMN())),OFFSET($BN$2,0,0,ROW()-1,60),ROW()-1,FALSE))</f>
        <v>112.59699999999999</v>
      </c>
      <c r="AZ67">
        <f ca="1">IF(AND(ISNUMBER($AZ$296),$B$183=1),$AZ$296,HLOOKUP(INDIRECT(ADDRESS(2,COLUMN())),OFFSET($BN$2,0,0,ROW()-1,60),ROW()-1,FALSE))</f>
        <v>105.92700000000001</v>
      </c>
      <c r="BA67">
        <f ca="1">IF(AND(ISNUMBER($BA$296),$B$183=1),$BA$296,HLOOKUP(INDIRECT(ADDRESS(2,COLUMN())),OFFSET($BN$2,0,0,ROW()-1,60),ROW()-1,FALSE))</f>
        <v>99.245999999999995</v>
      </c>
      <c r="BB67">
        <f ca="1">IF(AND(ISNUMBER($BB$296),$B$183=1),$BB$296,HLOOKUP(INDIRECT(ADDRESS(2,COLUMN())),OFFSET($BN$2,0,0,ROW()-1,60),ROW()-1,FALSE))</f>
        <v>116.86199999999999</v>
      </c>
      <c r="BC67">
        <f ca="1">IF(AND(ISNUMBER($BC$296),$B$183=1),$BC$296,HLOOKUP(INDIRECT(ADDRESS(2,COLUMN())),OFFSET($BN$2,0,0,ROW()-1,60),ROW()-1,FALSE))</f>
        <v>90.301000000000002</v>
      </c>
      <c r="BD67">
        <f ca="1">IF(AND(ISNUMBER($BD$296),$B$183=1),$BD$296,HLOOKUP(INDIRECT(ADDRESS(2,COLUMN())),OFFSET($BN$2,0,0,ROW()-1,60),ROW()-1,FALSE))</f>
        <v>89.387</v>
      </c>
      <c r="BE67">
        <f ca="1">IF(AND(ISNUMBER($BE$296),$B$183=1),$BE$296,HLOOKUP(INDIRECT(ADDRESS(2,COLUMN())),OFFSET($BN$2,0,0,ROW()-1,60),ROW()-1,FALSE))</f>
        <v>84.49</v>
      </c>
      <c r="BF67">
        <f ca="1">IF(AND(ISNUMBER($BF$296),$B$183=1),$BF$296,HLOOKUP(INDIRECT(ADDRESS(2,COLUMN())),OFFSET($BN$2,0,0,ROW()-1,60),ROW()-1,FALSE))</f>
        <v>61.841000000000001</v>
      </c>
      <c r="BG67">
        <f ca="1">IF(AND(ISNUMBER($BG$296),$B$183=1),$BG$296,HLOOKUP(INDIRECT(ADDRESS(2,COLUMN())),OFFSET($BN$2,0,0,ROW()-1,60),ROW()-1,FALSE))</f>
        <v>69.688000000000002</v>
      </c>
      <c r="BH67">
        <f ca="1">IF(AND(ISNUMBER($BH$296),$B$183=1),$BH$296,HLOOKUP(INDIRECT(ADDRESS(2,COLUMN())),OFFSET($BN$2,0,0,ROW()-1,60),ROW()-1,FALSE))</f>
        <v>69.183999999999997</v>
      </c>
      <c r="BI67">
        <f ca="1">IF(AND(ISNUMBER($BI$296),$B$183=1),$BI$296,HLOOKUP(INDIRECT(ADDRESS(2,COLUMN())),OFFSET($BN$2,0,0,ROW()-1,60),ROW()-1,FALSE))</f>
        <v>67.597999999999999</v>
      </c>
      <c r="BJ67">
        <f ca="1">IF(AND(ISNUMBER($BJ$296),$B$183=1),$BJ$296,HLOOKUP(INDIRECT(ADDRESS(2,COLUMN())),OFFSET($BN$2,0,0,ROW()-1,60),ROW()-1,FALSE))</f>
        <v>65.602999999999994</v>
      </c>
      <c r="BK67">
        <f ca="1">IF(AND(ISNUMBER($BK$296),$B$183=1),$BK$296,HLOOKUP(INDIRECT(ADDRESS(2,COLUMN())),OFFSET($BN$2,0,0,ROW()-1,60),ROW()-1,FALSE))</f>
        <v>62.322000000000003</v>
      </c>
      <c r="BL67">
        <f ca="1">IF(AND(ISNUMBER($BL$296),$B$183=1),$BL$296,HLOOKUP(INDIRECT(ADDRESS(2,COLUMN())),OFFSET($BN$2,0,0,ROW()-1,60),ROW()-1,FALSE))</f>
        <v>57.390999999999998</v>
      </c>
      <c r="BM67">
        <f ca="1">IF(AND(ISNUMBER($BM$296),$B$183=1),$BM$296,HLOOKUP(INDIRECT(ADDRESS(2,COLUMN())),OFFSET($BN$2,0,0,ROW()-1,60),ROW()-1,FALSE))</f>
        <v>57.505000000000003</v>
      </c>
      <c r="BN67">
        <f>458.0312399</f>
        <v>458.0312399</v>
      </c>
      <c r="BO67">
        <f>445.465</f>
        <v>445.46499999999997</v>
      </c>
      <c r="BP67">
        <f>438.232</f>
        <v>438.23200000000003</v>
      </c>
      <c r="BQ67">
        <f>433.001</f>
        <v>433.00099999999998</v>
      </c>
      <c r="BR67">
        <f>432.365</f>
        <v>432.36500000000001</v>
      </c>
      <c r="BS67">
        <f>411.244</f>
        <v>411.24400000000003</v>
      </c>
      <c r="BT67">
        <f>363.47</f>
        <v>363.47</v>
      </c>
      <c r="BU67">
        <f>388.889</f>
        <v>388.88900000000001</v>
      </c>
      <c r="BV67">
        <f>342.95</f>
        <v>342.95</v>
      </c>
      <c r="BW67">
        <f>331.584</f>
        <v>331.584</v>
      </c>
      <c r="BX67">
        <f>319.427</f>
        <v>319.42700000000002</v>
      </c>
      <c r="BY67">
        <f>319.963</f>
        <v>319.96300000000002</v>
      </c>
      <c r="BZ67">
        <f>532.419</f>
        <v>532.41899999999998</v>
      </c>
      <c r="CA67">
        <f>528.167</f>
        <v>528.16700000000003</v>
      </c>
      <c r="CB67">
        <f>498.097</f>
        <v>498.09699999999998</v>
      </c>
      <c r="CC67">
        <f>471.007</f>
        <v>471.00700000000001</v>
      </c>
      <c r="CD67">
        <f>322.059</f>
        <v>322.05900000000003</v>
      </c>
      <c r="CE67">
        <f>382.322</f>
        <v>382.322</v>
      </c>
      <c r="CF67">
        <f>327.518</f>
        <v>327.51799999999997</v>
      </c>
      <c r="CG67">
        <f>231.685</f>
        <v>231.685</v>
      </c>
      <c r="CH67">
        <f>128.144</f>
        <v>128.14400000000001</v>
      </c>
      <c r="CI67">
        <f>154.913</f>
        <v>154.91300000000001</v>
      </c>
      <c r="CJ67">
        <f>149.358</f>
        <v>149.358</v>
      </c>
      <c r="CK67">
        <f>138.551</f>
        <v>138.55099999999999</v>
      </c>
      <c r="CL67">
        <f>124.099</f>
        <v>124.099</v>
      </c>
      <c r="CM67">
        <f>116.652</f>
        <v>116.652</v>
      </c>
      <c r="CN67">
        <f>115.898</f>
        <v>115.898</v>
      </c>
      <c r="CO67">
        <f>110.179</f>
        <v>110.179</v>
      </c>
      <c r="CP67">
        <f>106.769</f>
        <v>106.76900000000001</v>
      </c>
      <c r="CQ67">
        <f>103.793</f>
        <v>103.79300000000001</v>
      </c>
      <c r="CR67">
        <f>100.847</f>
        <v>100.84699999999999</v>
      </c>
      <c r="CS67">
        <f>99.765</f>
        <v>99.765000000000001</v>
      </c>
      <c r="CT67">
        <f>99.616</f>
        <v>99.616</v>
      </c>
      <c r="CU67">
        <f>98.458</f>
        <v>98.457999999999998</v>
      </c>
      <c r="CV67">
        <f>98.113</f>
        <v>98.113</v>
      </c>
      <c r="CW67">
        <f>97.63</f>
        <v>97.63</v>
      </c>
      <c r="CX67">
        <f>106.7855</f>
        <v>106.7855</v>
      </c>
      <c r="CY67">
        <f>114.814</f>
        <v>114.81399999999999</v>
      </c>
      <c r="CZ67">
        <f>117.194</f>
        <v>117.194</v>
      </c>
      <c r="DA67">
        <f>92.056</f>
        <v>92.055999999999997</v>
      </c>
      <c r="DB67">
        <f>95.526</f>
        <v>95.525999999999996</v>
      </c>
      <c r="DC67">
        <f>97.62</f>
        <v>97.62</v>
      </c>
      <c r="DD67">
        <f>98.474</f>
        <v>98.474000000000004</v>
      </c>
      <c r="DE67">
        <f>81.949</f>
        <v>81.948999999999998</v>
      </c>
      <c r="DF67">
        <f>102.133</f>
        <v>102.133</v>
      </c>
      <c r="DG67">
        <f>112.597</f>
        <v>112.59699999999999</v>
      </c>
      <c r="DH67">
        <f>105.927</f>
        <v>105.92700000000001</v>
      </c>
      <c r="DI67">
        <f>99.246</f>
        <v>99.245999999999995</v>
      </c>
      <c r="DJ67">
        <f>116.862</f>
        <v>116.86199999999999</v>
      </c>
      <c r="DK67">
        <f>90.301</f>
        <v>90.301000000000002</v>
      </c>
      <c r="DL67">
        <f>89.387</f>
        <v>89.387</v>
      </c>
      <c r="DM67">
        <f>84.49</f>
        <v>84.49</v>
      </c>
      <c r="DN67">
        <f>61.841</f>
        <v>61.841000000000001</v>
      </c>
      <c r="DO67">
        <f>69.688</f>
        <v>69.688000000000002</v>
      </c>
      <c r="DP67">
        <f>69.184</f>
        <v>69.183999999999997</v>
      </c>
      <c r="DQ67">
        <f>67.598</f>
        <v>67.597999999999999</v>
      </c>
      <c r="DR67">
        <f>65.603</f>
        <v>65.602999999999994</v>
      </c>
      <c r="DS67">
        <f>62.322</f>
        <v>62.322000000000003</v>
      </c>
      <c r="DT67">
        <f>57.391</f>
        <v>57.390999999999998</v>
      </c>
      <c r="DU67">
        <f>57.505</f>
        <v>57.505000000000003</v>
      </c>
    </row>
    <row r="68" spans="1:125">
      <c r="A68" t="str">
        <f>"    Residential REITs"</f>
        <v xml:space="preserve">    Residential REITs</v>
      </c>
      <c r="B68" t="str">
        <f>"RECFTDRS Index"</f>
        <v>RECFTDRS Index</v>
      </c>
      <c r="C68" t="str">
        <f t="shared" si="14"/>
        <v>PR005</v>
      </c>
      <c r="D68" t="str">
        <f t="shared" si="15"/>
        <v>PX_LAST</v>
      </c>
      <c r="E68" t="str">
        <f t="shared" si="16"/>
        <v>动态</v>
      </c>
      <c r="F68">
        <f ca="1">IF(AND(ISNUMBER($F$297),$B$183=1),$F$297,HLOOKUP(INDIRECT(ADDRESS(2,COLUMN())),OFFSET($BN$2,0,0,ROW()-1,60),ROW()-1,FALSE))</f>
        <v>1262.0165119999999</v>
      </c>
      <c r="G68">
        <f ca="1">IF(AND(ISNUMBER($G$297),$B$183=1),$G$297,HLOOKUP(INDIRECT(ADDRESS(2,COLUMN())),OFFSET($BN$2,0,0,ROW()-1,60),ROW()-1,FALSE))</f>
        <v>1267.269</v>
      </c>
      <c r="H68">
        <f ca="1">IF(AND(ISNUMBER($H$297),$B$183=1),$H$297,HLOOKUP(INDIRECT(ADDRESS(2,COLUMN())),OFFSET($BN$2,0,0,ROW()-1,60),ROW()-1,FALSE))</f>
        <v>1217.9159999999999</v>
      </c>
      <c r="I68">
        <f ca="1">IF(AND(ISNUMBER($I$297),$B$183=1),$I$297,HLOOKUP(INDIRECT(ADDRESS(2,COLUMN())),OFFSET($BN$2,0,0,ROW()-1,60),ROW()-1,FALSE))</f>
        <v>1151.943</v>
      </c>
      <c r="J68">
        <f ca="1">IF(AND(ISNUMBER($J$297),$B$183=1),$J$297,HLOOKUP(INDIRECT(ADDRESS(2,COLUMN())),OFFSET($BN$2,0,0,ROW()-1,60),ROW()-1,FALSE))</f>
        <v>2238.2809999999999</v>
      </c>
      <c r="K68">
        <f ca="1">IF(AND(ISNUMBER($K$297),$B$183=1),$K$297,HLOOKUP(INDIRECT(ADDRESS(2,COLUMN())),OFFSET($BN$2,0,0,ROW()-1,60),ROW()-1,FALSE))</f>
        <v>1526.346</v>
      </c>
      <c r="L68">
        <f ca="1">IF(AND(ISNUMBER($L$297),$B$183=1),$L$297,HLOOKUP(INDIRECT(ADDRESS(2,COLUMN())),OFFSET($BN$2,0,0,ROW()-1,60),ROW()-1,FALSE))</f>
        <v>1090.8209999999999</v>
      </c>
      <c r="M68">
        <f ca="1">IF(AND(ISNUMBER($M$297),$B$183=1),$M$297,HLOOKUP(INDIRECT(ADDRESS(2,COLUMN())),OFFSET($BN$2,0,0,ROW()-1,60),ROW()-1,FALSE))</f>
        <v>4083.9560000000001</v>
      </c>
      <c r="N68">
        <f ca="1">IF(AND(ISNUMBER($N$297),$B$183=1),$N$297,HLOOKUP(INDIRECT(ADDRESS(2,COLUMN())),OFFSET($BN$2,0,0,ROW()-1,60),ROW()-1,FALSE))</f>
        <v>1021.991</v>
      </c>
      <c r="O68">
        <f ca="1">IF(AND(ISNUMBER($O$297),$B$183=1),$O$297,HLOOKUP(INDIRECT(ADDRESS(2,COLUMN())),OFFSET($BN$2,0,0,ROW()-1,60),ROW()-1,FALSE))</f>
        <v>1002.208</v>
      </c>
      <c r="P68">
        <f ca="1">IF(AND(ISNUMBER($P$297),$B$183=1),$P$297,HLOOKUP(INDIRECT(ADDRESS(2,COLUMN())),OFFSET($BN$2,0,0,ROW()-1,60),ROW()-1,FALSE))</f>
        <v>1066.7470000000001</v>
      </c>
      <c r="Q68">
        <f ca="1">IF(AND(ISNUMBER($Q$297),$B$183=1),$Q$297,HLOOKUP(INDIRECT(ADDRESS(2,COLUMN())),OFFSET($BN$2,0,0,ROW()-1,60),ROW()-1,FALSE))</f>
        <v>996.202</v>
      </c>
      <c r="R68">
        <f ca="1">IF(AND(ISNUMBER($R$297),$B$183=1),$R$297,HLOOKUP(INDIRECT(ADDRESS(2,COLUMN())),OFFSET($BN$2,0,0,ROW()-1,60),ROW()-1,FALSE))</f>
        <v>963.899</v>
      </c>
      <c r="S68">
        <f ca="1">IF(AND(ISNUMBER($S$297),$B$183=1),$S$297,HLOOKUP(INDIRECT(ADDRESS(2,COLUMN())),OFFSET($BN$2,0,0,ROW()-1,60),ROW()-1,FALSE))</f>
        <v>951.91700000000003</v>
      </c>
      <c r="T68">
        <f ca="1">IF(AND(ISNUMBER($T$297),$B$183=1),$T$297,HLOOKUP(INDIRECT(ADDRESS(2,COLUMN())),OFFSET($BN$2,0,0,ROW()-1,60),ROW()-1,FALSE))</f>
        <v>824.80200000000002</v>
      </c>
      <c r="U68">
        <f ca="1">IF(AND(ISNUMBER($U$297),$B$183=1),$U$297,HLOOKUP(INDIRECT(ADDRESS(2,COLUMN())),OFFSET($BN$2,0,0,ROW()-1,60),ROW()-1,FALSE))</f>
        <v>956.75900000000001</v>
      </c>
      <c r="V68">
        <f ca="1">IF(AND(ISNUMBER($V$297),$B$183=1),$V$297,HLOOKUP(INDIRECT(ADDRESS(2,COLUMN())),OFFSET($BN$2,0,0,ROW()-1,60),ROW()-1,FALSE))</f>
        <v>812.40300000000002</v>
      </c>
      <c r="W68">
        <f ca="1">IF(AND(ISNUMBER($W$297),$B$183=1),$W$297,HLOOKUP(INDIRECT(ADDRESS(2,COLUMN())),OFFSET($BN$2,0,0,ROW()-1,60),ROW()-1,FALSE))</f>
        <v>784.28700000000003</v>
      </c>
      <c r="X68">
        <f ca="1">IF(AND(ISNUMBER($X$297),$B$183=1),$X$297,HLOOKUP(INDIRECT(ADDRESS(2,COLUMN())),OFFSET($BN$2,0,0,ROW()-1,60),ROW()-1,FALSE))</f>
        <v>774.10599999999999</v>
      </c>
      <c r="Y68">
        <f ca="1">IF(AND(ISNUMBER($Y$297),$B$183=1),$Y$297,HLOOKUP(INDIRECT(ADDRESS(2,COLUMN())),OFFSET($BN$2,0,0,ROW()-1,60),ROW()-1,FALSE))</f>
        <v>814.28399999999999</v>
      </c>
      <c r="Z68">
        <f ca="1">IF(AND(ISNUMBER($Z$297),$B$183=1),$Z$297,HLOOKUP(INDIRECT(ADDRESS(2,COLUMN())),OFFSET($BN$2,0,0,ROW()-1,60),ROW()-1,FALSE))</f>
        <v>674.13699999999994</v>
      </c>
      <c r="AA68">
        <f ca="1">IF(AND(ISNUMBER($AA$297),$B$183=1),$AA$297,HLOOKUP(INDIRECT(ADDRESS(2,COLUMN())),OFFSET($BN$2,0,0,ROW()-1,60),ROW()-1,FALSE))</f>
        <v>639.63300000000004</v>
      </c>
      <c r="AB68">
        <f ca="1">IF(AND(ISNUMBER($AB$297),$B$183=1),$AB$297,HLOOKUP(INDIRECT(ADDRESS(2,COLUMN())),OFFSET($BN$2,0,0,ROW()-1,60),ROW()-1,FALSE))</f>
        <v>623.61099999999999</v>
      </c>
      <c r="AC68">
        <f ca="1">IF(AND(ISNUMBER($AC$297),$B$183=1),$AC$297,HLOOKUP(INDIRECT(ADDRESS(2,COLUMN())),OFFSET($BN$2,0,0,ROW()-1,60),ROW()-1,FALSE))</f>
        <v>661.76400000000001</v>
      </c>
      <c r="AD68">
        <f ca="1">IF(AND(ISNUMBER($AD$297),$B$183=1),$AD$297,HLOOKUP(INDIRECT(ADDRESS(2,COLUMN())),OFFSET($BN$2,0,0,ROW()-1,60),ROW()-1,FALSE))</f>
        <v>564.46199999999999</v>
      </c>
      <c r="AE68">
        <f ca="1">IF(AND(ISNUMBER($AE$297),$B$183=1),$AE$297,HLOOKUP(INDIRECT(ADDRESS(2,COLUMN())),OFFSET($BN$2,0,0,ROW()-1,60),ROW()-1,FALSE))</f>
        <v>551.97500000000002</v>
      </c>
      <c r="AF68">
        <f ca="1">IF(AND(ISNUMBER($AF$297),$B$183=1),$AF$297,HLOOKUP(INDIRECT(ADDRESS(2,COLUMN())),OFFSET($BN$2,0,0,ROW()-1,60),ROW()-1,FALSE))</f>
        <v>525.04200000000003</v>
      </c>
      <c r="AG68">
        <f ca="1">IF(AND(ISNUMBER($AG$297),$B$183=1),$AG$297,HLOOKUP(INDIRECT(ADDRESS(2,COLUMN())),OFFSET($BN$2,0,0,ROW()-1,60),ROW()-1,FALSE))</f>
        <v>544.89700000000005</v>
      </c>
      <c r="AH68">
        <f ca="1">IF(AND(ISNUMBER($AH$297),$B$183=1),$AH$297,HLOOKUP(INDIRECT(ADDRESS(2,COLUMN())),OFFSET($BN$2,0,0,ROW()-1,60),ROW()-1,FALSE))</f>
        <v>495.00099999999998</v>
      </c>
      <c r="AI68">
        <f ca="1">IF(AND(ISNUMBER($AI$297),$B$183=1),$AI$297,HLOOKUP(INDIRECT(ADDRESS(2,COLUMN())),OFFSET($BN$2,0,0,ROW()-1,60),ROW()-1,FALSE))</f>
        <v>489.94799999999998</v>
      </c>
      <c r="AJ68">
        <f ca="1">IF(AND(ISNUMBER($AJ$297),$B$183=1),$AJ$297,HLOOKUP(INDIRECT(ADDRESS(2,COLUMN())),OFFSET($BN$2,0,0,ROW()-1,60),ROW()-1,FALSE))</f>
        <v>485.04599999999999</v>
      </c>
      <c r="AK68">
        <f ca="1">IF(AND(ISNUMBER($AK$297),$B$183=1),$AK$297,HLOOKUP(INDIRECT(ADDRESS(2,COLUMN())),OFFSET($BN$2,0,0,ROW()-1,60),ROW()-1,FALSE))</f>
        <v>468.86</v>
      </c>
      <c r="AL68">
        <f ca="1">IF(AND(ISNUMBER($AL$297),$B$183=1),$AL$297,HLOOKUP(INDIRECT(ADDRESS(2,COLUMN())),OFFSET($BN$2,0,0,ROW()-1,60),ROW()-1,FALSE))</f>
        <v>482.54599999999999</v>
      </c>
      <c r="AM68">
        <f ca="1">IF(AND(ISNUMBER($AM$297),$B$183=1),$AM$297,HLOOKUP(INDIRECT(ADDRESS(2,COLUMN())),OFFSET($BN$2,0,0,ROW()-1,60),ROW()-1,FALSE))</f>
        <v>510.69400000000002</v>
      </c>
      <c r="AN68">
        <f ca="1">IF(AND(ISNUMBER($AN$297),$B$183=1),$AN$297,HLOOKUP(INDIRECT(ADDRESS(2,COLUMN())),OFFSET($BN$2,0,0,ROW()-1,60),ROW()-1,FALSE))</f>
        <v>549.096</v>
      </c>
      <c r="AO68">
        <f ca="1">IF(AND(ISNUMBER($AO$297),$B$183=1),$AO$297,HLOOKUP(INDIRECT(ADDRESS(2,COLUMN())),OFFSET($BN$2,0,0,ROW()-1,60),ROW()-1,FALSE))</f>
        <v>635.30899999999997</v>
      </c>
      <c r="AP68">
        <f ca="1">IF(AND(ISNUMBER($AP$297),$B$183=1),$AP$297,HLOOKUP(INDIRECT(ADDRESS(2,COLUMN())),OFFSET($BN$2,0,0,ROW()-1,60),ROW()-1,FALSE))</f>
        <v>706.91849999999999</v>
      </c>
      <c r="AQ68">
        <f ca="1">IF(AND(ISNUMBER($AQ$297),$B$183=1),$AQ$297,HLOOKUP(INDIRECT(ADDRESS(2,COLUMN())),OFFSET($BN$2,0,0,ROW()-1,60),ROW()-1,FALSE))</f>
        <v>693.24900000000002</v>
      </c>
      <c r="AR68">
        <f ca="1">IF(AND(ISNUMBER($AR$297),$B$183=1),$AR$297,HLOOKUP(INDIRECT(ADDRESS(2,COLUMN())),OFFSET($BN$2,0,0,ROW()-1,60),ROW()-1,FALSE))</f>
        <v>664.80499999999995</v>
      </c>
      <c r="AS68">
        <f ca="1">IF(AND(ISNUMBER($AS$297),$B$183=1),$AS$297,HLOOKUP(INDIRECT(ADDRESS(2,COLUMN())),OFFSET($BN$2,0,0,ROW()-1,60),ROW()-1,FALSE))</f>
        <v>644.01499999999999</v>
      </c>
      <c r="AT68">
        <f ca="1">IF(AND(ISNUMBER($AT$297),$B$183=1),$AT$297,HLOOKUP(INDIRECT(ADDRESS(2,COLUMN())),OFFSET($BN$2,0,0,ROW()-1,60),ROW()-1,FALSE))</f>
        <v>725.55</v>
      </c>
      <c r="AU68">
        <f ca="1">IF(AND(ISNUMBER($AU$297),$B$183=1),$AU$297,HLOOKUP(INDIRECT(ADDRESS(2,COLUMN())),OFFSET($BN$2,0,0,ROW()-1,60),ROW()-1,FALSE))</f>
        <v>662.58799999999997</v>
      </c>
      <c r="AV68">
        <f ca="1">IF(AND(ISNUMBER($AV$297),$B$183=1),$AV$297,HLOOKUP(INDIRECT(ADDRESS(2,COLUMN())),OFFSET($BN$2,0,0,ROW()-1,60),ROW()-1,FALSE))</f>
        <v>738.89700000000005</v>
      </c>
      <c r="AW68">
        <f ca="1">IF(AND(ISNUMBER($AW$297),$B$183=1),$AW$297,HLOOKUP(INDIRECT(ADDRESS(2,COLUMN())),OFFSET($BN$2,0,0,ROW()-1,60),ROW()-1,FALSE))</f>
        <v>775.27499999999998</v>
      </c>
      <c r="AX68">
        <f ca="1">IF(AND(ISNUMBER($AX$297),$B$183=1),$AX$297,HLOOKUP(INDIRECT(ADDRESS(2,COLUMN())),OFFSET($BN$2,0,0,ROW()-1,60),ROW()-1,FALSE))</f>
        <v>698.904</v>
      </c>
      <c r="AY68">
        <f ca="1">IF(AND(ISNUMBER($AY$297),$B$183=1),$AY$297,HLOOKUP(INDIRECT(ADDRESS(2,COLUMN())),OFFSET($BN$2,0,0,ROW()-1,60),ROW()-1,FALSE))</f>
        <v>711.34799999999996</v>
      </c>
      <c r="AZ68">
        <f ca="1">IF(AND(ISNUMBER($AZ$297),$B$183=1),$AZ$297,HLOOKUP(INDIRECT(ADDRESS(2,COLUMN())),OFFSET($BN$2,0,0,ROW()-1,60),ROW()-1,FALSE))</f>
        <v>721.149</v>
      </c>
      <c r="BA68">
        <f ca="1">IF(AND(ISNUMBER($BA$297),$B$183=1),$BA$297,HLOOKUP(INDIRECT(ADDRESS(2,COLUMN())),OFFSET($BN$2,0,0,ROW()-1,60),ROW()-1,FALSE))</f>
        <v>705.702</v>
      </c>
      <c r="BB68">
        <f ca="1">IF(AND(ISNUMBER($BB$297),$B$183=1),$BB$297,HLOOKUP(INDIRECT(ADDRESS(2,COLUMN())),OFFSET($BN$2,0,0,ROW()-1,60),ROW()-1,FALSE))</f>
        <v>702.67</v>
      </c>
      <c r="BC68">
        <f ca="1">IF(AND(ISNUMBER($BC$297),$B$183=1),$BC$297,HLOOKUP(INDIRECT(ADDRESS(2,COLUMN())),OFFSET($BN$2,0,0,ROW()-1,60),ROW()-1,FALSE))</f>
        <v>723.19200000000001</v>
      </c>
      <c r="BD68">
        <f ca="1">IF(AND(ISNUMBER($BD$297),$B$183=1),$BD$297,HLOOKUP(INDIRECT(ADDRESS(2,COLUMN())),OFFSET($BN$2,0,0,ROW()-1,60),ROW()-1,FALSE))</f>
        <v>707.66200000000003</v>
      </c>
      <c r="BE68">
        <f ca="1">IF(AND(ISNUMBER($BE$297),$B$183=1),$BE$297,HLOOKUP(INDIRECT(ADDRESS(2,COLUMN())),OFFSET($BN$2,0,0,ROW()-1,60),ROW()-1,FALSE))</f>
        <v>744.84</v>
      </c>
      <c r="BF68">
        <f ca="1">IF(AND(ISNUMBER($BF$297),$B$183=1),$BF$297,HLOOKUP(INDIRECT(ADDRESS(2,COLUMN())),OFFSET($BN$2,0,0,ROW()-1,60),ROW()-1,FALSE))</f>
        <v>949.76199999999994</v>
      </c>
      <c r="BG68">
        <f ca="1">IF(AND(ISNUMBER($BG$297),$B$183=1),$BG$297,HLOOKUP(INDIRECT(ADDRESS(2,COLUMN())),OFFSET($BN$2,0,0,ROW()-1,60),ROW()-1,FALSE))</f>
        <v>737.65499999999997</v>
      </c>
      <c r="BH68">
        <f ca="1">IF(AND(ISNUMBER($BH$297),$B$183=1),$BH$297,HLOOKUP(INDIRECT(ADDRESS(2,COLUMN())),OFFSET($BN$2,0,0,ROW()-1,60),ROW()-1,FALSE))</f>
        <v>743.73900000000003</v>
      </c>
      <c r="BI68">
        <f ca="1">IF(AND(ISNUMBER($BI$297),$B$183=1),$BI$297,HLOOKUP(INDIRECT(ADDRESS(2,COLUMN())),OFFSET($BN$2,0,0,ROW()-1,60),ROW()-1,FALSE))</f>
        <v>929.78300000000002</v>
      </c>
      <c r="BJ68">
        <f ca="1">IF(AND(ISNUMBER($BJ$297),$B$183=1),$BJ$297,HLOOKUP(INDIRECT(ADDRESS(2,COLUMN())),OFFSET($BN$2,0,0,ROW()-1,60),ROW()-1,FALSE))</f>
        <v>814.67499999999995</v>
      </c>
      <c r="BK68">
        <f ca="1">IF(AND(ISNUMBER($BK$297),$B$183=1),$BK$297,HLOOKUP(INDIRECT(ADDRESS(2,COLUMN())),OFFSET($BN$2,0,0,ROW()-1,60),ROW()-1,FALSE))</f>
        <v>724.26700000000005</v>
      </c>
      <c r="BL68">
        <f ca="1">IF(AND(ISNUMBER($BL$297),$B$183=1),$BL$297,HLOOKUP(INDIRECT(ADDRESS(2,COLUMN())),OFFSET($BN$2,0,0,ROW()-1,60),ROW()-1,FALSE))</f>
        <v>742.005</v>
      </c>
      <c r="BM68">
        <f ca="1">IF(AND(ISNUMBER($BM$297),$B$183=1),$BM$297,HLOOKUP(INDIRECT(ADDRESS(2,COLUMN())),OFFSET($BN$2,0,0,ROW()-1,60),ROW()-1,FALSE))</f>
        <v>751.476</v>
      </c>
      <c r="BN68">
        <f>1262.016512</f>
        <v>1262.0165119999999</v>
      </c>
      <c r="BO68">
        <f>1267.269</f>
        <v>1267.269</v>
      </c>
      <c r="BP68">
        <f>1217.916</f>
        <v>1217.9159999999999</v>
      </c>
      <c r="BQ68">
        <f>1151.943</f>
        <v>1151.943</v>
      </c>
      <c r="BR68">
        <f>2238.281</f>
        <v>2238.2809999999999</v>
      </c>
      <c r="BS68">
        <f>1526.346</f>
        <v>1526.346</v>
      </c>
      <c r="BT68">
        <f>1090.821</f>
        <v>1090.8209999999999</v>
      </c>
      <c r="BU68">
        <f>4083.956</f>
        <v>4083.9560000000001</v>
      </c>
      <c r="BV68">
        <f>1021.991</f>
        <v>1021.991</v>
      </c>
      <c r="BW68">
        <f>1002.208</f>
        <v>1002.208</v>
      </c>
      <c r="BX68">
        <f>1066.747</f>
        <v>1066.7470000000001</v>
      </c>
      <c r="BY68">
        <f>996.202</f>
        <v>996.202</v>
      </c>
      <c r="BZ68">
        <f>963.899</f>
        <v>963.899</v>
      </c>
      <c r="CA68">
        <f>951.917</f>
        <v>951.91700000000003</v>
      </c>
      <c r="CB68">
        <f>824.802</f>
        <v>824.80200000000002</v>
      </c>
      <c r="CC68">
        <f>956.759</f>
        <v>956.75900000000001</v>
      </c>
      <c r="CD68">
        <f>812.403</f>
        <v>812.40300000000002</v>
      </c>
      <c r="CE68">
        <f>784.287</f>
        <v>784.28700000000003</v>
      </c>
      <c r="CF68">
        <f>774.106</f>
        <v>774.10599999999999</v>
      </c>
      <c r="CG68">
        <f>814.284</f>
        <v>814.28399999999999</v>
      </c>
      <c r="CH68">
        <f>674.137</f>
        <v>674.13699999999994</v>
      </c>
      <c r="CI68">
        <f>639.633</f>
        <v>639.63300000000004</v>
      </c>
      <c r="CJ68">
        <f>623.611</f>
        <v>623.61099999999999</v>
      </c>
      <c r="CK68">
        <f>661.764</f>
        <v>661.76400000000001</v>
      </c>
      <c r="CL68">
        <f>564.462</f>
        <v>564.46199999999999</v>
      </c>
      <c r="CM68">
        <f>551.975</f>
        <v>551.97500000000002</v>
      </c>
      <c r="CN68">
        <f>525.042</f>
        <v>525.04200000000003</v>
      </c>
      <c r="CO68">
        <f>544.897</f>
        <v>544.89700000000005</v>
      </c>
      <c r="CP68">
        <f>495.001</f>
        <v>495.00099999999998</v>
      </c>
      <c r="CQ68">
        <f>489.948</f>
        <v>489.94799999999998</v>
      </c>
      <c r="CR68">
        <f>485.046</f>
        <v>485.04599999999999</v>
      </c>
      <c r="CS68">
        <f>468.86</f>
        <v>468.86</v>
      </c>
      <c r="CT68">
        <f>482.546</f>
        <v>482.54599999999999</v>
      </c>
      <c r="CU68">
        <f>510.694</f>
        <v>510.69400000000002</v>
      </c>
      <c r="CV68">
        <f>549.096</f>
        <v>549.096</v>
      </c>
      <c r="CW68">
        <f>635.309</f>
        <v>635.30899999999997</v>
      </c>
      <c r="CX68">
        <f>706.9185</f>
        <v>706.91849999999999</v>
      </c>
      <c r="CY68">
        <f>693.249</f>
        <v>693.24900000000002</v>
      </c>
      <c r="CZ68">
        <f>664.805</f>
        <v>664.80499999999995</v>
      </c>
      <c r="DA68">
        <f>644.015</f>
        <v>644.01499999999999</v>
      </c>
      <c r="DB68">
        <f>725.55</f>
        <v>725.55</v>
      </c>
      <c r="DC68">
        <f>662.588</f>
        <v>662.58799999999997</v>
      </c>
      <c r="DD68">
        <f>738.897</f>
        <v>738.89700000000005</v>
      </c>
      <c r="DE68">
        <f>775.275</f>
        <v>775.27499999999998</v>
      </c>
      <c r="DF68">
        <f>698.904</f>
        <v>698.904</v>
      </c>
      <c r="DG68">
        <f>711.348</f>
        <v>711.34799999999996</v>
      </c>
      <c r="DH68">
        <f>721.149</f>
        <v>721.149</v>
      </c>
      <c r="DI68">
        <f>705.702</f>
        <v>705.702</v>
      </c>
      <c r="DJ68">
        <f>702.67</f>
        <v>702.67</v>
      </c>
      <c r="DK68">
        <f>723.192</f>
        <v>723.19200000000001</v>
      </c>
      <c r="DL68">
        <f>707.662</f>
        <v>707.66200000000003</v>
      </c>
      <c r="DM68">
        <f>744.84</f>
        <v>744.84</v>
      </c>
      <c r="DN68">
        <f>949.762</f>
        <v>949.76199999999994</v>
      </c>
      <c r="DO68">
        <f>737.655</f>
        <v>737.65499999999997</v>
      </c>
      <c r="DP68">
        <f>743.739</f>
        <v>743.73900000000003</v>
      </c>
      <c r="DQ68">
        <f>929.783</f>
        <v>929.78300000000002</v>
      </c>
      <c r="DR68">
        <f>814.675</f>
        <v>814.67499999999995</v>
      </c>
      <c r="DS68">
        <f>724.267</f>
        <v>724.26700000000005</v>
      </c>
      <c r="DT68">
        <f>742.005</f>
        <v>742.005</v>
      </c>
      <c r="DU68">
        <f>751.476</f>
        <v>751.476</v>
      </c>
    </row>
    <row r="69" spans="1:125">
      <c r="A69" t="str">
        <f>"    Apartment REITs"</f>
        <v xml:space="preserve">    Apartment REITs</v>
      </c>
      <c r="B69" t="str">
        <f>"RECFTDAP Index"</f>
        <v>RECFTDAP Index</v>
      </c>
      <c r="C69" t="str">
        <f t="shared" si="14"/>
        <v>PR005</v>
      </c>
      <c r="D69" t="str">
        <f t="shared" si="15"/>
        <v>PX_LAST</v>
      </c>
      <c r="E69" t="str">
        <f t="shared" si="16"/>
        <v>动态</v>
      </c>
      <c r="F69">
        <f ca="1">IF(AND(ISNUMBER($F$298),$B$183=1),$F$298,HLOOKUP(INDIRECT(ADDRESS(2,COLUMN())),OFFSET($BN$2,0,0,ROW()-1,60),ROW()-1,FALSE))</f>
        <v>1075.9775500000001</v>
      </c>
      <c r="G69">
        <f ca="1">IF(AND(ISNUMBER($G$298),$B$183=1),$G$298,HLOOKUP(INDIRECT(ADDRESS(2,COLUMN())),OFFSET($BN$2,0,0,ROW()-1,60),ROW()-1,FALSE))</f>
        <v>1054.354</v>
      </c>
      <c r="H69">
        <f ca="1">IF(AND(ISNUMBER($H$298),$B$183=1),$H$298,HLOOKUP(INDIRECT(ADDRESS(2,COLUMN())),OFFSET($BN$2,0,0,ROW()-1,60),ROW()-1,FALSE))</f>
        <v>1020.494</v>
      </c>
      <c r="I69">
        <f ca="1">IF(AND(ISNUMBER($I$298),$B$183=1),$I$298,HLOOKUP(INDIRECT(ADDRESS(2,COLUMN())),OFFSET($BN$2,0,0,ROW()-1,60),ROW()-1,FALSE))</f>
        <v>990.07899999999995</v>
      </c>
      <c r="J69">
        <f ca="1">IF(AND(ISNUMBER($J$298),$B$183=1),$J$298,HLOOKUP(INDIRECT(ADDRESS(2,COLUMN())),OFFSET($BN$2,0,0,ROW()-1,60),ROW()-1,FALSE))</f>
        <v>2077.6089999999999</v>
      </c>
      <c r="K69">
        <f ca="1">IF(AND(ISNUMBER($K$298),$B$183=1),$K$298,HLOOKUP(INDIRECT(ADDRESS(2,COLUMN())),OFFSET($BN$2,0,0,ROW()-1,60),ROW()-1,FALSE))</f>
        <v>1365.3869999999999</v>
      </c>
      <c r="L69">
        <f ca="1">IF(AND(ISNUMBER($L$298),$B$183=1),$L$298,HLOOKUP(INDIRECT(ADDRESS(2,COLUMN())),OFFSET($BN$2,0,0,ROW()-1,60),ROW()-1,FALSE))</f>
        <v>941.64599999999996</v>
      </c>
      <c r="M69">
        <f ca="1">IF(AND(ISNUMBER($M$298),$B$183=1),$M$298,HLOOKUP(INDIRECT(ADDRESS(2,COLUMN())),OFFSET($BN$2,0,0,ROW()-1,60),ROW()-1,FALSE))</f>
        <v>3969.8850000000002</v>
      </c>
      <c r="N69">
        <f ca="1">IF(AND(ISNUMBER($N$298),$B$183=1),$N$298,HLOOKUP(INDIRECT(ADDRESS(2,COLUMN())),OFFSET($BN$2,0,0,ROW()-1,60),ROW()-1,FALSE))</f>
        <v>884.58500000000004</v>
      </c>
      <c r="O69">
        <f ca="1">IF(AND(ISNUMBER($O$298),$B$183=1),$O$298,HLOOKUP(INDIRECT(ADDRESS(2,COLUMN())),OFFSET($BN$2,0,0,ROW()-1,60),ROW()-1,FALSE))</f>
        <v>882.11199999999997</v>
      </c>
      <c r="P69">
        <f ca="1">IF(AND(ISNUMBER($P$298),$B$183=1),$P$298,HLOOKUP(INDIRECT(ADDRESS(2,COLUMN())),OFFSET($BN$2,0,0,ROW()-1,60),ROW()-1,FALSE))</f>
        <v>950.46500000000003</v>
      </c>
      <c r="Q69">
        <f ca="1">IF(AND(ISNUMBER($Q$298),$B$183=1),$Q$298,HLOOKUP(INDIRECT(ADDRESS(2,COLUMN())),OFFSET($BN$2,0,0,ROW()-1,60),ROW()-1,FALSE))</f>
        <v>889.70600000000002</v>
      </c>
      <c r="R69">
        <f ca="1">IF(AND(ISNUMBER($R$298),$B$183=1),$R$298,HLOOKUP(INDIRECT(ADDRESS(2,COLUMN())),OFFSET($BN$2,0,0,ROW()-1,60),ROW()-1,FALSE))</f>
        <v>861.52599999999995</v>
      </c>
      <c r="S69">
        <f ca="1">IF(AND(ISNUMBER($S$298),$B$183=1),$S$298,HLOOKUP(INDIRECT(ADDRESS(2,COLUMN())),OFFSET($BN$2,0,0,ROW()-1,60),ROW()-1,FALSE))</f>
        <v>860.25800000000004</v>
      </c>
      <c r="T69">
        <f ca="1">IF(AND(ISNUMBER($T$298),$B$183=1),$T$298,HLOOKUP(INDIRECT(ADDRESS(2,COLUMN())),OFFSET($BN$2,0,0,ROW()-1,60),ROW()-1,FALSE))</f>
        <v>735.43</v>
      </c>
      <c r="U69">
        <f ca="1">IF(AND(ISNUMBER($U$298),$B$183=1),$U$298,HLOOKUP(INDIRECT(ADDRESS(2,COLUMN())),OFFSET($BN$2,0,0,ROW()-1,60),ROW()-1,FALSE))</f>
        <v>880.279</v>
      </c>
      <c r="V69">
        <f ca="1">IF(AND(ISNUMBER($V$298),$B$183=1),$V$298,HLOOKUP(INDIRECT(ADDRESS(2,COLUMN())),OFFSET($BN$2,0,0,ROW()-1,60),ROW()-1,FALSE))</f>
        <v>748.65099999999995</v>
      </c>
      <c r="W69">
        <f ca="1">IF(AND(ISNUMBER($W$298),$B$183=1),$W$298,HLOOKUP(INDIRECT(ADDRESS(2,COLUMN())),OFFSET($BN$2,0,0,ROW()-1,60),ROW()-1,FALSE))</f>
        <v>724.23699999999997</v>
      </c>
      <c r="X69">
        <f ca="1">IF(AND(ISNUMBER($X$298),$B$183=1),$X$298,HLOOKUP(INDIRECT(ADDRESS(2,COLUMN())),OFFSET($BN$2,0,0,ROW()-1,60),ROW()-1,FALSE))</f>
        <v>719.59199999999998</v>
      </c>
      <c r="Y69">
        <f ca="1">IF(AND(ISNUMBER($Y$298),$B$183=1),$Y$298,HLOOKUP(INDIRECT(ADDRESS(2,COLUMN())),OFFSET($BN$2,0,0,ROW()-1,60),ROW()-1,FALSE))</f>
        <v>785.21600000000001</v>
      </c>
      <c r="Z69">
        <f ca="1">IF(AND(ISNUMBER($Z$298),$B$183=1),$Z$298,HLOOKUP(INDIRECT(ADDRESS(2,COLUMN())),OFFSET($BN$2,0,0,ROW()-1,60),ROW()-1,FALSE))</f>
        <v>605.64400000000001</v>
      </c>
      <c r="AA69">
        <f ca="1">IF(AND(ISNUMBER($AA$298),$B$183=1),$AA$298,HLOOKUP(INDIRECT(ADDRESS(2,COLUMN())),OFFSET($BN$2,0,0,ROW()-1,60),ROW()-1,FALSE))</f>
        <v>593.48699999999997</v>
      </c>
      <c r="AB69">
        <f ca="1">IF(AND(ISNUMBER($AB$298),$B$183=1),$AB$298,HLOOKUP(INDIRECT(ADDRESS(2,COLUMN())),OFFSET($BN$2,0,0,ROW()-1,60),ROW()-1,FALSE))</f>
        <v>577.33299999999997</v>
      </c>
      <c r="AC69">
        <f ca="1">IF(AND(ISNUMBER($AC$298),$B$183=1),$AC$298,HLOOKUP(INDIRECT(ADDRESS(2,COLUMN())),OFFSET($BN$2,0,0,ROW()-1,60),ROW()-1,FALSE))</f>
        <v>621.71299999999997</v>
      </c>
      <c r="AD69">
        <f ca="1">IF(AND(ISNUMBER($AD$298),$B$183=1),$AD$298,HLOOKUP(INDIRECT(ADDRESS(2,COLUMN())),OFFSET($BN$2,0,0,ROW()-1,60),ROW()-1,FALSE))</f>
        <v>524.72400000000005</v>
      </c>
      <c r="AE69">
        <f ca="1">IF(AND(ISNUMBER($AE$298),$B$183=1),$AE$298,HLOOKUP(INDIRECT(ADDRESS(2,COLUMN())),OFFSET($BN$2,0,0,ROW()-1,60),ROW()-1,FALSE))</f>
        <v>513.50300000000004</v>
      </c>
      <c r="AF69">
        <f ca="1">IF(AND(ISNUMBER($AF$298),$B$183=1),$AF$298,HLOOKUP(INDIRECT(ADDRESS(2,COLUMN())),OFFSET($BN$2,0,0,ROW()-1,60),ROW()-1,FALSE))</f>
        <v>490.517</v>
      </c>
      <c r="AG69">
        <f ca="1">IF(AND(ISNUMBER($AG$298),$B$183=1),$AG$298,HLOOKUP(INDIRECT(ADDRESS(2,COLUMN())),OFFSET($BN$2,0,0,ROW()-1,60),ROW()-1,FALSE))</f>
        <v>513.255</v>
      </c>
      <c r="AH69">
        <f ca="1">IF(AND(ISNUMBER($AH$298),$B$183=1),$AH$298,HLOOKUP(INDIRECT(ADDRESS(2,COLUMN())),OFFSET($BN$2,0,0,ROW()-1,60),ROW()-1,FALSE))</f>
        <v>464.17599999999999</v>
      </c>
      <c r="AI69">
        <f ca="1">IF(AND(ISNUMBER($AI$298),$B$183=1),$AI$298,HLOOKUP(INDIRECT(ADDRESS(2,COLUMN())),OFFSET($BN$2,0,0,ROW()-1,60),ROW()-1,FALSE))</f>
        <v>459.471</v>
      </c>
      <c r="AJ69">
        <f ca="1">IF(AND(ISNUMBER($AJ$298),$B$183=1),$AJ$298,HLOOKUP(INDIRECT(ADDRESS(2,COLUMN())),OFFSET($BN$2,0,0,ROW()-1,60),ROW()-1,FALSE))</f>
        <v>454.82</v>
      </c>
      <c r="AK69">
        <f ca="1">IF(AND(ISNUMBER($AK$298),$B$183=1),$AK$298,HLOOKUP(INDIRECT(ADDRESS(2,COLUMN())),OFFSET($BN$2,0,0,ROW()-1,60),ROW()-1,FALSE))</f>
        <v>438.79199999999997</v>
      </c>
      <c r="AL69">
        <f ca="1">IF(AND(ISNUMBER($AL$298),$B$183=1),$AL$298,HLOOKUP(INDIRECT(ADDRESS(2,COLUMN())),OFFSET($BN$2,0,0,ROW()-1,60),ROW()-1,FALSE))</f>
        <v>452.55700000000002</v>
      </c>
      <c r="AM69">
        <f ca="1">IF(AND(ISNUMBER($AM$298),$B$183=1),$AM$298,HLOOKUP(INDIRECT(ADDRESS(2,COLUMN())),OFFSET($BN$2,0,0,ROW()-1,60),ROW()-1,FALSE))</f>
        <v>483.82</v>
      </c>
      <c r="AN69">
        <f ca="1">IF(AND(ISNUMBER($AN$298),$B$183=1),$AN$298,HLOOKUP(INDIRECT(ADDRESS(2,COLUMN())),OFFSET($BN$2,0,0,ROW()-1,60),ROW()-1,FALSE))</f>
        <v>522.31600000000003</v>
      </c>
      <c r="AO69">
        <f ca="1">IF(AND(ISNUMBER($AO$298),$B$183=1),$AO$298,HLOOKUP(INDIRECT(ADDRESS(2,COLUMN())),OFFSET($BN$2,0,0,ROW()-1,60),ROW()-1,FALSE))</f>
        <v>610.16099999999994</v>
      </c>
      <c r="AP69">
        <f ca="1">IF(AND(ISNUMBER($AP$298),$B$183=1),$AP$298,HLOOKUP(INDIRECT(ADDRESS(2,COLUMN())),OFFSET($BN$2,0,0,ROW()-1,60),ROW()-1,FALSE))</f>
        <v>681.79650000000004</v>
      </c>
      <c r="AQ69">
        <f ca="1">IF(AND(ISNUMBER($AQ$298),$B$183=1),$AQ$298,HLOOKUP(INDIRECT(ADDRESS(2,COLUMN())),OFFSET($BN$2,0,0,ROW()-1,60),ROW()-1,FALSE))</f>
        <v>665.43200000000002</v>
      </c>
      <c r="AR69">
        <f ca="1">IF(AND(ISNUMBER($AR$298),$B$183=1),$AR$298,HLOOKUP(INDIRECT(ADDRESS(2,COLUMN())),OFFSET($BN$2,0,0,ROW()-1,60),ROW()-1,FALSE))</f>
        <v>636.99199999999996</v>
      </c>
      <c r="AS69">
        <f ca="1">IF(AND(ISNUMBER($AS$298),$B$183=1),$AS$298,HLOOKUP(INDIRECT(ADDRESS(2,COLUMN())),OFFSET($BN$2,0,0,ROW()-1,60),ROW()-1,FALSE))</f>
        <v>617.07100000000003</v>
      </c>
      <c r="AT69">
        <f ca="1">IF(AND(ISNUMBER($AT$298),$B$183=1),$AT$298,HLOOKUP(INDIRECT(ADDRESS(2,COLUMN())),OFFSET($BN$2,0,0,ROW()-1,60),ROW()-1,FALSE))</f>
        <v>700.17449999999997</v>
      </c>
      <c r="AU69">
        <f ca="1">IF(AND(ISNUMBER($AU$298),$B$183=1),$AU$298,HLOOKUP(INDIRECT(ADDRESS(2,COLUMN())),OFFSET($BN$2,0,0,ROW()-1,60),ROW()-1,FALSE))</f>
        <v>636.17600000000004</v>
      </c>
      <c r="AV69">
        <f ca="1">IF(AND(ISNUMBER($AV$298),$B$183=1),$AV$298,HLOOKUP(INDIRECT(ADDRESS(2,COLUMN())),OFFSET($BN$2,0,0,ROW()-1,60),ROW()-1,FALSE))</f>
        <v>713.71900000000005</v>
      </c>
      <c r="AW69">
        <f ca="1">IF(AND(ISNUMBER($AW$298),$B$183=1),$AW$298,HLOOKUP(INDIRECT(ADDRESS(2,COLUMN())),OFFSET($BN$2,0,0,ROW()-1,60),ROW()-1,FALSE))</f>
        <v>752.51099999999997</v>
      </c>
      <c r="AX69">
        <f ca="1">IF(AND(ISNUMBER($AX$298),$B$183=1),$AX$298,HLOOKUP(INDIRECT(ADDRESS(2,COLUMN())),OFFSET($BN$2,0,0,ROW()-1,60),ROW()-1,FALSE))</f>
        <v>675.58600000000001</v>
      </c>
      <c r="AY69">
        <f ca="1">IF(AND(ISNUMBER($AY$298),$B$183=1),$AY$298,HLOOKUP(INDIRECT(ADDRESS(2,COLUMN())),OFFSET($BN$2,0,0,ROW()-1,60),ROW()-1,FALSE))</f>
        <v>688.08100000000002</v>
      </c>
      <c r="AZ69">
        <f ca="1">IF(AND(ISNUMBER($AZ$298),$B$183=1),$AZ$298,HLOOKUP(INDIRECT(ADDRESS(2,COLUMN())),OFFSET($BN$2,0,0,ROW()-1,60),ROW()-1,FALSE))</f>
        <v>696.98699999999997</v>
      </c>
      <c r="BA69">
        <f ca="1">IF(AND(ISNUMBER($BA$298),$B$183=1),$BA$298,HLOOKUP(INDIRECT(ADDRESS(2,COLUMN())),OFFSET($BN$2,0,0,ROW()-1,60),ROW()-1,FALSE))</f>
        <v>683.07100000000003</v>
      </c>
      <c r="BB69">
        <f ca="1">IF(AND(ISNUMBER($BB$298),$B$183=1),$BB$298,HLOOKUP(INDIRECT(ADDRESS(2,COLUMN())),OFFSET($BN$2,0,0,ROW()-1,60),ROW()-1,FALSE))</f>
        <v>677.09900000000005</v>
      </c>
      <c r="BC69">
        <f ca="1">IF(AND(ISNUMBER($BC$298),$B$183=1),$BC$298,HLOOKUP(INDIRECT(ADDRESS(2,COLUMN())),OFFSET($BN$2,0,0,ROW()-1,60),ROW()-1,FALSE))</f>
        <v>673.55600000000004</v>
      </c>
      <c r="BD69">
        <f ca="1">IF(AND(ISNUMBER($BD$298),$B$183=1),$BD$298,HLOOKUP(INDIRECT(ADDRESS(2,COLUMN())),OFFSET($BN$2,0,0,ROW()-1,60),ROW()-1,FALSE))</f>
        <v>670.16899999999998</v>
      </c>
      <c r="BE69">
        <f ca="1">IF(AND(ISNUMBER($BE$298),$B$183=1),$BE$298,HLOOKUP(INDIRECT(ADDRESS(2,COLUMN())),OFFSET($BN$2,0,0,ROW()-1,60),ROW()-1,FALSE))</f>
        <v>707.91099999999994</v>
      </c>
      <c r="BF69">
        <f ca="1">IF(AND(ISNUMBER($BF$298),$B$183=1),$BF$298,HLOOKUP(INDIRECT(ADDRESS(2,COLUMN())),OFFSET($BN$2,0,0,ROW()-1,60),ROW()-1,FALSE))</f>
        <v>914.15200000000004</v>
      </c>
      <c r="BG69">
        <f ca="1">IF(AND(ISNUMBER($BG$298),$B$183=1),$BG$298,HLOOKUP(INDIRECT(ADDRESS(2,COLUMN())),OFFSET($BN$2,0,0,ROW()-1,60),ROW()-1,FALSE))</f>
        <v>700.98500000000001</v>
      </c>
      <c r="BH69">
        <f ca="1">IF(AND(ISNUMBER($BH$298),$B$183=1),$BH$298,HLOOKUP(INDIRECT(ADDRESS(2,COLUMN())),OFFSET($BN$2,0,0,ROW()-1,60),ROW()-1,FALSE))</f>
        <v>714.76700000000005</v>
      </c>
      <c r="BI69">
        <f ca="1">IF(AND(ISNUMBER($BI$298),$B$183=1),$BI$298,HLOOKUP(INDIRECT(ADDRESS(2,COLUMN())),OFFSET($BN$2,0,0,ROW()-1,60),ROW()-1,FALSE))</f>
        <v>685.36800000000005</v>
      </c>
      <c r="BJ69">
        <f ca="1">IF(AND(ISNUMBER($BJ$298),$B$183=1),$BJ$298,HLOOKUP(INDIRECT(ADDRESS(2,COLUMN())),OFFSET($BN$2,0,0,ROW()-1,60),ROW()-1,FALSE))</f>
        <v>676.375</v>
      </c>
      <c r="BK69">
        <f ca="1">IF(AND(ISNUMBER($BK$298),$B$183=1),$BK$298,HLOOKUP(INDIRECT(ADDRESS(2,COLUMN())),OFFSET($BN$2,0,0,ROW()-1,60),ROW()-1,FALSE))</f>
        <v>691.69299999999998</v>
      </c>
      <c r="BL69">
        <f ca="1">IF(AND(ISNUMBER($BL$298),$B$183=1),$BL$298,HLOOKUP(INDIRECT(ADDRESS(2,COLUMN())),OFFSET($BN$2,0,0,ROW()-1,60),ROW()-1,FALSE))</f>
        <v>689.94100000000003</v>
      </c>
      <c r="BM69">
        <f ca="1">IF(AND(ISNUMBER($BM$298),$B$183=1),$BM$298,HLOOKUP(INDIRECT(ADDRESS(2,COLUMN())),OFFSET($BN$2,0,0,ROW()-1,60),ROW()-1,FALSE))</f>
        <v>700.70699999999999</v>
      </c>
      <c r="BN69">
        <f>1075.97755</f>
        <v>1075.9775500000001</v>
      </c>
      <c r="BO69">
        <f>1054.354</f>
        <v>1054.354</v>
      </c>
      <c r="BP69">
        <f>1020.494</f>
        <v>1020.494</v>
      </c>
      <c r="BQ69">
        <f>990.079</f>
        <v>990.07899999999995</v>
      </c>
      <c r="BR69">
        <f>2077.609</f>
        <v>2077.6089999999999</v>
      </c>
      <c r="BS69">
        <f>1365.387</f>
        <v>1365.3869999999999</v>
      </c>
      <c r="BT69">
        <f>941.646</f>
        <v>941.64599999999996</v>
      </c>
      <c r="BU69">
        <f>3969.885</f>
        <v>3969.8850000000002</v>
      </c>
      <c r="BV69">
        <f>884.585</f>
        <v>884.58500000000004</v>
      </c>
      <c r="BW69">
        <f>882.112</f>
        <v>882.11199999999997</v>
      </c>
      <c r="BX69">
        <f>950.465</f>
        <v>950.46500000000003</v>
      </c>
      <c r="BY69">
        <f>889.706</f>
        <v>889.70600000000002</v>
      </c>
      <c r="BZ69">
        <f>861.526</f>
        <v>861.52599999999995</v>
      </c>
      <c r="CA69">
        <f>860.258</f>
        <v>860.25800000000004</v>
      </c>
      <c r="CB69">
        <f>735.43</f>
        <v>735.43</v>
      </c>
      <c r="CC69">
        <f>880.279</f>
        <v>880.279</v>
      </c>
      <c r="CD69">
        <f>748.651</f>
        <v>748.65099999999995</v>
      </c>
      <c r="CE69">
        <f>724.237</f>
        <v>724.23699999999997</v>
      </c>
      <c r="CF69">
        <f>719.592</f>
        <v>719.59199999999998</v>
      </c>
      <c r="CG69">
        <f>785.216</f>
        <v>785.21600000000001</v>
      </c>
      <c r="CH69">
        <f>605.644</f>
        <v>605.64400000000001</v>
      </c>
      <c r="CI69">
        <f>593.487</f>
        <v>593.48699999999997</v>
      </c>
      <c r="CJ69">
        <f>577.333</f>
        <v>577.33299999999997</v>
      </c>
      <c r="CK69">
        <f>621.713</f>
        <v>621.71299999999997</v>
      </c>
      <c r="CL69">
        <f>524.724</f>
        <v>524.72400000000005</v>
      </c>
      <c r="CM69">
        <f>513.503</f>
        <v>513.50300000000004</v>
      </c>
      <c r="CN69">
        <f>490.517</f>
        <v>490.517</v>
      </c>
      <c r="CO69">
        <f>513.255</f>
        <v>513.255</v>
      </c>
      <c r="CP69">
        <f>464.176</f>
        <v>464.17599999999999</v>
      </c>
      <c r="CQ69">
        <f>459.471</f>
        <v>459.471</v>
      </c>
      <c r="CR69">
        <f>454.82</f>
        <v>454.82</v>
      </c>
      <c r="CS69">
        <f>438.792</f>
        <v>438.79199999999997</v>
      </c>
      <c r="CT69">
        <f>452.557</f>
        <v>452.55700000000002</v>
      </c>
      <c r="CU69">
        <f>483.82</f>
        <v>483.82</v>
      </c>
      <c r="CV69">
        <f>522.316</f>
        <v>522.31600000000003</v>
      </c>
      <c r="CW69">
        <f>610.161</f>
        <v>610.16099999999994</v>
      </c>
      <c r="CX69">
        <f>681.7965</f>
        <v>681.79650000000004</v>
      </c>
      <c r="CY69">
        <f>665.432</f>
        <v>665.43200000000002</v>
      </c>
      <c r="CZ69">
        <f>636.992</f>
        <v>636.99199999999996</v>
      </c>
      <c r="DA69">
        <f>617.071</f>
        <v>617.07100000000003</v>
      </c>
      <c r="DB69">
        <f>700.1745</f>
        <v>700.17449999999997</v>
      </c>
      <c r="DC69">
        <f>636.176</f>
        <v>636.17600000000004</v>
      </c>
      <c r="DD69">
        <f>713.719</f>
        <v>713.71900000000005</v>
      </c>
      <c r="DE69">
        <f>752.511</f>
        <v>752.51099999999997</v>
      </c>
      <c r="DF69">
        <f>675.586</f>
        <v>675.58600000000001</v>
      </c>
      <c r="DG69">
        <f>688.081</f>
        <v>688.08100000000002</v>
      </c>
      <c r="DH69">
        <f>696.987</f>
        <v>696.98699999999997</v>
      </c>
      <c r="DI69">
        <f>683.071</f>
        <v>683.07100000000003</v>
      </c>
      <c r="DJ69">
        <f>677.099</f>
        <v>677.09900000000005</v>
      </c>
      <c r="DK69">
        <f>673.556</f>
        <v>673.55600000000004</v>
      </c>
      <c r="DL69">
        <f>670.169</f>
        <v>670.16899999999998</v>
      </c>
      <c r="DM69">
        <f>707.911</f>
        <v>707.91099999999994</v>
      </c>
      <c r="DN69">
        <f>914.152</f>
        <v>914.15200000000004</v>
      </c>
      <c r="DO69">
        <f>700.985</f>
        <v>700.98500000000001</v>
      </c>
      <c r="DP69">
        <f>714.767</f>
        <v>714.76700000000005</v>
      </c>
      <c r="DQ69">
        <f>685.368</f>
        <v>685.36800000000005</v>
      </c>
      <c r="DR69">
        <f>676.375</f>
        <v>676.375</v>
      </c>
      <c r="DS69">
        <f>691.693</f>
        <v>691.69299999999998</v>
      </c>
      <c r="DT69">
        <f>689.941</f>
        <v>689.94100000000003</v>
      </c>
      <c r="DU69">
        <f>700.707</f>
        <v>700.70699999999999</v>
      </c>
    </row>
    <row r="70" spans="1:125">
      <c r="A70" t="str">
        <f>"    Manufactured Home REITs"</f>
        <v xml:space="preserve">    Manufactured Home REITs</v>
      </c>
      <c r="B70" t="str">
        <f>"RECFTDMH Index"</f>
        <v>RECFTDMH Index</v>
      </c>
      <c r="C70" t="str">
        <f t="shared" si="14"/>
        <v>PR005</v>
      </c>
      <c r="D70" t="str">
        <f t="shared" si="15"/>
        <v>PX_LAST</v>
      </c>
      <c r="E70" t="str">
        <f t="shared" si="16"/>
        <v>动态</v>
      </c>
      <c r="F70">
        <f ca="1">IF(AND(ISNUMBER($F$299),$B$183=1),$F$299,HLOOKUP(INDIRECT(ADDRESS(2,COLUMN())),OFFSET($BN$2,0,0,ROW()-1,60),ROW()-1,FALSE))</f>
        <v>118.38376820000001</v>
      </c>
      <c r="G70">
        <f ca="1">IF(AND(ISNUMBER($G$299),$B$183=1),$G$299,HLOOKUP(INDIRECT(ADDRESS(2,COLUMN())),OFFSET($BN$2,0,0,ROW()-1,60),ROW()-1,FALSE))</f>
        <v>116.349</v>
      </c>
      <c r="H70">
        <f ca="1">IF(AND(ISNUMBER($H$299),$B$183=1),$H$299,HLOOKUP(INDIRECT(ADDRESS(2,COLUMN())),OFFSET($BN$2,0,0,ROW()-1,60),ROW()-1,FALSE))</f>
        <v>111.682</v>
      </c>
      <c r="I70">
        <f ca="1">IF(AND(ISNUMBER($I$299),$B$183=1),$I$299,HLOOKUP(INDIRECT(ADDRESS(2,COLUMN())),OFFSET($BN$2,0,0,ROW()-1,60),ROW()-1,FALSE))</f>
        <v>104.36199999999999</v>
      </c>
      <c r="J70">
        <f ca="1">IF(AND(ISNUMBER($J$299),$B$183=1),$J$299,HLOOKUP(INDIRECT(ADDRESS(2,COLUMN())),OFFSET($BN$2,0,0,ROW()-1,60),ROW()-1,FALSE))</f>
        <v>103.346</v>
      </c>
      <c r="K70">
        <f ca="1">IF(AND(ISNUMBER($K$299),$B$183=1),$K$299,HLOOKUP(INDIRECT(ADDRESS(2,COLUMN())),OFFSET($BN$2,0,0,ROW()-1,60),ROW()-1,FALSE))</f>
        <v>101.015</v>
      </c>
      <c r="L70">
        <f ca="1">IF(AND(ISNUMBER($L$299),$B$183=1),$L$299,HLOOKUP(INDIRECT(ADDRESS(2,COLUMN())),OFFSET($BN$2,0,0,ROW()-1,60),ROW()-1,FALSE))</f>
        <v>96.935000000000002</v>
      </c>
      <c r="M70">
        <f ca="1">IF(AND(ISNUMBER($M$299),$B$183=1),$M$299,HLOOKUP(INDIRECT(ADDRESS(2,COLUMN())),OFFSET($BN$2,0,0,ROW()-1,60),ROW()-1,FALSE))</f>
        <v>88.195999999999998</v>
      </c>
      <c r="N70">
        <f ca="1">IF(AND(ISNUMBER($N$299),$B$183=1),$N$299,HLOOKUP(INDIRECT(ADDRESS(2,COLUMN())),OFFSET($BN$2,0,0,ROW()-1,60),ROW()-1,FALSE))</f>
        <v>84.406000000000006</v>
      </c>
      <c r="O70">
        <f ca="1">IF(AND(ISNUMBER($O$299),$B$183=1),$O$299,HLOOKUP(INDIRECT(ADDRESS(2,COLUMN())),OFFSET($BN$2,0,0,ROW()-1,60),ROW()-1,FALSE))</f>
        <v>84.594999999999999</v>
      </c>
      <c r="P70">
        <f ca="1">IF(AND(ISNUMBER($P$299),$B$183=1),$P$299,HLOOKUP(INDIRECT(ADDRESS(2,COLUMN())),OFFSET($BN$2,0,0,ROW()-1,60),ROW()-1,FALSE))</f>
        <v>85.156999999999996</v>
      </c>
      <c r="Q70">
        <f ca="1">IF(AND(ISNUMBER($Q$299),$B$183=1),$Q$299,HLOOKUP(INDIRECT(ADDRESS(2,COLUMN())),OFFSET($BN$2,0,0,ROW()-1,60),ROW()-1,FALSE))</f>
        <v>76.41</v>
      </c>
      <c r="R70">
        <f ca="1">IF(AND(ISNUMBER($R$299),$B$183=1),$R$299,HLOOKUP(INDIRECT(ADDRESS(2,COLUMN())),OFFSET($BN$2,0,0,ROW()-1,60),ROW()-1,FALSE))</f>
        <v>73.113</v>
      </c>
      <c r="S70">
        <f ca="1">IF(AND(ISNUMBER($S$299),$B$183=1),$S$299,HLOOKUP(INDIRECT(ADDRESS(2,COLUMN())),OFFSET($BN$2,0,0,ROW()-1,60),ROW()-1,FALSE))</f>
        <v>68.197999999999993</v>
      </c>
      <c r="T70">
        <f ca="1">IF(AND(ISNUMBER($T$299),$B$183=1),$T$299,HLOOKUP(INDIRECT(ADDRESS(2,COLUMN())),OFFSET($BN$2,0,0,ROW()-1,60),ROW()-1,FALSE))</f>
        <v>67.542000000000002</v>
      </c>
      <c r="U70">
        <f ca="1">IF(AND(ISNUMBER($U$299),$B$183=1),$U$299,HLOOKUP(INDIRECT(ADDRESS(2,COLUMN())),OFFSET($BN$2,0,0,ROW()-1,60),ROW()-1,FALSE))</f>
        <v>57.109000000000002</v>
      </c>
      <c r="V70">
        <f ca="1">IF(AND(ISNUMBER($V$299),$B$183=1),$V$299,HLOOKUP(INDIRECT(ADDRESS(2,COLUMN())),OFFSET($BN$2,0,0,ROW()-1,60),ROW()-1,FALSE))</f>
        <v>56.847000000000001</v>
      </c>
      <c r="W70">
        <f ca="1">IF(AND(ISNUMBER($W$299),$B$183=1),$W$299,HLOOKUP(INDIRECT(ADDRESS(2,COLUMN())),OFFSET($BN$2,0,0,ROW()-1,60),ROW()-1,FALSE))</f>
        <v>59.018000000000001</v>
      </c>
      <c r="X70">
        <f ca="1">IF(AND(ISNUMBER($X$299),$B$183=1),$X$299,HLOOKUP(INDIRECT(ADDRESS(2,COLUMN())),OFFSET($BN$2,0,0,ROW()-1,60),ROW()-1,FALSE))</f>
        <v>54.064</v>
      </c>
      <c r="Y70">
        <f ca="1">IF(AND(ISNUMBER($Y$299),$B$183=1),$Y$299,HLOOKUP(INDIRECT(ADDRESS(2,COLUMN())),OFFSET($BN$2,0,0,ROW()-1,60),ROW()-1,FALSE))</f>
        <v>29.068000000000001</v>
      </c>
      <c r="Z70">
        <f ca="1">IF(AND(ISNUMBER($Z$299),$B$183=1),$Z$299,HLOOKUP(INDIRECT(ADDRESS(2,COLUMN())),OFFSET($BN$2,0,0,ROW()-1,60),ROW()-1,FALSE))</f>
        <v>68.492999999999995</v>
      </c>
      <c r="AA70">
        <f ca="1">IF(AND(ISNUMBER($AA$299),$B$183=1),$AA$299,HLOOKUP(INDIRECT(ADDRESS(2,COLUMN())),OFFSET($BN$2,0,0,ROW()-1,60),ROW()-1,FALSE))</f>
        <v>46.146000000000001</v>
      </c>
      <c r="AB70">
        <f ca="1">IF(AND(ISNUMBER($AB$299),$B$183=1),$AB$299,HLOOKUP(INDIRECT(ADDRESS(2,COLUMN())),OFFSET($BN$2,0,0,ROW()-1,60),ROW()-1,FALSE))</f>
        <v>46.277999999999999</v>
      </c>
      <c r="AC70">
        <f ca="1">IF(AND(ISNUMBER($AC$299),$B$183=1),$AC$299,HLOOKUP(INDIRECT(ADDRESS(2,COLUMN())),OFFSET($BN$2,0,0,ROW()-1,60),ROW()-1,FALSE))</f>
        <v>40.051000000000002</v>
      </c>
      <c r="AD70">
        <f ca="1">IF(AND(ISNUMBER($AD$299),$B$183=1),$AD$299,HLOOKUP(INDIRECT(ADDRESS(2,COLUMN())),OFFSET($BN$2,0,0,ROW()-1,60),ROW()-1,FALSE))</f>
        <v>39.738</v>
      </c>
      <c r="AE70">
        <f ca="1">IF(AND(ISNUMBER($AE$299),$B$183=1),$AE$299,HLOOKUP(INDIRECT(ADDRESS(2,COLUMN())),OFFSET($BN$2,0,0,ROW()-1,60),ROW()-1,FALSE))</f>
        <v>38.472000000000001</v>
      </c>
      <c r="AF70">
        <f ca="1">IF(AND(ISNUMBER($AF$299),$B$183=1),$AF$299,HLOOKUP(INDIRECT(ADDRESS(2,COLUMN())),OFFSET($BN$2,0,0,ROW()-1,60),ROW()-1,FALSE))</f>
        <v>34.524999999999999</v>
      </c>
      <c r="AG70">
        <f ca="1">IF(AND(ISNUMBER($AG$299),$B$183=1),$AG$299,HLOOKUP(INDIRECT(ADDRESS(2,COLUMN())),OFFSET($BN$2,0,0,ROW()-1,60),ROW()-1,FALSE))</f>
        <v>31.641999999999999</v>
      </c>
      <c r="AH70">
        <f ca="1">IF(AND(ISNUMBER($AH$299),$B$183=1),$AH$299,HLOOKUP(INDIRECT(ADDRESS(2,COLUMN())),OFFSET($BN$2,0,0,ROW()-1,60),ROW()-1,FALSE))</f>
        <v>30.824999999999999</v>
      </c>
      <c r="AI70">
        <f ca="1">IF(AND(ISNUMBER($AI$299),$B$183=1),$AI$299,HLOOKUP(INDIRECT(ADDRESS(2,COLUMN())),OFFSET($BN$2,0,0,ROW()-1,60),ROW()-1,FALSE))</f>
        <v>30.477</v>
      </c>
      <c r="AJ70">
        <f ca="1">IF(AND(ISNUMBER($AJ$299),$B$183=1),$AJ$299,HLOOKUP(INDIRECT(ADDRESS(2,COLUMN())),OFFSET($BN$2,0,0,ROW()-1,60),ROW()-1,FALSE))</f>
        <v>30.225999999999999</v>
      </c>
      <c r="AK70">
        <f ca="1">IF(AND(ISNUMBER($AK$299),$B$183=1),$AK$299,HLOOKUP(INDIRECT(ADDRESS(2,COLUMN())),OFFSET($BN$2,0,0,ROW()-1,60),ROW()-1,FALSE))</f>
        <v>30.068000000000001</v>
      </c>
      <c r="AL70">
        <f ca="1">IF(AND(ISNUMBER($AL$299),$B$183=1),$AL$299,HLOOKUP(INDIRECT(ADDRESS(2,COLUMN())),OFFSET($BN$2,0,0,ROW()-1,60),ROW()-1,FALSE))</f>
        <v>29.989000000000001</v>
      </c>
      <c r="AM70">
        <f ca="1">IF(AND(ISNUMBER($AM$299),$B$183=1),$AM$299,HLOOKUP(INDIRECT(ADDRESS(2,COLUMN())),OFFSET($BN$2,0,0,ROW()-1,60),ROW()-1,FALSE))</f>
        <v>26.873999999999999</v>
      </c>
      <c r="AN70">
        <f ca="1">IF(AND(ISNUMBER($AN$299),$B$183=1),$AN$299,HLOOKUP(INDIRECT(ADDRESS(2,COLUMN())),OFFSET($BN$2,0,0,ROW()-1,60),ROW()-1,FALSE))</f>
        <v>26.78</v>
      </c>
      <c r="AO70">
        <f ca="1">IF(AND(ISNUMBER($AO$299),$B$183=1),$AO$299,HLOOKUP(INDIRECT(ADDRESS(2,COLUMN())),OFFSET($BN$2,0,0,ROW()-1,60),ROW()-1,FALSE))</f>
        <v>25.148</v>
      </c>
      <c r="AP70">
        <f ca="1">IF(AND(ISNUMBER($AP$299),$B$183=1),$AP$299,HLOOKUP(INDIRECT(ADDRESS(2,COLUMN())),OFFSET($BN$2,0,0,ROW()-1,60),ROW()-1,FALSE))</f>
        <v>25.122</v>
      </c>
      <c r="AQ70">
        <f ca="1">IF(AND(ISNUMBER($AQ$299),$B$183=1),$AQ$299,HLOOKUP(INDIRECT(ADDRESS(2,COLUMN())),OFFSET($BN$2,0,0,ROW()-1,60),ROW()-1,FALSE))</f>
        <v>27.817</v>
      </c>
      <c r="AR70">
        <f ca="1">IF(AND(ISNUMBER($AR$299),$B$183=1),$AR$299,HLOOKUP(INDIRECT(ADDRESS(2,COLUMN())),OFFSET($BN$2,0,0,ROW()-1,60),ROW()-1,FALSE))</f>
        <v>27.812999999999999</v>
      </c>
      <c r="AS70">
        <f ca="1">IF(AND(ISNUMBER($AS$299),$B$183=1),$AS$299,HLOOKUP(INDIRECT(ADDRESS(2,COLUMN())),OFFSET($BN$2,0,0,ROW()-1,60),ROW()-1,FALSE))</f>
        <v>26.943999999999999</v>
      </c>
      <c r="AT70">
        <f ca="1">IF(AND(ISNUMBER($AT$299),$B$183=1),$AT$299,HLOOKUP(INDIRECT(ADDRESS(2,COLUMN())),OFFSET($BN$2,0,0,ROW()-1,60),ROW()-1,FALSE))</f>
        <v>25.375499999999999</v>
      </c>
      <c r="AU70">
        <f ca="1">IF(AND(ISNUMBER($AU$299),$B$183=1),$AU$299,HLOOKUP(INDIRECT(ADDRESS(2,COLUMN())),OFFSET($BN$2,0,0,ROW()-1,60),ROW()-1,FALSE))</f>
        <v>26.411999999999999</v>
      </c>
      <c r="AV70">
        <f ca="1">IF(AND(ISNUMBER($AV$299),$B$183=1),$AV$299,HLOOKUP(INDIRECT(ADDRESS(2,COLUMN())),OFFSET($BN$2,0,0,ROW()-1,60),ROW()-1,FALSE))</f>
        <v>25.178000000000001</v>
      </c>
      <c r="AW70">
        <f ca="1">IF(AND(ISNUMBER($AW$299),$B$183=1),$AW$299,HLOOKUP(INDIRECT(ADDRESS(2,COLUMN())),OFFSET($BN$2,0,0,ROW()-1,60),ROW()-1,FALSE))</f>
        <v>22.763999999999999</v>
      </c>
      <c r="AX70">
        <f ca="1">IF(AND(ISNUMBER($AX$299),$B$183=1),$AX$299,HLOOKUP(INDIRECT(ADDRESS(2,COLUMN())),OFFSET($BN$2,0,0,ROW()-1,60),ROW()-1,FALSE))</f>
        <v>23.318000000000001</v>
      </c>
      <c r="AY70">
        <f ca="1">IF(AND(ISNUMBER($AY$299),$B$183=1),$AY$299,HLOOKUP(INDIRECT(ADDRESS(2,COLUMN())),OFFSET($BN$2,0,0,ROW()-1,60),ROW()-1,FALSE))</f>
        <v>23.266999999999999</v>
      </c>
      <c r="AZ70">
        <f ca="1">IF(AND(ISNUMBER($AZ$299),$B$183=1),$AZ$299,HLOOKUP(INDIRECT(ADDRESS(2,COLUMN())),OFFSET($BN$2,0,0,ROW()-1,60),ROW()-1,FALSE))</f>
        <v>24.161999999999999</v>
      </c>
      <c r="BA70">
        <f ca="1">IF(AND(ISNUMBER($BA$299),$B$183=1),$BA$299,HLOOKUP(INDIRECT(ADDRESS(2,COLUMN())),OFFSET($BN$2,0,0,ROW()-1,60),ROW()-1,FALSE))</f>
        <v>22.631</v>
      </c>
      <c r="BB70">
        <f ca="1">IF(AND(ISNUMBER($BB$299),$B$183=1),$BB$299,HLOOKUP(INDIRECT(ADDRESS(2,COLUMN())),OFFSET($BN$2,0,0,ROW()-1,60),ROW()-1,FALSE))</f>
        <v>25.571000000000002</v>
      </c>
      <c r="BC70">
        <f ca="1">IF(AND(ISNUMBER($BC$299),$B$183=1),$BC$299,HLOOKUP(INDIRECT(ADDRESS(2,COLUMN())),OFFSET($BN$2,0,0,ROW()-1,60),ROW()-1,FALSE))</f>
        <v>49.636000000000003</v>
      </c>
      <c r="BD70">
        <f ca="1">IF(AND(ISNUMBER($BD$299),$B$183=1),$BD$299,HLOOKUP(INDIRECT(ADDRESS(2,COLUMN())),OFFSET($BN$2,0,0,ROW()-1,60),ROW()-1,FALSE))</f>
        <v>37.493000000000002</v>
      </c>
      <c r="BE70">
        <f ca="1">IF(AND(ISNUMBER($BE$299),$B$183=1),$BE$299,HLOOKUP(INDIRECT(ADDRESS(2,COLUMN())),OFFSET($BN$2,0,0,ROW()-1,60),ROW()-1,FALSE))</f>
        <v>36.929000000000002</v>
      </c>
      <c r="BF70">
        <f ca="1">IF(AND(ISNUMBER($BF$299),$B$183=1),$BF$299,HLOOKUP(INDIRECT(ADDRESS(2,COLUMN())),OFFSET($BN$2,0,0,ROW()-1,60),ROW()-1,FALSE))</f>
        <v>35.61</v>
      </c>
      <c r="BG70">
        <f ca="1">IF(AND(ISNUMBER($BG$299),$B$183=1),$BG$299,HLOOKUP(INDIRECT(ADDRESS(2,COLUMN())),OFFSET($BN$2,0,0,ROW()-1,60),ROW()-1,FALSE))</f>
        <v>36.67</v>
      </c>
      <c r="BH70">
        <f ca="1">IF(AND(ISNUMBER($BH$299),$B$183=1),$BH$299,HLOOKUP(INDIRECT(ADDRESS(2,COLUMN())),OFFSET($BN$2,0,0,ROW()-1,60),ROW()-1,FALSE))</f>
        <v>28.972000000000001</v>
      </c>
      <c r="BI70">
        <f ca="1">IF(AND(ISNUMBER($BI$299),$B$183=1),$BI$299,HLOOKUP(INDIRECT(ADDRESS(2,COLUMN())),OFFSET($BN$2,0,0,ROW()-1,60),ROW()-1,FALSE))</f>
        <v>244.41499999999999</v>
      </c>
      <c r="BJ70">
        <f ca="1">IF(AND(ISNUMBER($BJ$299),$B$183=1),$BJ$299,HLOOKUP(INDIRECT(ADDRESS(2,COLUMN())),OFFSET($BN$2,0,0,ROW()-1,60),ROW()-1,FALSE))</f>
        <v>138.30000000000001</v>
      </c>
      <c r="BK70">
        <f ca="1">IF(AND(ISNUMBER($BK$299),$B$183=1),$BK$299,HLOOKUP(INDIRECT(ADDRESS(2,COLUMN())),OFFSET($BN$2,0,0,ROW()-1,60),ROW()-1,FALSE))</f>
        <v>32.573999999999998</v>
      </c>
      <c r="BL70">
        <f ca="1">IF(AND(ISNUMBER($BL$299),$B$183=1),$BL$299,HLOOKUP(INDIRECT(ADDRESS(2,COLUMN())),OFFSET($BN$2,0,0,ROW()-1,60),ROW()-1,FALSE))</f>
        <v>52.064</v>
      </c>
      <c r="BM70">
        <f ca="1">IF(AND(ISNUMBER($BM$299),$B$183=1),$BM$299,HLOOKUP(INDIRECT(ADDRESS(2,COLUMN())),OFFSET($BN$2,0,0,ROW()-1,60),ROW()-1,FALSE))</f>
        <v>50.768999999999998</v>
      </c>
      <c r="BN70">
        <f>118.3837682</f>
        <v>118.38376820000001</v>
      </c>
      <c r="BO70">
        <f>116.349</f>
        <v>116.349</v>
      </c>
      <c r="BP70">
        <f>111.682</f>
        <v>111.682</v>
      </c>
      <c r="BQ70">
        <f>104.362</f>
        <v>104.36199999999999</v>
      </c>
      <c r="BR70">
        <f>103.346</f>
        <v>103.346</v>
      </c>
      <c r="BS70">
        <f>101.015</f>
        <v>101.015</v>
      </c>
      <c r="BT70">
        <f>96.935</f>
        <v>96.935000000000002</v>
      </c>
      <c r="BU70">
        <f>88.196</f>
        <v>88.195999999999998</v>
      </c>
      <c r="BV70">
        <f>84.406</f>
        <v>84.406000000000006</v>
      </c>
      <c r="BW70">
        <f>84.595</f>
        <v>84.594999999999999</v>
      </c>
      <c r="BX70">
        <f>85.157</f>
        <v>85.156999999999996</v>
      </c>
      <c r="BY70">
        <f>76.41</f>
        <v>76.41</v>
      </c>
      <c r="BZ70">
        <f>73.113</f>
        <v>73.113</v>
      </c>
      <c r="CA70">
        <f>68.198</f>
        <v>68.197999999999993</v>
      </c>
      <c r="CB70">
        <f>67.542</f>
        <v>67.542000000000002</v>
      </c>
      <c r="CC70">
        <f>57.109</f>
        <v>57.109000000000002</v>
      </c>
      <c r="CD70">
        <f>56.847</f>
        <v>56.847000000000001</v>
      </c>
      <c r="CE70">
        <f>59.018</f>
        <v>59.018000000000001</v>
      </c>
      <c r="CF70">
        <f>54.064</f>
        <v>54.064</v>
      </c>
      <c r="CG70">
        <f>29.068</f>
        <v>29.068000000000001</v>
      </c>
      <c r="CH70">
        <f>68.493</f>
        <v>68.492999999999995</v>
      </c>
      <c r="CI70">
        <f>46.146</f>
        <v>46.146000000000001</v>
      </c>
      <c r="CJ70">
        <f>46.278</f>
        <v>46.277999999999999</v>
      </c>
      <c r="CK70">
        <f>40.051</f>
        <v>40.051000000000002</v>
      </c>
      <c r="CL70">
        <f>39.738</f>
        <v>39.738</v>
      </c>
      <c r="CM70">
        <f>38.472</f>
        <v>38.472000000000001</v>
      </c>
      <c r="CN70">
        <f>34.525</f>
        <v>34.524999999999999</v>
      </c>
      <c r="CO70">
        <f>31.642</f>
        <v>31.641999999999999</v>
      </c>
      <c r="CP70">
        <f>30.825</f>
        <v>30.824999999999999</v>
      </c>
      <c r="CQ70">
        <f>30.477</f>
        <v>30.477</v>
      </c>
      <c r="CR70">
        <f>30.226</f>
        <v>30.225999999999999</v>
      </c>
      <c r="CS70">
        <f>30.068</f>
        <v>30.068000000000001</v>
      </c>
      <c r="CT70">
        <f>29.989</f>
        <v>29.989000000000001</v>
      </c>
      <c r="CU70">
        <f>26.874</f>
        <v>26.873999999999999</v>
      </c>
      <c r="CV70">
        <f>26.78</f>
        <v>26.78</v>
      </c>
      <c r="CW70">
        <f>25.148</f>
        <v>25.148</v>
      </c>
      <c r="CX70">
        <f>25.122</f>
        <v>25.122</v>
      </c>
      <c r="CY70">
        <f>27.817</f>
        <v>27.817</v>
      </c>
      <c r="CZ70">
        <f>27.813</f>
        <v>27.812999999999999</v>
      </c>
      <c r="DA70">
        <f>26.944</f>
        <v>26.943999999999999</v>
      </c>
      <c r="DB70">
        <f>25.3755</f>
        <v>25.375499999999999</v>
      </c>
      <c r="DC70">
        <f>26.412</f>
        <v>26.411999999999999</v>
      </c>
      <c r="DD70">
        <f>25.178</f>
        <v>25.178000000000001</v>
      </c>
      <c r="DE70">
        <f>22.764</f>
        <v>22.763999999999999</v>
      </c>
      <c r="DF70">
        <f>23.318</f>
        <v>23.318000000000001</v>
      </c>
      <c r="DG70">
        <f>23.267</f>
        <v>23.266999999999999</v>
      </c>
      <c r="DH70">
        <f>24.162</f>
        <v>24.161999999999999</v>
      </c>
      <c r="DI70">
        <f>22.631</f>
        <v>22.631</v>
      </c>
      <c r="DJ70">
        <f>25.571</f>
        <v>25.571000000000002</v>
      </c>
      <c r="DK70">
        <f>49.636</f>
        <v>49.636000000000003</v>
      </c>
      <c r="DL70">
        <f>37.493</f>
        <v>37.493000000000002</v>
      </c>
      <c r="DM70">
        <f>36.929</f>
        <v>36.929000000000002</v>
      </c>
      <c r="DN70">
        <f>35.61</f>
        <v>35.61</v>
      </c>
      <c r="DO70">
        <f>36.67</f>
        <v>36.67</v>
      </c>
      <c r="DP70">
        <f>28.972</f>
        <v>28.972000000000001</v>
      </c>
      <c r="DQ70">
        <f>244.415</f>
        <v>244.41499999999999</v>
      </c>
      <c r="DR70">
        <f>138.3</f>
        <v>138.30000000000001</v>
      </c>
      <c r="DS70">
        <f>32.574</f>
        <v>32.573999999999998</v>
      </c>
      <c r="DT70">
        <f>52.064</f>
        <v>52.064</v>
      </c>
      <c r="DU70">
        <f>50.769</f>
        <v>50.768999999999998</v>
      </c>
    </row>
    <row r="71" spans="1:125">
      <c r="A71" t="str">
        <f>"    Single Family Rental REITs"</f>
        <v xml:space="preserve">    Single Family Rental REITs</v>
      </c>
      <c r="B71" t="str">
        <f>"RECFTDSF Index"</f>
        <v>RECFTDSF Index</v>
      </c>
      <c r="C71" t="str">
        <f t="shared" si="14"/>
        <v>PR005</v>
      </c>
      <c r="D71" t="str">
        <f t="shared" si="15"/>
        <v>PX_LAST</v>
      </c>
      <c r="E71" t="str">
        <f t="shared" si="16"/>
        <v>动态</v>
      </c>
      <c r="F71">
        <f ca="1">IF(AND(ISNUMBER($F$300),$B$183=1),$F$300,HLOOKUP(INDIRECT(ADDRESS(2,COLUMN())),OFFSET($BN$2,0,0,ROW()-1,60),ROW()-1,FALSE))</f>
        <v>67.655193550000007</v>
      </c>
      <c r="G71">
        <f ca="1">IF(AND(ISNUMBER($G$300),$B$183=1),$G$300,HLOOKUP(INDIRECT(ADDRESS(2,COLUMN())),OFFSET($BN$2,0,0,ROW()-1,60),ROW()-1,FALSE))</f>
        <v>96.566000000000003</v>
      </c>
      <c r="H71">
        <f ca="1">IF(AND(ISNUMBER($H$300),$B$183=1),$H$300,HLOOKUP(INDIRECT(ADDRESS(2,COLUMN())),OFFSET($BN$2,0,0,ROW()-1,60),ROW()-1,FALSE))</f>
        <v>85.74</v>
      </c>
      <c r="I71">
        <f ca="1">IF(AND(ISNUMBER($I$300),$B$183=1),$I$300,HLOOKUP(INDIRECT(ADDRESS(2,COLUMN())),OFFSET($BN$2,0,0,ROW()-1,60),ROW()-1,FALSE))</f>
        <v>57.502000000000002</v>
      </c>
      <c r="J71">
        <f ca="1">IF(AND(ISNUMBER($J$300),$B$183=1),$J$300,HLOOKUP(INDIRECT(ADDRESS(2,COLUMN())),OFFSET($BN$2,0,0,ROW()-1,60),ROW()-1,FALSE))</f>
        <v>57.326000000000001</v>
      </c>
      <c r="K71">
        <f ca="1">IF(AND(ISNUMBER($K$300),$B$183=1),$K$300,HLOOKUP(INDIRECT(ADDRESS(2,COLUMN())),OFFSET($BN$2,0,0,ROW()-1,60),ROW()-1,FALSE))</f>
        <v>59.944000000000003</v>
      </c>
      <c r="L71">
        <f ca="1">IF(AND(ISNUMBER($L$300),$B$183=1),$L$300,HLOOKUP(INDIRECT(ADDRESS(2,COLUMN())),OFFSET($BN$2,0,0,ROW()-1,60),ROW()-1,FALSE))</f>
        <v>52.24</v>
      </c>
      <c r="M71">
        <f ca="1">IF(AND(ISNUMBER($M$300),$B$183=1),$M$300,HLOOKUP(INDIRECT(ADDRESS(2,COLUMN())),OFFSET($BN$2,0,0,ROW()-1,60),ROW()-1,FALSE))</f>
        <v>25.875</v>
      </c>
      <c r="N71">
        <f ca="1">IF(AND(ISNUMBER($N$300),$B$183=1),$N$300,HLOOKUP(INDIRECT(ADDRESS(2,COLUMN())),OFFSET($BN$2,0,0,ROW()-1,60),ROW()-1,FALSE))</f>
        <v>53</v>
      </c>
      <c r="O71">
        <f ca="1">IF(AND(ISNUMBER($O$300),$B$183=1),$O$300,HLOOKUP(INDIRECT(ADDRESS(2,COLUMN())),OFFSET($BN$2,0,0,ROW()-1,60),ROW()-1,FALSE))</f>
        <v>35.500999999999998</v>
      </c>
      <c r="P71">
        <f ca="1">IF(AND(ISNUMBER($P$300),$B$183=1),$P$300,HLOOKUP(INDIRECT(ADDRESS(2,COLUMN())),OFFSET($BN$2,0,0,ROW()-1,60),ROW()-1,FALSE))</f>
        <v>31.125</v>
      </c>
      <c r="Q71">
        <f ca="1">IF(AND(ISNUMBER($Q$300),$B$183=1),$Q$300,HLOOKUP(INDIRECT(ADDRESS(2,COLUMN())),OFFSET($BN$2,0,0,ROW()-1,60),ROW()-1,FALSE))</f>
        <v>30.085999999999999</v>
      </c>
      <c r="R71">
        <f ca="1">IF(AND(ISNUMBER($R$300),$B$183=1),$R$300,HLOOKUP(INDIRECT(ADDRESS(2,COLUMN())),OFFSET($BN$2,0,0,ROW()-1,60),ROW()-1,FALSE))</f>
        <v>29.26</v>
      </c>
      <c r="S71">
        <f ca="1">IF(AND(ISNUMBER($S$300),$B$183=1),$S$300,HLOOKUP(INDIRECT(ADDRESS(2,COLUMN())),OFFSET($BN$2,0,0,ROW()-1,60),ROW()-1,FALSE))</f>
        <v>23.460999999999999</v>
      </c>
      <c r="T71">
        <f ca="1">IF(AND(ISNUMBER($T$300),$B$183=1),$T$300,HLOOKUP(INDIRECT(ADDRESS(2,COLUMN())),OFFSET($BN$2,0,0,ROW()-1,60),ROW()-1,FALSE))</f>
        <v>21.83</v>
      </c>
      <c r="U71">
        <f ca="1">IF(AND(ISNUMBER($U$300),$B$183=1),$U$300,HLOOKUP(INDIRECT(ADDRESS(2,COLUMN())),OFFSET($BN$2,0,0,ROW()-1,60),ROW()-1,FALSE))</f>
        <v>19.370999999999999</v>
      </c>
      <c r="V71">
        <f ca="1">IF(AND(ISNUMBER($V$300),$B$183=1),$V$300,HLOOKUP(INDIRECT(ADDRESS(2,COLUMN())),OFFSET($BN$2,0,0,ROW()-1,60),ROW()-1,FALSE))</f>
        <v>6.9050000000000002</v>
      </c>
      <c r="W71">
        <f ca="1">IF(AND(ISNUMBER($W$300),$B$183=1),$W$300,HLOOKUP(INDIRECT(ADDRESS(2,COLUMN())),OFFSET($BN$2,0,0,ROW()-1,60),ROW()-1,FALSE))</f>
        <v>1.032</v>
      </c>
      <c r="X71">
        <f ca="1">IF(AND(ISNUMBER($X$300),$B$183=1),$X$300,HLOOKUP(INDIRECT(ADDRESS(2,COLUMN())),OFFSET($BN$2,0,0,ROW()-1,60),ROW()-1,FALSE))</f>
        <v>0.45</v>
      </c>
      <c r="Y71">
        <f ca="1">IF(AND(ISNUMBER($Y$300),$B$183=1),$Y$300,HLOOKUP(INDIRECT(ADDRESS(2,COLUMN())),OFFSET($BN$2,0,0,ROW()-1,60),ROW()-1,FALSE))</f>
        <v>0</v>
      </c>
      <c r="Z71">
        <f ca="1">IF(AND(ISNUMBER($Z$300),$B$183=1),$Z$300,HLOOKUP(INDIRECT(ADDRESS(2,COLUMN())),OFFSET($BN$2,0,0,ROW()-1,60),ROW()-1,FALSE))</f>
        <v>0</v>
      </c>
      <c r="AA71">
        <f ca="1">IF(AND(ISNUMBER($AA$300),$B$183=1),$AA$300,HLOOKUP(INDIRECT(ADDRESS(2,COLUMN())),OFFSET($BN$2,0,0,ROW()-1,60),ROW()-1,FALSE))</f>
        <v>0</v>
      </c>
      <c r="AB71">
        <f ca="1">IF(AND(ISNUMBER($AB$300),$B$183=1),$AB$300,HLOOKUP(INDIRECT(ADDRESS(2,COLUMN())),OFFSET($BN$2,0,0,ROW()-1,60),ROW()-1,FALSE))</f>
        <v>0</v>
      </c>
      <c r="AC71">
        <f ca="1">IF(AND(ISNUMBER($AC$300),$B$183=1),$AC$300,HLOOKUP(INDIRECT(ADDRESS(2,COLUMN())),OFFSET($BN$2,0,0,ROW()-1,60),ROW()-1,FALSE))</f>
        <v>0</v>
      </c>
      <c r="AD71">
        <f ca="1">IF(AND(ISNUMBER($AD$300),$B$183=1),$AD$300,HLOOKUP(INDIRECT(ADDRESS(2,COLUMN())),OFFSET($BN$2,0,0,ROW()-1,60),ROW()-1,FALSE))</f>
        <v>0</v>
      </c>
      <c r="AE71">
        <f ca="1">IF(AND(ISNUMBER($AE$300),$B$183=1),$AE$300,HLOOKUP(INDIRECT(ADDRESS(2,COLUMN())),OFFSET($BN$2,0,0,ROW()-1,60),ROW()-1,FALSE))</f>
        <v>0</v>
      </c>
      <c r="AF71">
        <f ca="1">IF(AND(ISNUMBER($AF$300),$B$183=1),$AF$300,HLOOKUP(INDIRECT(ADDRESS(2,COLUMN())),OFFSET($BN$2,0,0,ROW()-1,60),ROW()-1,FALSE))</f>
        <v>0</v>
      </c>
      <c r="AG71">
        <f ca="1">IF(AND(ISNUMBER($AG$300),$B$183=1),$AG$300,HLOOKUP(INDIRECT(ADDRESS(2,COLUMN())),OFFSET($BN$2,0,0,ROW()-1,60),ROW()-1,FALSE))</f>
        <v>0</v>
      </c>
      <c r="AH71">
        <f ca="1">IF(AND(ISNUMBER($AH$300),$B$183=1),$AH$300,HLOOKUP(INDIRECT(ADDRESS(2,COLUMN())),OFFSET($BN$2,0,0,ROW()-1,60),ROW()-1,FALSE))</f>
        <v>0</v>
      </c>
      <c r="AI71">
        <f ca="1">IF(AND(ISNUMBER($AI$300),$B$183=1),$AI$300,HLOOKUP(INDIRECT(ADDRESS(2,COLUMN())),OFFSET($BN$2,0,0,ROW()-1,60),ROW()-1,FALSE))</f>
        <v>0</v>
      </c>
      <c r="AJ71">
        <f ca="1">IF(AND(ISNUMBER($AJ$300),$B$183=1),$AJ$300,HLOOKUP(INDIRECT(ADDRESS(2,COLUMN())),OFFSET($BN$2,0,0,ROW()-1,60),ROW()-1,FALSE))</f>
        <v>0</v>
      </c>
      <c r="AK71">
        <f ca="1">IF(AND(ISNUMBER($AK$300),$B$183=1),$AK$300,HLOOKUP(INDIRECT(ADDRESS(2,COLUMN())),OFFSET($BN$2,0,0,ROW()-1,60),ROW()-1,FALSE))</f>
        <v>0</v>
      </c>
      <c r="AL71">
        <f ca="1">IF(AND(ISNUMBER($AL$300),$B$183=1),$AL$300,HLOOKUP(INDIRECT(ADDRESS(2,COLUMN())),OFFSET($BN$2,0,0,ROW()-1,60),ROW()-1,FALSE))</f>
        <v>0</v>
      </c>
      <c r="AM71">
        <f ca="1">IF(AND(ISNUMBER($AM$300),$B$183=1),$AM$300,HLOOKUP(INDIRECT(ADDRESS(2,COLUMN())),OFFSET($BN$2,0,0,ROW()-1,60),ROW()-1,FALSE))</f>
        <v>0</v>
      </c>
      <c r="AN71">
        <f ca="1">IF(AND(ISNUMBER($AN$300),$B$183=1),$AN$300,HLOOKUP(INDIRECT(ADDRESS(2,COLUMN())),OFFSET($BN$2,0,0,ROW()-1,60),ROW()-1,FALSE))</f>
        <v>0</v>
      </c>
      <c r="AO71">
        <f ca="1">IF(AND(ISNUMBER($AO$300),$B$183=1),$AO$300,HLOOKUP(INDIRECT(ADDRESS(2,COLUMN())),OFFSET($BN$2,0,0,ROW()-1,60),ROW()-1,FALSE))</f>
        <v>0</v>
      </c>
      <c r="AP71">
        <f ca="1">IF(AND(ISNUMBER($AP$300),$B$183=1),$AP$300,HLOOKUP(INDIRECT(ADDRESS(2,COLUMN())),OFFSET($BN$2,0,0,ROW()-1,60),ROW()-1,FALSE))</f>
        <v>0</v>
      </c>
      <c r="AQ71">
        <f ca="1">IF(AND(ISNUMBER($AQ$300),$B$183=1),$AQ$300,HLOOKUP(INDIRECT(ADDRESS(2,COLUMN())),OFFSET($BN$2,0,0,ROW()-1,60),ROW()-1,FALSE))</f>
        <v>0</v>
      </c>
      <c r="AR71">
        <f ca="1">IF(AND(ISNUMBER($AR$300),$B$183=1),$AR$300,HLOOKUP(INDIRECT(ADDRESS(2,COLUMN())),OFFSET($BN$2,0,0,ROW()-1,60),ROW()-1,FALSE))</f>
        <v>0</v>
      </c>
      <c r="AS71">
        <f ca="1">IF(AND(ISNUMBER($AS$300),$B$183=1),$AS$300,HLOOKUP(INDIRECT(ADDRESS(2,COLUMN())),OFFSET($BN$2,0,0,ROW()-1,60),ROW()-1,FALSE))</f>
        <v>0</v>
      </c>
      <c r="AT71">
        <f ca="1">IF(AND(ISNUMBER($AT$300),$B$183=1),$AT$300,HLOOKUP(INDIRECT(ADDRESS(2,COLUMN())),OFFSET($BN$2,0,0,ROW()-1,60),ROW()-1,FALSE))</f>
        <v>0</v>
      </c>
      <c r="AU71">
        <f ca="1">IF(AND(ISNUMBER($AU$300),$B$183=1),$AU$300,HLOOKUP(INDIRECT(ADDRESS(2,COLUMN())),OFFSET($BN$2,0,0,ROW()-1,60),ROW()-1,FALSE))</f>
        <v>0</v>
      </c>
      <c r="AV71">
        <f ca="1">IF(AND(ISNUMBER($AV$300),$B$183=1),$AV$300,HLOOKUP(INDIRECT(ADDRESS(2,COLUMN())),OFFSET($BN$2,0,0,ROW()-1,60),ROW()-1,FALSE))</f>
        <v>0</v>
      </c>
      <c r="AW71">
        <f ca="1">IF(AND(ISNUMBER($AW$300),$B$183=1),$AW$300,HLOOKUP(INDIRECT(ADDRESS(2,COLUMN())),OFFSET($BN$2,0,0,ROW()-1,60),ROW()-1,FALSE))</f>
        <v>0</v>
      </c>
      <c r="AX71">
        <f ca="1">IF(AND(ISNUMBER($AX$300),$B$183=1),$AX$300,HLOOKUP(INDIRECT(ADDRESS(2,COLUMN())),OFFSET($BN$2,0,0,ROW()-1,60),ROW()-1,FALSE))</f>
        <v>0</v>
      </c>
      <c r="AY71">
        <f ca="1">IF(AND(ISNUMBER($AY$300),$B$183=1),$AY$300,HLOOKUP(INDIRECT(ADDRESS(2,COLUMN())),OFFSET($BN$2,0,0,ROW()-1,60),ROW()-1,FALSE))</f>
        <v>0</v>
      </c>
      <c r="AZ71">
        <f ca="1">IF(AND(ISNUMBER($AZ$300),$B$183=1),$AZ$300,HLOOKUP(INDIRECT(ADDRESS(2,COLUMN())),OFFSET($BN$2,0,0,ROW()-1,60),ROW()-1,FALSE))</f>
        <v>0</v>
      </c>
      <c r="BA71">
        <f ca="1">IF(AND(ISNUMBER($BA$300),$B$183=1),$BA$300,HLOOKUP(INDIRECT(ADDRESS(2,COLUMN())),OFFSET($BN$2,0,0,ROW()-1,60),ROW()-1,FALSE))</f>
        <v>0</v>
      </c>
      <c r="BB71">
        <f ca="1">IF(AND(ISNUMBER($BB$300),$B$183=1),$BB$300,HLOOKUP(INDIRECT(ADDRESS(2,COLUMN())),OFFSET($BN$2,0,0,ROW()-1,60),ROW()-1,FALSE))</f>
        <v>0</v>
      </c>
      <c r="BC71">
        <f ca="1">IF(AND(ISNUMBER($BC$300),$B$183=1),$BC$300,HLOOKUP(INDIRECT(ADDRESS(2,COLUMN())),OFFSET($BN$2,0,0,ROW()-1,60),ROW()-1,FALSE))</f>
        <v>0</v>
      </c>
      <c r="BD71">
        <f ca="1">IF(AND(ISNUMBER($BD$300),$B$183=1),$BD$300,HLOOKUP(INDIRECT(ADDRESS(2,COLUMN())),OFFSET($BN$2,0,0,ROW()-1,60),ROW()-1,FALSE))</f>
        <v>0</v>
      </c>
      <c r="BE71">
        <f ca="1">IF(AND(ISNUMBER($BE$300),$B$183=1),$BE$300,HLOOKUP(INDIRECT(ADDRESS(2,COLUMN())),OFFSET($BN$2,0,0,ROW()-1,60),ROW()-1,FALSE))</f>
        <v>0</v>
      </c>
      <c r="BF71">
        <f ca="1">IF(AND(ISNUMBER($BF$300),$B$183=1),$BF$300,HLOOKUP(INDIRECT(ADDRESS(2,COLUMN())),OFFSET($BN$2,0,0,ROW()-1,60),ROW()-1,FALSE))</f>
        <v>0</v>
      </c>
      <c r="BG71">
        <f ca="1">IF(AND(ISNUMBER($BG$300),$B$183=1),$BG$300,HLOOKUP(INDIRECT(ADDRESS(2,COLUMN())),OFFSET($BN$2,0,0,ROW()-1,60),ROW()-1,FALSE))</f>
        <v>0</v>
      </c>
      <c r="BH71">
        <f ca="1">IF(AND(ISNUMBER($BH$300),$B$183=1),$BH$300,HLOOKUP(INDIRECT(ADDRESS(2,COLUMN())),OFFSET($BN$2,0,0,ROW()-1,60),ROW()-1,FALSE))</f>
        <v>0</v>
      </c>
      <c r="BI71">
        <f ca="1">IF(AND(ISNUMBER($BI$300),$B$183=1),$BI$300,HLOOKUP(INDIRECT(ADDRESS(2,COLUMN())),OFFSET($BN$2,0,0,ROW()-1,60),ROW()-1,FALSE))</f>
        <v>0</v>
      </c>
      <c r="BJ71">
        <f ca="1">IF(AND(ISNUMBER($BJ$300),$B$183=1),$BJ$300,HLOOKUP(INDIRECT(ADDRESS(2,COLUMN())),OFFSET($BN$2,0,0,ROW()-1,60),ROW()-1,FALSE))</f>
        <v>0</v>
      </c>
      <c r="BK71">
        <f ca="1">IF(AND(ISNUMBER($BK$300),$B$183=1),$BK$300,HLOOKUP(INDIRECT(ADDRESS(2,COLUMN())),OFFSET($BN$2,0,0,ROW()-1,60),ROW()-1,FALSE))</f>
        <v>0</v>
      </c>
      <c r="BL71">
        <f ca="1">IF(AND(ISNUMBER($BL$300),$B$183=1),$BL$300,HLOOKUP(INDIRECT(ADDRESS(2,COLUMN())),OFFSET($BN$2,0,0,ROW()-1,60),ROW()-1,FALSE))</f>
        <v>0</v>
      </c>
      <c r="BM71">
        <f ca="1">IF(AND(ISNUMBER($BM$300),$B$183=1),$BM$300,HLOOKUP(INDIRECT(ADDRESS(2,COLUMN())),OFFSET($BN$2,0,0,ROW()-1,60),ROW()-1,FALSE))</f>
        <v>0</v>
      </c>
      <c r="BN71">
        <f>67.65519355</f>
        <v>67.655193550000007</v>
      </c>
      <c r="BO71">
        <f>96.566</f>
        <v>96.566000000000003</v>
      </c>
      <c r="BP71">
        <f>85.74</f>
        <v>85.74</v>
      </c>
      <c r="BQ71">
        <f>57.502</f>
        <v>57.502000000000002</v>
      </c>
      <c r="BR71">
        <f>57.326</f>
        <v>57.326000000000001</v>
      </c>
      <c r="BS71">
        <f>59.944</f>
        <v>59.944000000000003</v>
      </c>
      <c r="BT71">
        <f>52.24</f>
        <v>52.24</v>
      </c>
      <c r="BU71">
        <f>25.875</f>
        <v>25.875</v>
      </c>
      <c r="BV71">
        <f>53</f>
        <v>53</v>
      </c>
      <c r="BW71">
        <f>35.501</f>
        <v>35.500999999999998</v>
      </c>
      <c r="BX71">
        <f>31.125</f>
        <v>31.125</v>
      </c>
      <c r="BY71">
        <f>30.086</f>
        <v>30.085999999999999</v>
      </c>
      <c r="BZ71">
        <f>29.26</f>
        <v>29.26</v>
      </c>
      <c r="CA71">
        <f>23.461</f>
        <v>23.460999999999999</v>
      </c>
      <c r="CB71">
        <f>21.83</f>
        <v>21.83</v>
      </c>
      <c r="CC71">
        <f>19.371</f>
        <v>19.370999999999999</v>
      </c>
      <c r="CD71">
        <f>6.905</f>
        <v>6.9050000000000002</v>
      </c>
      <c r="CE71">
        <f>1.032</f>
        <v>1.032</v>
      </c>
      <c r="CF71">
        <f>0.45</f>
        <v>0.45</v>
      </c>
      <c r="CG71">
        <f>0</f>
        <v>0</v>
      </c>
      <c r="CH71">
        <f>0</f>
        <v>0</v>
      </c>
      <c r="CI71">
        <f>0</f>
        <v>0</v>
      </c>
      <c r="CJ71">
        <f>0</f>
        <v>0</v>
      </c>
      <c r="CK71">
        <f>0</f>
        <v>0</v>
      </c>
      <c r="CL71">
        <f>0</f>
        <v>0</v>
      </c>
      <c r="CM71">
        <f>0</f>
        <v>0</v>
      </c>
      <c r="CN71">
        <f>0</f>
        <v>0</v>
      </c>
      <c r="CO71">
        <f>0</f>
        <v>0</v>
      </c>
      <c r="CP71">
        <f>0</f>
        <v>0</v>
      </c>
      <c r="CQ71">
        <f>0</f>
        <v>0</v>
      </c>
      <c r="CR71">
        <f>0</f>
        <v>0</v>
      </c>
      <c r="CS71">
        <f>0</f>
        <v>0</v>
      </c>
      <c r="CT71">
        <f>0</f>
        <v>0</v>
      </c>
      <c r="CU71">
        <f>0</f>
        <v>0</v>
      </c>
      <c r="CV71">
        <f>0</f>
        <v>0</v>
      </c>
      <c r="CW71">
        <f>0</f>
        <v>0</v>
      </c>
      <c r="CX71">
        <f>0</f>
        <v>0</v>
      </c>
      <c r="CY71">
        <f>0</f>
        <v>0</v>
      </c>
      <c r="CZ71">
        <f>0</f>
        <v>0</v>
      </c>
      <c r="DA71">
        <f>0</f>
        <v>0</v>
      </c>
      <c r="DB71">
        <f>0</f>
        <v>0</v>
      </c>
      <c r="DC71">
        <f>0</f>
        <v>0</v>
      </c>
      <c r="DD71">
        <f>0</f>
        <v>0</v>
      </c>
      <c r="DE71">
        <f>0</f>
        <v>0</v>
      </c>
      <c r="DF71">
        <f>0</f>
        <v>0</v>
      </c>
      <c r="DG71">
        <f>0</f>
        <v>0</v>
      </c>
      <c r="DH71">
        <f>0</f>
        <v>0</v>
      </c>
      <c r="DI71">
        <f>0</f>
        <v>0</v>
      </c>
      <c r="DJ71">
        <f>0</f>
        <v>0</v>
      </c>
      <c r="DK71">
        <f>0</f>
        <v>0</v>
      </c>
      <c r="DL71">
        <f>0</f>
        <v>0</v>
      </c>
      <c r="DM71">
        <f>0</f>
        <v>0</v>
      </c>
      <c r="DN71">
        <f>0</f>
        <v>0</v>
      </c>
      <c r="DO71">
        <f>0</f>
        <v>0</v>
      </c>
      <c r="DP71">
        <f>0</f>
        <v>0</v>
      </c>
      <c r="DQ71">
        <f>0</f>
        <v>0</v>
      </c>
      <c r="DR71">
        <f>0</f>
        <v>0</v>
      </c>
      <c r="DS71">
        <f>0</f>
        <v>0</v>
      </c>
      <c r="DT71">
        <f>0</f>
        <v>0</v>
      </c>
      <c r="DU71">
        <f>0</f>
        <v>0</v>
      </c>
    </row>
    <row r="72" spans="1:125">
      <c r="A72" t="str">
        <f>"    Diversified REITs"</f>
        <v xml:space="preserve">    Diversified REITs</v>
      </c>
      <c r="B72" t="str">
        <f>"RECFTDDV Index"</f>
        <v>RECFTDDV Index</v>
      </c>
      <c r="C72" t="str">
        <f t="shared" si="14"/>
        <v>PR005</v>
      </c>
      <c r="D72" t="str">
        <f t="shared" si="15"/>
        <v>PX_LAST</v>
      </c>
      <c r="E72" t="str">
        <f t="shared" si="16"/>
        <v>动态</v>
      </c>
      <c r="F72">
        <f ca="1">IF(AND(ISNUMBER($F$301),$B$183=1),$F$301,HLOOKUP(INDIRECT(ADDRESS(2,COLUMN())),OFFSET($BN$2,0,0,ROW()-1,60),ROW()-1,FALSE))</f>
        <v>1217.522706</v>
      </c>
      <c r="G72">
        <f ca="1">IF(AND(ISNUMBER($G$301),$B$183=1),$G$301,HLOOKUP(INDIRECT(ADDRESS(2,COLUMN())),OFFSET($BN$2,0,0,ROW()-1,60),ROW()-1,FALSE))</f>
        <v>1165.999</v>
      </c>
      <c r="H72">
        <f ca="1">IF(AND(ISNUMBER($H$301),$B$183=1),$H$301,HLOOKUP(INDIRECT(ADDRESS(2,COLUMN())),OFFSET($BN$2,0,0,ROW()-1,60),ROW()-1,FALSE))</f>
        <v>976.90800000000002</v>
      </c>
      <c r="I72">
        <f ca="1">IF(AND(ISNUMBER($I$301),$B$183=1),$I$301,HLOOKUP(INDIRECT(ADDRESS(2,COLUMN())),OFFSET($BN$2,0,0,ROW()-1,60),ROW()-1,FALSE))</f>
        <v>1110.9659999999999</v>
      </c>
      <c r="J72">
        <f ca="1">IF(AND(ISNUMBER($J$301),$B$183=1),$J$301,HLOOKUP(INDIRECT(ADDRESS(2,COLUMN())),OFFSET($BN$2,0,0,ROW()-1,60),ROW()-1,FALSE))</f>
        <v>813.88300000000004</v>
      </c>
      <c r="K72">
        <f ca="1">IF(AND(ISNUMBER($K$301),$B$183=1),$K$301,HLOOKUP(INDIRECT(ADDRESS(2,COLUMN())),OFFSET($BN$2,0,0,ROW()-1,60),ROW()-1,FALSE))</f>
        <v>774.70500000000004</v>
      </c>
      <c r="L72">
        <f ca="1">IF(AND(ISNUMBER($L$301),$B$183=1),$L$301,HLOOKUP(INDIRECT(ADDRESS(2,COLUMN())),OFFSET($BN$2,0,0,ROW()-1,60),ROW()-1,FALSE))</f>
        <v>773.15300000000002</v>
      </c>
      <c r="M72">
        <f ca="1">IF(AND(ISNUMBER($M$301),$B$183=1),$M$301,HLOOKUP(INDIRECT(ADDRESS(2,COLUMN())),OFFSET($BN$2,0,0,ROW()-1,60),ROW()-1,FALSE))</f>
        <v>738.98500000000001</v>
      </c>
      <c r="N72">
        <f ca="1">IF(AND(ISNUMBER($N$301),$B$183=1),$N$301,HLOOKUP(INDIRECT(ADDRESS(2,COLUMN())),OFFSET($BN$2,0,0,ROW()-1,60),ROW()-1,FALSE))</f>
        <v>760.74900000000002</v>
      </c>
      <c r="O72">
        <f ca="1">IF(AND(ISNUMBER($O$301),$B$183=1),$O$301,HLOOKUP(INDIRECT(ADDRESS(2,COLUMN())),OFFSET($BN$2,0,0,ROW()-1,60),ROW()-1,FALSE))</f>
        <v>1059.1510000000001</v>
      </c>
      <c r="P72">
        <f ca="1">IF(AND(ISNUMBER($P$301),$B$183=1),$P$301,HLOOKUP(INDIRECT(ADDRESS(2,COLUMN())),OFFSET($BN$2,0,0,ROW()-1,60),ROW()-1,FALSE))</f>
        <v>1042.492</v>
      </c>
      <c r="Q72">
        <f ca="1">IF(AND(ISNUMBER($Q$301),$B$183=1),$Q$301,HLOOKUP(INDIRECT(ADDRESS(2,COLUMN())),OFFSET($BN$2,0,0,ROW()-1,60),ROW()-1,FALSE))</f>
        <v>1102.3420000000001</v>
      </c>
      <c r="R72">
        <f ca="1">IF(AND(ISNUMBER($R$301),$B$183=1),$R$301,HLOOKUP(INDIRECT(ADDRESS(2,COLUMN())),OFFSET($BN$2,0,0,ROW()-1,60),ROW()-1,FALSE))</f>
        <v>1369.4390000000001</v>
      </c>
      <c r="S72">
        <f ca="1">IF(AND(ISNUMBER($S$301),$B$183=1),$S$301,HLOOKUP(INDIRECT(ADDRESS(2,COLUMN())),OFFSET($BN$2,0,0,ROW()-1,60),ROW()-1,FALSE))</f>
        <v>678.82600000000002</v>
      </c>
      <c r="T72">
        <f ca="1">IF(AND(ISNUMBER($T$301),$B$183=1),$T$301,HLOOKUP(INDIRECT(ADDRESS(2,COLUMN())),OFFSET($BN$2,0,0,ROW()-1,60),ROW()-1,FALSE))</f>
        <v>762.72299999999996</v>
      </c>
      <c r="U72">
        <f ca="1">IF(AND(ISNUMBER($U$301),$B$183=1),$U$301,HLOOKUP(INDIRECT(ADDRESS(2,COLUMN())),OFFSET($BN$2,0,0,ROW()-1,60),ROW()-1,FALSE))</f>
        <v>839.37099999999998</v>
      </c>
      <c r="V72">
        <f ca="1">IF(AND(ISNUMBER($V$301),$B$183=1),$V$301,HLOOKUP(INDIRECT(ADDRESS(2,COLUMN())),OFFSET($BN$2,0,0,ROW()-1,60),ROW()-1,FALSE))</f>
        <v>650.73099999999999</v>
      </c>
      <c r="W72">
        <f ca="1">IF(AND(ISNUMBER($W$301),$B$183=1),$W$301,HLOOKUP(INDIRECT(ADDRESS(2,COLUMN())),OFFSET($BN$2,0,0,ROW()-1,60),ROW()-1,FALSE))</f>
        <v>551.30600000000004</v>
      </c>
      <c r="X72">
        <f ca="1">IF(AND(ISNUMBER($X$301),$B$183=1),$X$301,HLOOKUP(INDIRECT(ADDRESS(2,COLUMN())),OFFSET($BN$2,0,0,ROW()-1,60),ROW()-1,FALSE))</f>
        <v>667.75599999999997</v>
      </c>
      <c r="Y72">
        <f ca="1">IF(AND(ISNUMBER($Y$301),$B$183=1),$Y$301,HLOOKUP(INDIRECT(ADDRESS(2,COLUMN())),OFFSET($BN$2,0,0,ROW()-1,60),ROW()-1,FALSE))</f>
        <v>596.798</v>
      </c>
      <c r="Z72">
        <f ca="1">IF(AND(ISNUMBER($Z$301),$B$183=1),$Z$301,HLOOKUP(INDIRECT(ADDRESS(2,COLUMN())),OFFSET($BN$2,0,0,ROW()-1,60),ROW()-1,FALSE))</f>
        <v>593.36199999999997</v>
      </c>
      <c r="AA72">
        <f ca="1">IF(AND(ISNUMBER($AA$301),$B$183=1),$AA$301,HLOOKUP(INDIRECT(ADDRESS(2,COLUMN())),OFFSET($BN$2,0,0,ROW()-1,60),ROW()-1,FALSE))</f>
        <v>322.78300000000002</v>
      </c>
      <c r="AB72">
        <f ca="1">IF(AND(ISNUMBER($AB$301),$B$183=1),$AB$301,HLOOKUP(INDIRECT(ADDRESS(2,COLUMN())),OFFSET($BN$2,0,0,ROW()-1,60),ROW()-1,FALSE))</f>
        <v>368.96600000000001</v>
      </c>
      <c r="AC72">
        <f ca="1">IF(AND(ISNUMBER($AC$301),$B$183=1),$AC$301,HLOOKUP(INDIRECT(ADDRESS(2,COLUMN())),OFFSET($BN$2,0,0,ROW()-1,60),ROW()-1,FALSE))</f>
        <v>337.34699999999998</v>
      </c>
      <c r="AD72">
        <f ca="1">IF(AND(ISNUMBER($AD$301),$B$183=1),$AD$301,HLOOKUP(INDIRECT(ADDRESS(2,COLUMN())),OFFSET($BN$2,0,0,ROW()-1,60),ROW()-1,FALSE))</f>
        <v>345.245</v>
      </c>
      <c r="AE72">
        <f ca="1">IF(AND(ISNUMBER($AE$301),$B$183=1),$AE$301,HLOOKUP(INDIRECT(ADDRESS(2,COLUMN())),OFFSET($BN$2,0,0,ROW()-1,60),ROW()-1,FALSE))</f>
        <v>314.41399999999999</v>
      </c>
      <c r="AF72">
        <f ca="1">IF(AND(ISNUMBER($AF$301),$B$183=1),$AF$301,HLOOKUP(INDIRECT(ADDRESS(2,COLUMN())),OFFSET($BN$2,0,0,ROW()-1,60),ROW()-1,FALSE))</f>
        <v>331.06599999999997</v>
      </c>
      <c r="AG72">
        <f ca="1">IF(AND(ISNUMBER($AG$301),$B$183=1),$AG$301,HLOOKUP(INDIRECT(ADDRESS(2,COLUMN())),OFFSET($BN$2,0,0,ROW()-1,60),ROW()-1,FALSE))</f>
        <v>353.63099999999997</v>
      </c>
      <c r="AH72">
        <f ca="1">IF(AND(ISNUMBER($AH$301),$B$183=1),$AH$301,HLOOKUP(INDIRECT(ADDRESS(2,COLUMN())),OFFSET($BN$2,0,0,ROW()-1,60),ROW()-1,FALSE))</f>
        <v>278.47500000000002</v>
      </c>
      <c r="AI72">
        <f ca="1">IF(AND(ISNUMBER($AI$301),$B$183=1),$AI$301,HLOOKUP(INDIRECT(ADDRESS(2,COLUMN())),OFFSET($BN$2,0,0,ROW()-1,60),ROW()-1,FALSE))</f>
        <v>237.86799999999999</v>
      </c>
      <c r="AJ72">
        <f ca="1">IF(AND(ISNUMBER($AJ$301),$B$183=1),$AJ$301,HLOOKUP(INDIRECT(ADDRESS(2,COLUMN())),OFFSET($BN$2,0,0,ROW()-1,60),ROW()-1,FALSE))</f>
        <v>230.95</v>
      </c>
      <c r="AK72">
        <f ca="1">IF(AND(ISNUMBER($AK$301),$B$183=1),$AK$301,HLOOKUP(INDIRECT(ADDRESS(2,COLUMN())),OFFSET($BN$2,0,0,ROW()-1,60),ROW()-1,FALSE))</f>
        <v>222.815</v>
      </c>
      <c r="AL72">
        <f ca="1">IF(AND(ISNUMBER($AL$301),$B$183=1),$AL$301,HLOOKUP(INDIRECT(ADDRESS(2,COLUMN())),OFFSET($BN$2,0,0,ROW()-1,60),ROW()-1,FALSE))</f>
        <v>159.89400000000001</v>
      </c>
      <c r="AM72">
        <f ca="1">IF(AND(ISNUMBER($AM$301),$B$183=1),$AM$301,HLOOKUP(INDIRECT(ADDRESS(2,COLUMN())),OFFSET($BN$2,0,0,ROW()-1,60),ROW()-1,FALSE))</f>
        <v>154.95400000000001</v>
      </c>
      <c r="AN72">
        <f ca="1">IF(AND(ISNUMBER($AN$301),$B$183=1),$AN$301,HLOOKUP(INDIRECT(ADDRESS(2,COLUMN())),OFFSET($BN$2,0,0,ROW()-1,60),ROW()-1,FALSE))</f>
        <v>156.15700000000001</v>
      </c>
      <c r="AO72">
        <f ca="1">IF(AND(ISNUMBER($AO$301),$B$183=1),$AO$301,HLOOKUP(INDIRECT(ADDRESS(2,COLUMN())),OFFSET($BN$2,0,0,ROW()-1,60),ROW()-1,FALSE))</f>
        <v>179.26599999999999</v>
      </c>
      <c r="AP72">
        <f ca="1">IF(AND(ISNUMBER($AP$301),$B$183=1),$AP$301,HLOOKUP(INDIRECT(ADDRESS(2,COLUMN())),OFFSET($BN$2,0,0,ROW()-1,60),ROW()-1,FALSE))</f>
        <v>303.37950000000001</v>
      </c>
      <c r="AQ72">
        <f ca="1">IF(AND(ISNUMBER($AQ$301),$B$183=1),$AQ$301,HLOOKUP(INDIRECT(ADDRESS(2,COLUMN())),OFFSET($BN$2,0,0,ROW()-1,60),ROW()-1,FALSE))</f>
        <v>297.32</v>
      </c>
      <c r="AR72">
        <f ca="1">IF(AND(ISNUMBER($AR$301),$B$183=1),$AR$301,HLOOKUP(INDIRECT(ADDRESS(2,COLUMN())),OFFSET($BN$2,0,0,ROW()-1,60),ROW()-1,FALSE))</f>
        <v>289.80399999999997</v>
      </c>
      <c r="AS72">
        <f ca="1">IF(AND(ISNUMBER($AS$301),$B$183=1),$AS$301,HLOOKUP(INDIRECT(ADDRESS(2,COLUMN())),OFFSET($BN$2,0,0,ROW()-1,60),ROW()-1,FALSE))</f>
        <v>543.00199999999995</v>
      </c>
      <c r="AT72">
        <f ca="1">IF(AND(ISNUMBER($AT$301),$B$183=1),$AT$301,HLOOKUP(INDIRECT(ADDRESS(2,COLUMN())),OFFSET($BN$2,0,0,ROW()-1,60),ROW()-1,FALSE))</f>
        <v>305.11849999999998</v>
      </c>
      <c r="AU72">
        <f ca="1">IF(AND(ISNUMBER($AU$301),$B$183=1),$AU$301,HLOOKUP(INDIRECT(ADDRESS(2,COLUMN())),OFFSET($BN$2,0,0,ROW()-1,60),ROW()-1,FALSE))</f>
        <v>291.56200000000001</v>
      </c>
      <c r="AV72">
        <f ca="1">IF(AND(ISNUMBER($AV$301),$B$183=1),$AV$301,HLOOKUP(INDIRECT(ADDRESS(2,COLUMN())),OFFSET($BN$2,0,0,ROW()-1,60),ROW()-1,FALSE))</f>
        <v>855.24599999999998</v>
      </c>
      <c r="AW72">
        <f ca="1">IF(AND(ISNUMBER($AW$301),$B$183=1),$AW$301,HLOOKUP(INDIRECT(ADDRESS(2,COLUMN())),OFFSET($BN$2,0,0,ROW()-1,60),ROW()-1,FALSE))</f>
        <v>385.416</v>
      </c>
      <c r="AX72">
        <f ca="1">IF(AND(ISNUMBER($AX$301),$B$183=1),$AX$301,HLOOKUP(INDIRECT(ADDRESS(2,COLUMN())),OFFSET($BN$2,0,0,ROW()-1,60),ROW()-1,FALSE))</f>
        <v>671.17399999999998</v>
      </c>
      <c r="AY72">
        <f ca="1">IF(AND(ISNUMBER($AY$301),$B$183=1),$AY$301,HLOOKUP(INDIRECT(ADDRESS(2,COLUMN())),OFFSET($BN$2,0,0,ROW()-1,60),ROW()-1,FALSE))</f>
        <v>411.077</v>
      </c>
      <c r="AZ72">
        <f ca="1">IF(AND(ISNUMBER($AZ$301),$B$183=1),$AZ$301,HLOOKUP(INDIRECT(ADDRESS(2,COLUMN())),OFFSET($BN$2,0,0,ROW()-1,60),ROW()-1,FALSE))</f>
        <v>392.255</v>
      </c>
      <c r="BA72">
        <f ca="1">IF(AND(ISNUMBER($BA$301),$B$183=1),$BA$301,HLOOKUP(INDIRECT(ADDRESS(2,COLUMN())),OFFSET($BN$2,0,0,ROW()-1,60),ROW()-1,FALSE))</f>
        <v>381.65499999999997</v>
      </c>
      <c r="BB72">
        <f ca="1">IF(AND(ISNUMBER($BB$301),$B$183=1),$BB$301,HLOOKUP(INDIRECT(ADDRESS(2,COLUMN())),OFFSET($BN$2,0,0,ROW()-1,60),ROW()-1,FALSE))</f>
        <v>503.44650000000001</v>
      </c>
      <c r="BC72">
        <f ca="1">IF(AND(ISNUMBER($BC$301),$B$183=1),$BC$301,HLOOKUP(INDIRECT(ADDRESS(2,COLUMN())),OFFSET($BN$2,0,0,ROW()-1,60),ROW()-1,FALSE))</f>
        <v>340.65600000000001</v>
      </c>
      <c r="BD72">
        <f ca="1">IF(AND(ISNUMBER($BD$301),$B$183=1),$BD$301,HLOOKUP(INDIRECT(ADDRESS(2,COLUMN())),OFFSET($BN$2,0,0,ROW()-1,60),ROW()-1,FALSE))</f>
        <v>321.10199999999998</v>
      </c>
      <c r="BE72">
        <f ca="1">IF(AND(ISNUMBER($BE$301),$B$183=1),$BE$301,HLOOKUP(INDIRECT(ADDRESS(2,COLUMN())),OFFSET($BN$2,0,0,ROW()-1,60),ROW()-1,FALSE))</f>
        <v>310.68400000000003</v>
      </c>
      <c r="BF72">
        <f ca="1">IF(AND(ISNUMBER($BF$301),$B$183=1),$BF$301,HLOOKUP(INDIRECT(ADDRESS(2,COLUMN())),OFFSET($BN$2,0,0,ROW()-1,60),ROW()-1,FALSE))</f>
        <v>655.39250000000004</v>
      </c>
      <c r="BG72">
        <f ca="1">IF(AND(ISNUMBER($BG$301),$B$183=1),$BG$301,HLOOKUP(INDIRECT(ADDRESS(2,COLUMN())),OFFSET($BN$2,0,0,ROW()-1,60),ROW()-1,FALSE))</f>
        <v>290.10500000000002</v>
      </c>
      <c r="BH72">
        <f ca="1">IF(AND(ISNUMBER($BH$301),$B$183=1),$BH$301,HLOOKUP(INDIRECT(ADDRESS(2,COLUMN())),OFFSET($BN$2,0,0,ROW()-1,60),ROW()-1,FALSE))</f>
        <v>283.40199999999999</v>
      </c>
      <c r="BI72">
        <f ca="1">IF(AND(ISNUMBER($BI$301),$B$183=1),$BI$301,HLOOKUP(INDIRECT(ADDRESS(2,COLUMN())),OFFSET($BN$2,0,0,ROW()-1,60),ROW()-1,FALSE))</f>
        <v>304.81900000000002</v>
      </c>
      <c r="BJ72">
        <f ca="1">IF(AND(ISNUMBER($BJ$301),$B$183=1),$BJ$301,HLOOKUP(INDIRECT(ADDRESS(2,COLUMN())),OFFSET($BN$2,0,0,ROW()-1,60),ROW()-1,FALSE))</f>
        <v>310.33</v>
      </c>
      <c r="BK72">
        <f ca="1">IF(AND(ISNUMBER($BK$301),$B$183=1),$BK$301,HLOOKUP(INDIRECT(ADDRESS(2,COLUMN())),OFFSET($BN$2,0,0,ROW()-1,60),ROW()-1,FALSE))</f>
        <v>364.25299999999999</v>
      </c>
      <c r="BL72">
        <f ca="1">IF(AND(ISNUMBER($BL$301),$B$183=1),$BL$301,HLOOKUP(INDIRECT(ADDRESS(2,COLUMN())),OFFSET($BN$2,0,0,ROW()-1,60),ROW()-1,FALSE))</f>
        <v>283.99</v>
      </c>
      <c r="BM72">
        <f ca="1">IF(AND(ISNUMBER($BM$301),$B$183=1),$BM$301,HLOOKUP(INDIRECT(ADDRESS(2,COLUMN())),OFFSET($BN$2,0,0,ROW()-1,60),ROW()-1,FALSE))</f>
        <v>377.65300000000002</v>
      </c>
      <c r="BN72">
        <f>1217.522706</f>
        <v>1217.522706</v>
      </c>
      <c r="BO72">
        <f>1165.999</f>
        <v>1165.999</v>
      </c>
      <c r="BP72">
        <f>976.908</f>
        <v>976.90800000000002</v>
      </c>
      <c r="BQ72">
        <f>1110.966</f>
        <v>1110.9659999999999</v>
      </c>
      <c r="BR72">
        <f>813.883</f>
        <v>813.88300000000004</v>
      </c>
      <c r="BS72">
        <f>774.705</f>
        <v>774.70500000000004</v>
      </c>
      <c r="BT72">
        <f>773.153</f>
        <v>773.15300000000002</v>
      </c>
      <c r="BU72">
        <f>738.985</f>
        <v>738.98500000000001</v>
      </c>
      <c r="BV72">
        <f>760.749</f>
        <v>760.74900000000002</v>
      </c>
      <c r="BW72">
        <f>1059.151</f>
        <v>1059.1510000000001</v>
      </c>
      <c r="BX72">
        <f>1042.492</f>
        <v>1042.492</v>
      </c>
      <c r="BY72">
        <f>1102.342</f>
        <v>1102.3420000000001</v>
      </c>
      <c r="BZ72">
        <f>1369.439</f>
        <v>1369.4390000000001</v>
      </c>
      <c r="CA72">
        <f>678.826</f>
        <v>678.82600000000002</v>
      </c>
      <c r="CB72">
        <f>762.723</f>
        <v>762.72299999999996</v>
      </c>
      <c r="CC72">
        <f>839.371</f>
        <v>839.37099999999998</v>
      </c>
      <c r="CD72">
        <f>650.731</f>
        <v>650.73099999999999</v>
      </c>
      <c r="CE72">
        <f>551.306</f>
        <v>551.30600000000004</v>
      </c>
      <c r="CF72">
        <f>667.756</f>
        <v>667.75599999999997</v>
      </c>
      <c r="CG72">
        <f>596.798</f>
        <v>596.798</v>
      </c>
      <c r="CH72">
        <f>593.362</f>
        <v>593.36199999999997</v>
      </c>
      <c r="CI72">
        <f>322.783</f>
        <v>322.78300000000002</v>
      </c>
      <c r="CJ72">
        <f>368.966</f>
        <v>368.96600000000001</v>
      </c>
      <c r="CK72">
        <f>337.347</f>
        <v>337.34699999999998</v>
      </c>
      <c r="CL72">
        <f>345.245</f>
        <v>345.245</v>
      </c>
      <c r="CM72">
        <f>314.414</f>
        <v>314.41399999999999</v>
      </c>
      <c r="CN72">
        <f>331.066</f>
        <v>331.06599999999997</v>
      </c>
      <c r="CO72">
        <f>353.631</f>
        <v>353.63099999999997</v>
      </c>
      <c r="CP72">
        <f>278.475</f>
        <v>278.47500000000002</v>
      </c>
      <c r="CQ72">
        <f>237.868</f>
        <v>237.86799999999999</v>
      </c>
      <c r="CR72">
        <f>230.95</f>
        <v>230.95</v>
      </c>
      <c r="CS72">
        <f>222.815</f>
        <v>222.815</v>
      </c>
      <c r="CT72">
        <f>159.894</f>
        <v>159.89400000000001</v>
      </c>
      <c r="CU72">
        <f>154.954</f>
        <v>154.95400000000001</v>
      </c>
      <c r="CV72">
        <f>156.157</f>
        <v>156.15700000000001</v>
      </c>
      <c r="CW72">
        <f>179.266</f>
        <v>179.26599999999999</v>
      </c>
      <c r="CX72">
        <f>303.3795</f>
        <v>303.37950000000001</v>
      </c>
      <c r="CY72">
        <f>297.32</f>
        <v>297.32</v>
      </c>
      <c r="CZ72">
        <f>289.804</f>
        <v>289.80399999999997</v>
      </c>
      <c r="DA72">
        <f>543.002</f>
        <v>543.00199999999995</v>
      </c>
      <c r="DB72">
        <f>305.1185</f>
        <v>305.11849999999998</v>
      </c>
      <c r="DC72">
        <f>291.562</f>
        <v>291.56200000000001</v>
      </c>
      <c r="DD72">
        <f>855.246</f>
        <v>855.24599999999998</v>
      </c>
      <c r="DE72">
        <f>385.416</f>
        <v>385.416</v>
      </c>
      <c r="DF72">
        <f>671.174</f>
        <v>671.17399999999998</v>
      </c>
      <c r="DG72">
        <f>411.077</f>
        <v>411.077</v>
      </c>
      <c r="DH72">
        <f>392.255</f>
        <v>392.255</v>
      </c>
      <c r="DI72">
        <f>381.655</f>
        <v>381.65499999999997</v>
      </c>
      <c r="DJ72">
        <f>503.4465</f>
        <v>503.44650000000001</v>
      </c>
      <c r="DK72">
        <f>340.656</f>
        <v>340.65600000000001</v>
      </c>
      <c r="DL72">
        <f>321.102</f>
        <v>321.10199999999998</v>
      </c>
      <c r="DM72">
        <f>310.684</f>
        <v>310.68400000000003</v>
      </c>
      <c r="DN72">
        <f>655.3925</f>
        <v>655.39250000000004</v>
      </c>
      <c r="DO72">
        <f>290.105</f>
        <v>290.10500000000002</v>
      </c>
      <c r="DP72">
        <f>283.402</f>
        <v>283.40199999999999</v>
      </c>
      <c r="DQ72">
        <f>304.819</f>
        <v>304.81900000000002</v>
      </c>
      <c r="DR72">
        <f>310.33</f>
        <v>310.33</v>
      </c>
      <c r="DS72">
        <f>364.253</f>
        <v>364.25299999999999</v>
      </c>
      <c r="DT72">
        <f>283.99</f>
        <v>283.99</v>
      </c>
      <c r="DU72">
        <f>377.653</f>
        <v>377.65300000000002</v>
      </c>
    </row>
    <row r="73" spans="1:125">
      <c r="A73" t="str">
        <f>"    Lodging/Resort REITs"</f>
        <v xml:space="preserve">    Lodging/Resort REITs</v>
      </c>
      <c r="B73" t="str">
        <f>"RECFTDLR Index"</f>
        <v>RECFTDLR Index</v>
      </c>
      <c r="C73" t="str">
        <f t="shared" si="14"/>
        <v>PR005</v>
      </c>
      <c r="D73" t="str">
        <f t="shared" si="15"/>
        <v>PX_LAST</v>
      </c>
      <c r="E73" t="str">
        <f t="shared" si="16"/>
        <v>动态</v>
      </c>
      <c r="F73">
        <f ca="1">IF(AND(ISNUMBER($F$302),$B$183=1),$F$302,HLOOKUP(INDIRECT(ADDRESS(2,COLUMN())),OFFSET($BN$2,0,0,ROW()-1,60),ROW()-1,FALSE))</f>
        <v>790.37087220000001</v>
      </c>
      <c r="G73">
        <f ca="1">IF(AND(ISNUMBER($G$302),$B$183=1),$G$302,HLOOKUP(INDIRECT(ADDRESS(2,COLUMN())),OFFSET($BN$2,0,0,ROW()-1,60),ROW()-1,FALSE))</f>
        <v>802.86800000000005</v>
      </c>
      <c r="H73">
        <f ca="1">IF(AND(ISNUMBER($H$302),$B$183=1),$H$302,HLOOKUP(INDIRECT(ADDRESS(2,COLUMN())),OFFSET($BN$2,0,0,ROW()-1,60),ROW()-1,FALSE))</f>
        <v>766.62699999999995</v>
      </c>
      <c r="I73">
        <f ca="1">IF(AND(ISNUMBER($I$302),$B$183=1),$I$302,HLOOKUP(INDIRECT(ADDRESS(2,COLUMN())),OFFSET($BN$2,0,0,ROW()-1,60),ROW()-1,FALSE))</f>
        <v>935.26300000000003</v>
      </c>
      <c r="J73">
        <f ca="1">IF(AND(ISNUMBER($J$302),$B$183=1),$J$302,HLOOKUP(INDIRECT(ADDRESS(2,COLUMN())),OFFSET($BN$2,0,0,ROW()-1,60),ROW()-1,FALSE))</f>
        <v>666.01400000000001</v>
      </c>
      <c r="K73">
        <f ca="1">IF(AND(ISNUMBER($K$302),$B$183=1),$K$302,HLOOKUP(INDIRECT(ADDRESS(2,COLUMN())),OFFSET($BN$2,0,0,ROW()-1,60),ROW()-1,FALSE))</f>
        <v>647.79200000000003</v>
      </c>
      <c r="L73">
        <f ca="1">IF(AND(ISNUMBER($L$302),$B$183=1),$L$302,HLOOKUP(INDIRECT(ADDRESS(2,COLUMN())),OFFSET($BN$2,0,0,ROW()-1,60),ROW()-1,FALSE))</f>
        <v>640.11</v>
      </c>
      <c r="M73">
        <f ca="1">IF(AND(ISNUMBER($M$302),$B$183=1),$M$302,HLOOKUP(INDIRECT(ADDRESS(2,COLUMN())),OFFSET($BN$2,0,0,ROW()-1,60),ROW()-1,FALSE))</f>
        <v>805.75699999999995</v>
      </c>
      <c r="N73">
        <f ca="1">IF(AND(ISNUMBER($N$302),$B$183=1),$N$302,HLOOKUP(INDIRECT(ADDRESS(2,COLUMN())),OFFSET($BN$2,0,0,ROW()-1,60),ROW()-1,FALSE))</f>
        <v>654.49699999999996</v>
      </c>
      <c r="O73">
        <f ca="1">IF(AND(ISNUMBER($O$302),$B$183=1),$O$302,HLOOKUP(INDIRECT(ADDRESS(2,COLUMN())),OFFSET($BN$2,0,0,ROW()-1,60),ROW()-1,FALSE))</f>
        <v>627.63900000000001</v>
      </c>
      <c r="P73">
        <f ca="1">IF(AND(ISNUMBER($P$302),$B$183=1),$P$302,HLOOKUP(INDIRECT(ADDRESS(2,COLUMN())),OFFSET($BN$2,0,0,ROW()-1,60),ROW()-1,FALSE))</f>
        <v>628.01700000000005</v>
      </c>
      <c r="Q73">
        <f ca="1">IF(AND(ISNUMBER($Q$302),$B$183=1),$Q$302,HLOOKUP(INDIRECT(ADDRESS(2,COLUMN())),OFFSET($BN$2,0,0,ROW()-1,60),ROW()-1,FALSE))</f>
        <v>626.87900000000002</v>
      </c>
      <c r="R73">
        <f ca="1">IF(AND(ISNUMBER($R$302),$B$183=1),$R$302,HLOOKUP(INDIRECT(ADDRESS(2,COLUMN())),OFFSET($BN$2,0,0,ROW()-1,60),ROW()-1,FALSE))</f>
        <v>502.03699999999998</v>
      </c>
      <c r="S73">
        <f ca="1">IF(AND(ISNUMBER($S$302),$B$183=1),$S$302,HLOOKUP(INDIRECT(ADDRESS(2,COLUMN())),OFFSET($BN$2,0,0,ROW()-1,60),ROW()-1,FALSE))</f>
        <v>448.92200000000003</v>
      </c>
      <c r="T73">
        <f ca="1">IF(AND(ISNUMBER($T$302),$B$183=1),$T$302,HLOOKUP(INDIRECT(ADDRESS(2,COLUMN())),OFFSET($BN$2,0,0,ROW()-1,60),ROW()-1,FALSE))</f>
        <v>435.70299999999997</v>
      </c>
      <c r="U73">
        <f ca="1">IF(AND(ISNUMBER($U$302),$B$183=1),$U$302,HLOOKUP(INDIRECT(ADDRESS(2,COLUMN())),OFFSET($BN$2,0,0,ROW()-1,60),ROW()-1,FALSE))</f>
        <v>401.642</v>
      </c>
      <c r="V73">
        <f ca="1">IF(AND(ISNUMBER($V$302),$B$183=1),$V$302,HLOOKUP(INDIRECT(ADDRESS(2,COLUMN())),OFFSET($BN$2,0,0,ROW()-1,60),ROW()-1,FALSE))</f>
        <v>394.79399999999998</v>
      </c>
      <c r="W73">
        <f ca="1">IF(AND(ISNUMBER($W$302),$B$183=1),$W$302,HLOOKUP(INDIRECT(ADDRESS(2,COLUMN())),OFFSET($BN$2,0,0,ROW()-1,60),ROW()-1,FALSE))</f>
        <v>359.00299999999999</v>
      </c>
      <c r="X73">
        <f ca="1">IF(AND(ISNUMBER($X$302),$B$183=1),$X$302,HLOOKUP(INDIRECT(ADDRESS(2,COLUMN())),OFFSET($BN$2,0,0,ROW()-1,60),ROW()-1,FALSE))</f>
        <v>348.40300000000002</v>
      </c>
      <c r="Y73">
        <f ca="1">IF(AND(ISNUMBER($Y$302),$B$183=1),$Y$302,HLOOKUP(INDIRECT(ADDRESS(2,COLUMN())),OFFSET($BN$2,0,0,ROW()-1,60),ROW()-1,FALSE))</f>
        <v>301.17599999999999</v>
      </c>
      <c r="Z73">
        <f ca="1">IF(AND(ISNUMBER($Z$302),$B$183=1),$Z$302,HLOOKUP(INDIRECT(ADDRESS(2,COLUMN())),OFFSET($BN$2,0,0,ROW()-1,60),ROW()-1,FALSE))</f>
        <v>412.69499999999999</v>
      </c>
      <c r="AA73">
        <f ca="1">IF(AND(ISNUMBER($AA$302),$B$183=1),$AA$302,HLOOKUP(INDIRECT(ADDRESS(2,COLUMN())),OFFSET($BN$2,0,0,ROW()-1,60),ROW()-1,FALSE))</f>
        <v>237.983</v>
      </c>
      <c r="AB73">
        <f ca="1">IF(AND(ISNUMBER($AB$302),$B$183=1),$AB$302,HLOOKUP(INDIRECT(ADDRESS(2,COLUMN())),OFFSET($BN$2,0,0,ROW()-1,60),ROW()-1,FALSE))</f>
        <v>339.96499999999997</v>
      </c>
      <c r="AC73">
        <f ca="1">IF(AND(ISNUMBER($AC$302),$B$183=1),$AC$302,HLOOKUP(INDIRECT(ADDRESS(2,COLUMN())),OFFSET($BN$2,0,0,ROW()-1,60),ROW()-1,FALSE))</f>
        <v>224.09100000000001</v>
      </c>
      <c r="AD73">
        <f ca="1">IF(AND(ISNUMBER($AD$302),$B$183=1),$AD$302,HLOOKUP(INDIRECT(ADDRESS(2,COLUMN())),OFFSET($BN$2,0,0,ROW()-1,60),ROW()-1,FALSE))</f>
        <v>211.251</v>
      </c>
      <c r="AE73">
        <f ca="1">IF(AND(ISNUMBER($AE$302),$B$183=1),$AE$302,HLOOKUP(INDIRECT(ADDRESS(2,COLUMN())),OFFSET($BN$2,0,0,ROW()-1,60),ROW()-1,FALSE))</f>
        <v>190.999</v>
      </c>
      <c r="AF73">
        <f ca="1">IF(AND(ISNUMBER($AF$302),$B$183=1),$AF$302,HLOOKUP(INDIRECT(ADDRESS(2,COLUMN())),OFFSET($BN$2,0,0,ROW()-1,60),ROW()-1,FALSE))</f>
        <v>169.44399999999999</v>
      </c>
      <c r="AG73">
        <f ca="1">IF(AND(ISNUMBER($AG$302),$B$183=1),$AG$302,HLOOKUP(INDIRECT(ADDRESS(2,COLUMN())),OFFSET($BN$2,0,0,ROW()-1,60),ROW()-1,FALSE))</f>
        <v>137.959</v>
      </c>
      <c r="AH73">
        <f ca="1">IF(AND(ISNUMBER($AH$302),$B$183=1),$AH$302,HLOOKUP(INDIRECT(ADDRESS(2,COLUMN())),OFFSET($BN$2,0,0,ROW()-1,60),ROW()-1,FALSE))</f>
        <v>112.85</v>
      </c>
      <c r="AI73">
        <f ca="1">IF(AND(ISNUMBER($AI$302),$B$183=1),$AI$302,HLOOKUP(INDIRECT(ADDRESS(2,COLUMN())),OFFSET($BN$2,0,0,ROW()-1,60),ROW()-1,FALSE))</f>
        <v>97.86</v>
      </c>
      <c r="AJ73">
        <f ca="1">IF(AND(ISNUMBER($AJ$302),$B$183=1),$AJ$302,HLOOKUP(INDIRECT(ADDRESS(2,COLUMN())),OFFSET($BN$2,0,0,ROW()-1,60),ROW()-1,FALSE))</f>
        <v>103.488</v>
      </c>
      <c r="AK73">
        <f ca="1">IF(AND(ISNUMBER($AK$302),$B$183=1),$AK$302,HLOOKUP(INDIRECT(ADDRESS(2,COLUMN())),OFFSET($BN$2,0,0,ROW()-1,60),ROW()-1,FALSE))</f>
        <v>94.126999999999995</v>
      </c>
      <c r="AL73">
        <f ca="1">IF(AND(ISNUMBER($AL$302),$B$183=1),$AL$302,HLOOKUP(INDIRECT(ADDRESS(2,COLUMN())),OFFSET($BN$2,0,0,ROW()-1,60),ROW()-1,FALSE))</f>
        <v>49.898000000000003</v>
      </c>
      <c r="AM73">
        <f ca="1">IF(AND(ISNUMBER($AM$302),$B$183=1),$AM$302,HLOOKUP(INDIRECT(ADDRESS(2,COLUMN())),OFFSET($BN$2,0,0,ROW()-1,60),ROW()-1,FALSE))</f>
        <v>37.274000000000001</v>
      </c>
      <c r="AN73">
        <f ca="1">IF(AND(ISNUMBER($AN$302),$B$183=1),$AN$302,HLOOKUP(INDIRECT(ADDRESS(2,COLUMN())),OFFSET($BN$2,0,0,ROW()-1,60),ROW()-1,FALSE))</f>
        <v>42.585000000000001</v>
      </c>
      <c r="AO73">
        <f ca="1">IF(AND(ISNUMBER($AO$302),$B$183=1),$AO$302,HLOOKUP(INDIRECT(ADDRESS(2,COLUMN())),OFFSET($BN$2,0,0,ROW()-1,60),ROW()-1,FALSE))</f>
        <v>162.733</v>
      </c>
      <c r="AP73">
        <f ca="1">IF(AND(ISNUMBER($AP$302),$B$183=1),$AP$302,HLOOKUP(INDIRECT(ADDRESS(2,COLUMN())),OFFSET($BN$2,0,0,ROW()-1,60),ROW()-1,FALSE))</f>
        <v>354.80500000000001</v>
      </c>
      <c r="AQ73">
        <f ca="1">IF(AND(ISNUMBER($AQ$302),$B$183=1),$AQ$302,HLOOKUP(INDIRECT(ADDRESS(2,COLUMN())),OFFSET($BN$2,0,0,ROW()-1,60),ROW()-1,FALSE))</f>
        <v>384.61700000000002</v>
      </c>
      <c r="AR73">
        <f ca="1">IF(AND(ISNUMBER($AR$302),$B$183=1),$AR$302,HLOOKUP(INDIRECT(ADDRESS(2,COLUMN())),OFFSET($BN$2,0,0,ROW()-1,60),ROW()-1,FALSE))</f>
        <v>385.447</v>
      </c>
      <c r="AS73">
        <f ca="1">IF(AND(ISNUMBER($AS$302),$B$183=1),$AS$302,HLOOKUP(INDIRECT(ADDRESS(2,COLUMN())),OFFSET($BN$2,0,0,ROW()-1,60),ROW()-1,FALSE))</f>
        <v>486.00700000000001</v>
      </c>
      <c r="AT73">
        <f ca="1">IF(AND(ISNUMBER($AT$302),$B$183=1),$AT$302,HLOOKUP(INDIRECT(ADDRESS(2,COLUMN())),OFFSET($BN$2,0,0,ROW()-1,60),ROW()-1,FALSE))</f>
        <v>436.77050000000003</v>
      </c>
      <c r="AU73">
        <f ca="1">IF(AND(ISNUMBER($AU$302),$B$183=1),$AU$302,HLOOKUP(INDIRECT(ADDRESS(2,COLUMN())),OFFSET($BN$2,0,0,ROW()-1,60),ROW()-1,FALSE))</f>
        <v>368.09500000000003</v>
      </c>
      <c r="AV73">
        <f ca="1">IF(AND(ISNUMBER($AV$302),$B$183=1),$AV$302,HLOOKUP(INDIRECT(ADDRESS(2,COLUMN())),OFFSET($BN$2,0,0,ROW()-1,60),ROW()-1,FALSE))</f>
        <v>382.74700000000001</v>
      </c>
      <c r="AW73">
        <f ca="1">IF(AND(ISNUMBER($AW$302),$B$183=1),$AW$302,HLOOKUP(INDIRECT(ADDRESS(2,COLUMN())),OFFSET($BN$2,0,0,ROW()-1,60),ROW()-1,FALSE))</f>
        <v>530.70600000000002</v>
      </c>
      <c r="AX73">
        <f ca="1">IF(AND(ISNUMBER($AX$302),$B$183=1),$AX$302,HLOOKUP(INDIRECT(ADDRESS(2,COLUMN())),OFFSET($BN$2,0,0,ROW()-1,60),ROW()-1,FALSE))</f>
        <v>363.822</v>
      </c>
      <c r="AY73">
        <f ca="1">IF(AND(ISNUMBER($AY$302),$B$183=1),$AY$302,HLOOKUP(INDIRECT(ADDRESS(2,COLUMN())),OFFSET($BN$2,0,0,ROW()-1,60),ROW()-1,FALSE))</f>
        <v>346.47500000000002</v>
      </c>
      <c r="AZ73">
        <f ca="1">IF(AND(ISNUMBER($AZ$302),$B$183=1),$AZ$302,HLOOKUP(INDIRECT(ADDRESS(2,COLUMN())),OFFSET($BN$2,0,0,ROW()-1,60),ROW()-1,FALSE))</f>
        <v>289.399</v>
      </c>
      <c r="BA73">
        <f ca="1">IF(AND(ISNUMBER($BA$302),$B$183=1),$BA$302,HLOOKUP(INDIRECT(ADDRESS(2,COLUMN())),OFFSET($BN$2,0,0,ROW()-1,60),ROW()-1,FALSE))</f>
        <v>243.273</v>
      </c>
      <c r="BB73">
        <f ca="1">IF(AND(ISNUMBER($BB$302),$B$183=1),$BB$302,HLOOKUP(INDIRECT(ADDRESS(2,COLUMN())),OFFSET($BN$2,0,0,ROW()-1,60),ROW()-1,FALSE))</f>
        <v>244.30099999999999</v>
      </c>
      <c r="BC73">
        <f ca="1">IF(AND(ISNUMBER($BC$302),$B$183=1),$BC$302,HLOOKUP(INDIRECT(ADDRESS(2,COLUMN())),OFFSET($BN$2,0,0,ROW()-1,60),ROW()-1,FALSE))</f>
        <v>214.143</v>
      </c>
      <c r="BD73">
        <f ca="1">IF(AND(ISNUMBER($BD$302),$B$183=1),$BD$302,HLOOKUP(INDIRECT(ADDRESS(2,COLUMN())),OFFSET($BN$2,0,0,ROW()-1,60),ROW()-1,FALSE))</f>
        <v>187.965</v>
      </c>
      <c r="BE73">
        <f ca="1">IF(AND(ISNUMBER($BE$302),$B$183=1),$BE$302,HLOOKUP(INDIRECT(ADDRESS(2,COLUMN())),OFFSET($BN$2,0,0,ROW()-1,60),ROW()-1,FALSE))</f>
        <v>146.61199999999999</v>
      </c>
      <c r="BF73">
        <f ca="1">IF(AND(ISNUMBER($BF$302),$B$183=1),$BF$302,HLOOKUP(INDIRECT(ADDRESS(2,COLUMN())),OFFSET($BN$2,0,0,ROW()-1,60),ROW()-1,FALSE))</f>
        <v>145.07300000000001</v>
      </c>
      <c r="BG73">
        <f ca="1">IF(AND(ISNUMBER($BG$302),$B$183=1),$BG$302,HLOOKUP(INDIRECT(ADDRESS(2,COLUMN())),OFFSET($BN$2,0,0,ROW()-1,60),ROW()-1,FALSE))</f>
        <v>135.13300000000001</v>
      </c>
      <c r="BH73">
        <f ca="1">IF(AND(ISNUMBER($BH$302),$B$183=1),$BH$302,HLOOKUP(INDIRECT(ADDRESS(2,COLUMN())),OFFSET($BN$2,0,0,ROW()-1,60),ROW()-1,FALSE))</f>
        <v>106.613</v>
      </c>
      <c r="BI73">
        <f ca="1">IF(AND(ISNUMBER($BI$302),$B$183=1),$BI$302,HLOOKUP(INDIRECT(ADDRESS(2,COLUMN())),OFFSET($BN$2,0,0,ROW()-1,60),ROW()-1,FALSE))</f>
        <v>102.223</v>
      </c>
      <c r="BJ73">
        <f ca="1">IF(AND(ISNUMBER($BJ$302),$B$183=1),$BJ$302,HLOOKUP(INDIRECT(ADDRESS(2,COLUMN())),OFFSET($BN$2,0,0,ROW()-1,60),ROW()-1,FALSE))</f>
        <v>96.373500000000007</v>
      </c>
      <c r="BK73">
        <f ca="1">IF(AND(ISNUMBER($BK$302),$B$183=1),$BK$302,HLOOKUP(INDIRECT(ADDRESS(2,COLUMN())),OFFSET($BN$2,0,0,ROW()-1,60),ROW()-1,FALSE))</f>
        <v>97.73</v>
      </c>
      <c r="BL73">
        <f ca="1">IF(AND(ISNUMBER($BL$302),$B$183=1),$BL$302,HLOOKUP(INDIRECT(ADDRESS(2,COLUMN())),OFFSET($BN$2,0,0,ROW()-1,60),ROW()-1,FALSE))</f>
        <v>109.09</v>
      </c>
      <c r="BM73">
        <f ca="1">IF(AND(ISNUMBER($BM$302),$B$183=1),$BM$302,HLOOKUP(INDIRECT(ADDRESS(2,COLUMN())),OFFSET($BN$2,0,0,ROW()-1,60),ROW()-1,FALSE))</f>
        <v>126.88500000000001</v>
      </c>
      <c r="BN73">
        <f>790.3708722</f>
        <v>790.37087220000001</v>
      </c>
      <c r="BO73">
        <f>802.868</f>
        <v>802.86800000000005</v>
      </c>
      <c r="BP73">
        <f>766.627</f>
        <v>766.62699999999995</v>
      </c>
      <c r="BQ73">
        <f>935.263</f>
        <v>935.26300000000003</v>
      </c>
      <c r="BR73">
        <f>666.014</f>
        <v>666.01400000000001</v>
      </c>
      <c r="BS73">
        <f>647.792</f>
        <v>647.79200000000003</v>
      </c>
      <c r="BT73">
        <f>640.11</f>
        <v>640.11</v>
      </c>
      <c r="BU73">
        <f>805.757</f>
        <v>805.75699999999995</v>
      </c>
      <c r="BV73">
        <f>654.497</f>
        <v>654.49699999999996</v>
      </c>
      <c r="BW73">
        <f>627.639</f>
        <v>627.63900000000001</v>
      </c>
      <c r="BX73">
        <f>628.017</f>
        <v>628.01700000000005</v>
      </c>
      <c r="BY73">
        <f>626.879</f>
        <v>626.87900000000002</v>
      </c>
      <c r="BZ73">
        <f>502.037</f>
        <v>502.03699999999998</v>
      </c>
      <c r="CA73">
        <f>448.922</f>
        <v>448.92200000000003</v>
      </c>
      <c r="CB73">
        <f>435.703</f>
        <v>435.70299999999997</v>
      </c>
      <c r="CC73">
        <f>401.642</f>
        <v>401.642</v>
      </c>
      <c r="CD73">
        <f>394.794</f>
        <v>394.79399999999998</v>
      </c>
      <c r="CE73">
        <f>359.003</f>
        <v>359.00299999999999</v>
      </c>
      <c r="CF73">
        <f>348.403</f>
        <v>348.40300000000002</v>
      </c>
      <c r="CG73">
        <f>301.176</f>
        <v>301.17599999999999</v>
      </c>
      <c r="CH73">
        <f>412.695</f>
        <v>412.69499999999999</v>
      </c>
      <c r="CI73">
        <f>237.983</f>
        <v>237.983</v>
      </c>
      <c r="CJ73">
        <f>339.965</f>
        <v>339.96499999999997</v>
      </c>
      <c r="CK73">
        <f>224.091</f>
        <v>224.09100000000001</v>
      </c>
      <c r="CL73">
        <f>211.251</f>
        <v>211.251</v>
      </c>
      <c r="CM73">
        <f>190.999</f>
        <v>190.999</v>
      </c>
      <c r="CN73">
        <f>169.444</f>
        <v>169.44399999999999</v>
      </c>
      <c r="CO73">
        <f>137.959</f>
        <v>137.959</v>
      </c>
      <c r="CP73">
        <f>112.85</f>
        <v>112.85</v>
      </c>
      <c r="CQ73">
        <f>97.86</f>
        <v>97.86</v>
      </c>
      <c r="CR73">
        <f>103.488</f>
        <v>103.488</v>
      </c>
      <c r="CS73">
        <f>94.127</f>
        <v>94.126999999999995</v>
      </c>
      <c r="CT73">
        <f>49.898</f>
        <v>49.898000000000003</v>
      </c>
      <c r="CU73">
        <f>37.274</f>
        <v>37.274000000000001</v>
      </c>
      <c r="CV73">
        <f>42.585</f>
        <v>42.585000000000001</v>
      </c>
      <c r="CW73">
        <f>162.733</f>
        <v>162.733</v>
      </c>
      <c r="CX73">
        <f>354.805</f>
        <v>354.80500000000001</v>
      </c>
      <c r="CY73">
        <f>384.617</f>
        <v>384.61700000000002</v>
      </c>
      <c r="CZ73">
        <f>385.447</f>
        <v>385.447</v>
      </c>
      <c r="DA73">
        <f>486.007</f>
        <v>486.00700000000001</v>
      </c>
      <c r="DB73">
        <f>436.7705</f>
        <v>436.77050000000003</v>
      </c>
      <c r="DC73">
        <f>368.095</f>
        <v>368.09500000000003</v>
      </c>
      <c r="DD73">
        <f>382.747</f>
        <v>382.74700000000001</v>
      </c>
      <c r="DE73">
        <f>530.706</f>
        <v>530.70600000000002</v>
      </c>
      <c r="DF73">
        <f>363.822</f>
        <v>363.822</v>
      </c>
      <c r="DG73">
        <f>346.475</f>
        <v>346.47500000000002</v>
      </c>
      <c r="DH73">
        <f>289.399</f>
        <v>289.399</v>
      </c>
      <c r="DI73">
        <f>243.273</f>
        <v>243.273</v>
      </c>
      <c r="DJ73">
        <f>244.301</f>
        <v>244.30099999999999</v>
      </c>
      <c r="DK73">
        <f>214.143</f>
        <v>214.143</v>
      </c>
      <c r="DL73">
        <f>187.965</f>
        <v>187.965</v>
      </c>
      <c r="DM73">
        <f>146.612</f>
        <v>146.61199999999999</v>
      </c>
      <c r="DN73">
        <f>145.073</f>
        <v>145.07300000000001</v>
      </c>
      <c r="DO73">
        <f>135.133</f>
        <v>135.13300000000001</v>
      </c>
      <c r="DP73">
        <f>106.613</f>
        <v>106.613</v>
      </c>
      <c r="DQ73">
        <f>102.223</f>
        <v>102.223</v>
      </c>
      <c r="DR73">
        <f>96.3735</f>
        <v>96.373500000000007</v>
      </c>
      <c r="DS73">
        <f>97.73</f>
        <v>97.73</v>
      </c>
      <c r="DT73">
        <f>109.09</f>
        <v>109.09</v>
      </c>
      <c r="DU73">
        <f>126.885</f>
        <v>126.88500000000001</v>
      </c>
    </row>
    <row r="74" spans="1:125">
      <c r="A74" t="str">
        <f>"    Self Storage REITs"</f>
        <v xml:space="preserve">    Self Storage REITs</v>
      </c>
      <c r="B74" t="str">
        <f>"RECFTDSS Index"</f>
        <v>RECFTDSS Index</v>
      </c>
      <c r="C74" t="str">
        <f t="shared" si="14"/>
        <v>PR005</v>
      </c>
      <c r="D74" t="str">
        <f t="shared" si="15"/>
        <v>PX_LAST</v>
      </c>
      <c r="E74" t="str">
        <f t="shared" si="16"/>
        <v>动态</v>
      </c>
      <c r="F74">
        <f ca="1">IF(AND(ISNUMBER($F$303),$B$183=1),$F$303,HLOOKUP(INDIRECT(ADDRESS(2,COLUMN())),OFFSET($BN$2,0,0,ROW()-1,60),ROW()-1,FALSE))</f>
        <v>654.13105729999995</v>
      </c>
      <c r="G74">
        <f ca="1">IF(AND(ISNUMBER($G$303),$B$183=1),$G$303,HLOOKUP(INDIRECT(ADDRESS(2,COLUMN())),OFFSET($BN$2,0,0,ROW()-1,60),ROW()-1,FALSE))</f>
        <v>640.63400000000001</v>
      </c>
      <c r="H74">
        <f ca="1">IF(AND(ISNUMBER($H$303),$B$183=1),$H$303,HLOOKUP(INDIRECT(ADDRESS(2,COLUMN())),OFFSET($BN$2,0,0,ROW()-1,60),ROW()-1,FALSE))</f>
        <v>639.41600000000005</v>
      </c>
      <c r="I74">
        <f ca="1">IF(AND(ISNUMBER($I$303),$B$183=1),$I$303,HLOOKUP(INDIRECT(ADDRESS(2,COLUMN())),OFFSET($BN$2,0,0,ROW()-1,60),ROW()-1,FALSE))</f>
        <v>634.57000000000005</v>
      </c>
      <c r="J74">
        <f ca="1">IF(AND(ISNUMBER($J$303),$B$183=1),$J$303,HLOOKUP(INDIRECT(ADDRESS(2,COLUMN())),OFFSET($BN$2,0,0,ROW()-1,60),ROW()-1,FALSE))</f>
        <v>635.93399999999997</v>
      </c>
      <c r="K74">
        <f ca="1">IF(AND(ISNUMBER($K$303),$B$183=1),$K$303,HLOOKUP(INDIRECT(ADDRESS(2,COLUMN())),OFFSET($BN$2,0,0,ROW()-1,60),ROW()-1,FALSE))</f>
        <v>581.875</v>
      </c>
      <c r="L74">
        <f ca="1">IF(AND(ISNUMBER($L$303),$B$183=1),$L$303,HLOOKUP(INDIRECT(ADDRESS(2,COLUMN())),OFFSET($BN$2,0,0,ROW()-1,60),ROW()-1,FALSE))</f>
        <v>574.08000000000004</v>
      </c>
      <c r="M74">
        <f ca="1">IF(AND(ISNUMBER($M$303),$B$183=1),$M$303,HLOOKUP(INDIRECT(ADDRESS(2,COLUMN())),OFFSET($BN$2,0,0,ROW()-1,60),ROW()-1,FALSE))</f>
        <v>522.75699999999995</v>
      </c>
      <c r="N74">
        <f ca="1">IF(AND(ISNUMBER($N$303),$B$183=1),$N$303,HLOOKUP(INDIRECT(ADDRESS(2,COLUMN())),OFFSET($BN$2,0,0,ROW()-1,60),ROW()-1,FALSE))</f>
        <v>522.06500000000005</v>
      </c>
      <c r="O74">
        <f ca="1">IF(AND(ISNUMBER($O$303),$B$183=1),$O$303,HLOOKUP(INDIRECT(ADDRESS(2,COLUMN())),OFFSET($BN$2,0,0,ROW()-1,60),ROW()-1,FALSE))</f>
        <v>505.27300000000002</v>
      </c>
      <c r="P74">
        <f ca="1">IF(AND(ISNUMBER($P$303),$B$183=1),$P$303,HLOOKUP(INDIRECT(ADDRESS(2,COLUMN())),OFFSET($BN$2,0,0,ROW()-1,60),ROW()-1,FALSE))</f>
        <v>496.13200000000001</v>
      </c>
      <c r="Q74">
        <f ca="1">IF(AND(ISNUMBER($Q$303),$B$183=1),$Q$303,HLOOKUP(INDIRECT(ADDRESS(2,COLUMN())),OFFSET($BN$2,0,0,ROW()-1,60),ROW()-1,FALSE))</f>
        <v>421.27600000000001</v>
      </c>
      <c r="R74">
        <f ca="1">IF(AND(ISNUMBER($R$303),$B$183=1),$R$303,HLOOKUP(INDIRECT(ADDRESS(2,COLUMN())),OFFSET($BN$2,0,0,ROW()-1,60),ROW()-1,FALSE))</f>
        <v>409.541</v>
      </c>
      <c r="S74">
        <f ca="1">IF(AND(ISNUMBER($S$303),$B$183=1),$S$303,HLOOKUP(INDIRECT(ADDRESS(2,COLUMN())),OFFSET($BN$2,0,0,ROW()-1,60),ROW()-1,FALSE))</f>
        <v>407.82600000000002</v>
      </c>
      <c r="T74">
        <f ca="1">IF(AND(ISNUMBER($T$303),$B$183=1),$T$303,HLOOKUP(INDIRECT(ADDRESS(2,COLUMN())),OFFSET($BN$2,0,0,ROW()-1,60),ROW()-1,FALSE))</f>
        <v>403.66500000000002</v>
      </c>
      <c r="U74">
        <f ca="1">IF(AND(ISNUMBER($U$303),$B$183=1),$U$303,HLOOKUP(INDIRECT(ADDRESS(2,COLUMN())),OFFSET($BN$2,0,0,ROW()-1,60),ROW()-1,FALSE))</f>
        <v>388.81799999999998</v>
      </c>
      <c r="V74">
        <f ca="1">IF(AND(ISNUMBER($V$303),$B$183=1),$V$303,HLOOKUP(INDIRECT(ADDRESS(2,COLUMN())),OFFSET($BN$2,0,0,ROW()-1,60),ROW()-1,FALSE))</f>
        <v>379.137</v>
      </c>
      <c r="W74">
        <f ca="1">IF(AND(ISNUMBER($W$303),$B$183=1),$W$303,HLOOKUP(INDIRECT(ADDRESS(2,COLUMN())),OFFSET($BN$2,0,0,ROW()-1,60),ROW()-1,FALSE))</f>
        <v>350.44600000000003</v>
      </c>
      <c r="X74">
        <f ca="1">IF(AND(ISNUMBER($X$303),$B$183=1),$X$303,HLOOKUP(INDIRECT(ADDRESS(2,COLUMN())),OFFSET($BN$2,0,0,ROW()-1,60),ROW()-1,FALSE))</f>
        <v>347.93799999999999</v>
      </c>
      <c r="Y74">
        <f ca="1">IF(AND(ISNUMBER($Y$303),$B$183=1),$Y$303,HLOOKUP(INDIRECT(ADDRESS(2,COLUMN())),OFFSET($BN$2,0,0,ROW()-1,60),ROW()-1,FALSE))</f>
        <v>326.67399999999998</v>
      </c>
      <c r="Z74">
        <f ca="1">IF(AND(ISNUMBER($Z$303),$B$183=1),$Z$303,HLOOKUP(INDIRECT(ADDRESS(2,COLUMN())),OFFSET($BN$2,0,0,ROW()-1,60),ROW()-1,FALSE))</f>
        <v>500.94799999999998</v>
      </c>
      <c r="AA74">
        <f ca="1">IF(AND(ISNUMBER($AA$303),$B$183=1),$AA$303,HLOOKUP(INDIRECT(ADDRESS(2,COLUMN())),OFFSET($BN$2,0,0,ROW()-1,60),ROW()-1,FALSE))</f>
        <v>287.74200000000002</v>
      </c>
      <c r="AB74">
        <f ca="1">IF(AND(ISNUMBER($AB$303),$B$183=1),$AB$303,HLOOKUP(INDIRECT(ADDRESS(2,COLUMN())),OFFSET($BN$2,0,0,ROW()-1,60),ROW()-1,FALSE))</f>
        <v>290.37200000000001</v>
      </c>
      <c r="AC74">
        <f ca="1">IF(AND(ISNUMBER($AC$303),$B$183=1),$AC$303,HLOOKUP(INDIRECT(ADDRESS(2,COLUMN())),OFFSET($BN$2,0,0,ROW()-1,60),ROW()-1,FALSE))</f>
        <v>291.96199999999999</v>
      </c>
      <c r="AD74">
        <f ca="1">IF(AND(ISNUMBER($AD$303),$B$183=1),$AD$303,HLOOKUP(INDIRECT(ADDRESS(2,COLUMN())),OFFSET($BN$2,0,0,ROW()-1,60),ROW()-1,FALSE))</f>
        <v>252.453</v>
      </c>
      <c r="AE74">
        <f ca="1">IF(AND(ISNUMBER($AE$303),$B$183=1),$AE$303,HLOOKUP(INDIRECT(ADDRESS(2,COLUMN())),OFFSET($BN$2,0,0,ROW()-1,60),ROW()-1,FALSE))</f>
        <v>259.99400000000003</v>
      </c>
      <c r="AF74">
        <f ca="1">IF(AND(ISNUMBER($AF$303),$B$183=1),$AF$303,HLOOKUP(INDIRECT(ADDRESS(2,COLUMN())),OFFSET($BN$2,0,0,ROW()-1,60),ROW()-1,FALSE))</f>
        <v>259.99200000000002</v>
      </c>
      <c r="AG74">
        <f ca="1">IF(AND(ISNUMBER($AG$303),$B$183=1),$AG$303,HLOOKUP(INDIRECT(ADDRESS(2,COLUMN())),OFFSET($BN$2,0,0,ROW()-1,60),ROW()-1,FALSE))</f>
        <v>233.12200000000001</v>
      </c>
      <c r="AH74">
        <f ca="1">IF(AND(ISNUMBER($AH$303),$B$183=1),$AH$303,HLOOKUP(INDIRECT(ADDRESS(2,COLUMN())),OFFSET($BN$2,0,0,ROW()-1,60),ROW()-1,FALSE))</f>
        <v>227.084</v>
      </c>
      <c r="AI74">
        <f ca="1">IF(AND(ISNUMBER($AI$303),$B$183=1),$AI$303,HLOOKUP(INDIRECT(ADDRESS(2,COLUMN())),OFFSET($BN$2,0,0,ROW()-1,60),ROW()-1,FALSE))</f>
        <v>226.69399999999999</v>
      </c>
      <c r="AJ74">
        <f ca="1">IF(AND(ISNUMBER($AJ$303),$B$183=1),$AJ$303,HLOOKUP(INDIRECT(ADDRESS(2,COLUMN())),OFFSET($BN$2,0,0,ROW()-1,60),ROW()-1,FALSE))</f>
        <v>227.315</v>
      </c>
      <c r="AK74">
        <f ca="1">IF(AND(ISNUMBER($AK$303),$B$183=1),$AK$303,HLOOKUP(INDIRECT(ADDRESS(2,COLUMN())),OFFSET($BN$2,0,0,ROW()-1,60),ROW()-1,FALSE))</f>
        <v>206.83500000000001</v>
      </c>
      <c r="AL74">
        <f ca="1">IF(AND(ISNUMBER($AL$303),$B$183=1),$AL$303,HLOOKUP(INDIRECT(ADDRESS(2,COLUMN())),OFFSET($BN$2,0,0,ROW()-1,60),ROW()-1,FALSE))</f>
        <v>193.95400000000001</v>
      </c>
      <c r="AM74">
        <f ca="1">IF(AND(ISNUMBER($AM$303),$B$183=1),$AM$303,HLOOKUP(INDIRECT(ADDRESS(2,COLUMN())),OFFSET($BN$2,0,0,ROW()-1,60),ROW()-1,FALSE))</f>
        <v>176.75800000000001</v>
      </c>
      <c r="AN74">
        <f ca="1">IF(AND(ISNUMBER($AN$303),$B$183=1),$AN$303,HLOOKUP(INDIRECT(ADDRESS(2,COLUMN())),OFFSET($BN$2,0,0,ROW()-1,60),ROW()-1,FALSE))</f>
        <v>179.322</v>
      </c>
      <c r="AO74">
        <f ca="1">IF(AND(ISNUMBER($AO$303),$B$183=1),$AO$303,HLOOKUP(INDIRECT(ADDRESS(2,COLUMN())),OFFSET($BN$2,0,0,ROW()-1,60),ROW()-1,FALSE))</f>
        <v>205.12799999999999</v>
      </c>
      <c r="AP74">
        <f ca="1">IF(AND(ISNUMBER($AP$303),$B$183=1),$AP$303,HLOOKUP(INDIRECT(ADDRESS(2,COLUMN())),OFFSET($BN$2,0,0,ROW()-1,60),ROW()-1,FALSE))</f>
        <v>318.69400000000002</v>
      </c>
      <c r="AQ74">
        <f ca="1">IF(AND(ISNUMBER($AQ$303),$B$183=1),$AQ$303,HLOOKUP(INDIRECT(ADDRESS(2,COLUMN())),OFFSET($BN$2,0,0,ROW()-1,60),ROW()-1,FALSE))</f>
        <v>217.142</v>
      </c>
      <c r="AR74">
        <f ca="1">IF(AND(ISNUMBER($AR$303),$B$183=1),$AR$303,HLOOKUP(INDIRECT(ADDRESS(2,COLUMN())),OFFSET($BN$2,0,0,ROW()-1,60),ROW()-1,FALSE))</f>
        <v>216.928</v>
      </c>
      <c r="AS74">
        <f ca="1">IF(AND(ISNUMBER($AS$303),$B$183=1),$AS$303,HLOOKUP(INDIRECT(ADDRESS(2,COLUMN())),OFFSET($BN$2,0,0,ROW()-1,60),ROW()-1,FALSE))</f>
        <v>213.399</v>
      </c>
      <c r="AT74">
        <f ca="1">IF(AND(ISNUMBER($AT$303),$B$183=1),$AT$303,HLOOKUP(INDIRECT(ADDRESS(2,COLUMN())),OFFSET($BN$2,0,0,ROW()-1,60),ROW()-1,FALSE))</f>
        <v>207.358</v>
      </c>
      <c r="AU74">
        <f ca="1">IF(AND(ISNUMBER($AU$303),$B$183=1),$AU$303,HLOOKUP(INDIRECT(ADDRESS(2,COLUMN())),OFFSET($BN$2,0,0,ROW()-1,60),ROW()-1,FALSE))</f>
        <v>210.69800000000001</v>
      </c>
      <c r="AV74">
        <f ca="1">IF(AND(ISNUMBER($AV$303),$B$183=1),$AV$303,HLOOKUP(INDIRECT(ADDRESS(2,COLUMN())),OFFSET($BN$2,0,0,ROW()-1,60),ROW()-1,FALSE))</f>
        <v>205.86600000000001</v>
      </c>
      <c r="AW74">
        <f ca="1">IF(AND(ISNUMBER($AW$303),$B$183=1),$AW$303,HLOOKUP(INDIRECT(ADDRESS(2,COLUMN())),OFFSET($BN$2,0,0,ROW()-1,60),ROW()-1,FALSE))</f>
        <v>207.77699999999999</v>
      </c>
      <c r="AX74">
        <f ca="1">IF(AND(ISNUMBER($AX$303),$B$183=1),$AX$303,HLOOKUP(INDIRECT(ADDRESS(2,COLUMN())),OFFSET($BN$2,0,0,ROW()-1,60),ROW()-1,FALSE))</f>
        <v>202.13650000000001</v>
      </c>
      <c r="AY74">
        <f ca="1">IF(AND(ISNUMBER($AY$303),$B$183=1),$AY$303,HLOOKUP(INDIRECT(ADDRESS(2,COLUMN())),OFFSET($BN$2,0,0,ROW()-1,60),ROW()-1,FALSE))</f>
        <v>202.58600000000001</v>
      </c>
      <c r="AZ74">
        <f ca="1">IF(AND(ISNUMBER($AZ$303),$B$183=1),$AZ$303,HLOOKUP(INDIRECT(ADDRESS(2,COLUMN())),OFFSET($BN$2,0,0,ROW()-1,60),ROW()-1,FALSE))</f>
        <v>204.70400000000001</v>
      </c>
      <c r="BA74">
        <f ca="1">IF(AND(ISNUMBER($BA$303),$B$183=1),$BA$303,HLOOKUP(INDIRECT(ADDRESS(2,COLUMN())),OFFSET($BN$2,0,0,ROW()-1,60),ROW()-1,FALSE))</f>
        <v>200.20400000000001</v>
      </c>
      <c r="BB74">
        <f ca="1">IF(AND(ISNUMBER($BB$303),$B$183=1),$BB$303,HLOOKUP(INDIRECT(ADDRESS(2,COLUMN())),OFFSET($BN$2,0,0,ROW()-1,60),ROW()-1,FALSE))</f>
        <v>198.97800000000001</v>
      </c>
      <c r="BC74">
        <f ca="1">IF(AND(ISNUMBER($BC$303),$B$183=1),$BC$303,HLOOKUP(INDIRECT(ADDRESS(2,COLUMN())),OFFSET($BN$2,0,0,ROW()-1,60),ROW()-1,FALSE))</f>
        <v>178.524</v>
      </c>
      <c r="BD74">
        <f ca="1">IF(AND(ISNUMBER($BD$303),$B$183=1),$BD$303,HLOOKUP(INDIRECT(ADDRESS(2,COLUMN())),OFFSET($BN$2,0,0,ROW()-1,60),ROW()-1,FALSE))</f>
        <v>174.31399999999999</v>
      </c>
      <c r="BE74">
        <f ca="1">IF(AND(ISNUMBER($BE$303),$B$183=1),$BE$303,HLOOKUP(INDIRECT(ADDRESS(2,COLUMN())),OFFSET($BN$2,0,0,ROW()-1,60),ROW()-1,FALSE))</f>
        <v>170.024</v>
      </c>
      <c r="BF74">
        <f ca="1">IF(AND(ISNUMBER($BF$303),$B$183=1),$BF$303,HLOOKUP(INDIRECT(ADDRESS(2,COLUMN())),OFFSET($BN$2,0,0,ROW()-1,60),ROW()-1,FALSE))</f>
        <v>164.57</v>
      </c>
      <c r="BG74">
        <f ca="1">IF(AND(ISNUMBER($BG$303),$B$183=1),$BG$303,HLOOKUP(INDIRECT(ADDRESS(2,COLUMN())),OFFSET($BN$2,0,0,ROW()-1,60),ROW()-1,FALSE))</f>
        <v>156.09299999999999</v>
      </c>
      <c r="BH74">
        <f ca="1">IF(AND(ISNUMBER($BH$303),$B$183=1),$BH$303,HLOOKUP(INDIRECT(ADDRESS(2,COLUMN())),OFFSET($BN$2,0,0,ROW()-1,60),ROW()-1,FALSE))</f>
        <v>153.88</v>
      </c>
      <c r="BI74">
        <f ca="1">IF(AND(ISNUMBER($BI$303),$B$183=1),$BI$303,HLOOKUP(INDIRECT(ADDRESS(2,COLUMN())),OFFSET($BN$2,0,0,ROW()-1,60),ROW()-1,FALSE))</f>
        <v>160.554</v>
      </c>
      <c r="BJ74">
        <f ca="1">IF(AND(ISNUMBER($BJ$303),$B$183=1),$BJ$303,HLOOKUP(INDIRECT(ADDRESS(2,COLUMN())),OFFSET($BN$2,0,0,ROW()-1,60),ROW()-1,FALSE))</f>
        <v>173.2175</v>
      </c>
      <c r="BK74">
        <f ca="1">IF(AND(ISNUMBER($BK$303),$B$183=1),$BK$303,HLOOKUP(INDIRECT(ADDRESS(2,COLUMN())),OFFSET($BN$2,0,0,ROW()-1,60),ROW()-1,FALSE))</f>
        <v>129.34899999999999</v>
      </c>
      <c r="BL74">
        <f ca="1">IF(AND(ISNUMBER($BL$303),$B$183=1),$BL$303,HLOOKUP(INDIRECT(ADDRESS(2,COLUMN())),OFFSET($BN$2,0,0,ROW()-1,60),ROW()-1,FALSE))</f>
        <v>143.29499999999999</v>
      </c>
      <c r="BM74">
        <f ca="1">IF(AND(ISNUMBER($BM$303),$B$183=1),$BM$303,HLOOKUP(INDIRECT(ADDRESS(2,COLUMN())),OFFSET($BN$2,0,0,ROW()-1,60),ROW()-1,FALSE))</f>
        <v>143.61799999999999</v>
      </c>
      <c r="BN74">
        <f>654.1310573</f>
        <v>654.13105729999995</v>
      </c>
      <c r="BO74">
        <f>640.634</f>
        <v>640.63400000000001</v>
      </c>
      <c r="BP74">
        <f>639.416</f>
        <v>639.41600000000005</v>
      </c>
      <c r="BQ74">
        <f>634.57</f>
        <v>634.57000000000005</v>
      </c>
      <c r="BR74">
        <f>635.934</f>
        <v>635.93399999999997</v>
      </c>
      <c r="BS74">
        <f>581.875</f>
        <v>581.875</v>
      </c>
      <c r="BT74">
        <f>574.08</f>
        <v>574.08000000000004</v>
      </c>
      <c r="BU74">
        <f>522.757</f>
        <v>522.75699999999995</v>
      </c>
      <c r="BV74">
        <f>522.065</f>
        <v>522.06500000000005</v>
      </c>
      <c r="BW74">
        <f>505.273</f>
        <v>505.27300000000002</v>
      </c>
      <c r="BX74">
        <f>496.132</f>
        <v>496.13200000000001</v>
      </c>
      <c r="BY74">
        <f>421.276</f>
        <v>421.27600000000001</v>
      </c>
      <c r="BZ74">
        <f>409.541</f>
        <v>409.541</v>
      </c>
      <c r="CA74">
        <f>407.826</f>
        <v>407.82600000000002</v>
      </c>
      <c r="CB74">
        <f>403.665</f>
        <v>403.66500000000002</v>
      </c>
      <c r="CC74">
        <f>388.818</f>
        <v>388.81799999999998</v>
      </c>
      <c r="CD74">
        <f>379.137</f>
        <v>379.137</v>
      </c>
      <c r="CE74">
        <f>350.446</f>
        <v>350.44600000000003</v>
      </c>
      <c r="CF74">
        <f>347.938</f>
        <v>347.93799999999999</v>
      </c>
      <c r="CG74">
        <f>326.674</f>
        <v>326.67399999999998</v>
      </c>
      <c r="CH74">
        <f>500.948</f>
        <v>500.94799999999998</v>
      </c>
      <c r="CI74">
        <f>287.742</f>
        <v>287.74200000000002</v>
      </c>
      <c r="CJ74">
        <f>290.372</f>
        <v>290.37200000000001</v>
      </c>
      <c r="CK74">
        <f>291.962</f>
        <v>291.96199999999999</v>
      </c>
      <c r="CL74">
        <f>252.453</f>
        <v>252.453</v>
      </c>
      <c r="CM74">
        <f>259.994</f>
        <v>259.99400000000003</v>
      </c>
      <c r="CN74">
        <f>259.992</f>
        <v>259.99200000000002</v>
      </c>
      <c r="CO74">
        <f>233.122</f>
        <v>233.12200000000001</v>
      </c>
      <c r="CP74">
        <f>227.084</f>
        <v>227.084</v>
      </c>
      <c r="CQ74">
        <f>226.694</f>
        <v>226.69399999999999</v>
      </c>
      <c r="CR74">
        <f>227.315</f>
        <v>227.315</v>
      </c>
      <c r="CS74">
        <f>206.835</f>
        <v>206.83500000000001</v>
      </c>
      <c r="CT74">
        <f>193.954</f>
        <v>193.95400000000001</v>
      </c>
      <c r="CU74">
        <f>176.758</f>
        <v>176.75800000000001</v>
      </c>
      <c r="CV74">
        <f>179.322</f>
        <v>179.322</v>
      </c>
      <c r="CW74">
        <f>205.128</f>
        <v>205.12799999999999</v>
      </c>
      <c r="CX74">
        <f>318.694</f>
        <v>318.69400000000002</v>
      </c>
      <c r="CY74">
        <f>217.142</f>
        <v>217.142</v>
      </c>
      <c r="CZ74">
        <f>216.928</f>
        <v>216.928</v>
      </c>
      <c r="DA74">
        <f>213.399</f>
        <v>213.399</v>
      </c>
      <c r="DB74">
        <f>207.358</f>
        <v>207.358</v>
      </c>
      <c r="DC74">
        <f>210.698</f>
        <v>210.69800000000001</v>
      </c>
      <c r="DD74">
        <f>205.866</f>
        <v>205.86600000000001</v>
      </c>
      <c r="DE74">
        <f>207.777</f>
        <v>207.77699999999999</v>
      </c>
      <c r="DF74">
        <f>202.1365</f>
        <v>202.13650000000001</v>
      </c>
      <c r="DG74">
        <f>202.586</f>
        <v>202.58600000000001</v>
      </c>
      <c r="DH74">
        <f>204.704</f>
        <v>204.70400000000001</v>
      </c>
      <c r="DI74">
        <f>200.204</f>
        <v>200.20400000000001</v>
      </c>
      <c r="DJ74">
        <f>198.978</f>
        <v>198.97800000000001</v>
      </c>
      <c r="DK74">
        <f>178.524</f>
        <v>178.524</v>
      </c>
      <c r="DL74">
        <f>174.314</f>
        <v>174.31399999999999</v>
      </c>
      <c r="DM74">
        <f>170.024</f>
        <v>170.024</v>
      </c>
      <c r="DN74">
        <f>164.57</f>
        <v>164.57</v>
      </c>
      <c r="DO74">
        <f>156.093</f>
        <v>156.09299999999999</v>
      </c>
      <c r="DP74">
        <f>153.88</f>
        <v>153.88</v>
      </c>
      <c r="DQ74">
        <f>160.554</f>
        <v>160.554</v>
      </c>
      <c r="DR74">
        <f>173.2175</f>
        <v>173.2175</v>
      </c>
      <c r="DS74">
        <f>129.349</f>
        <v>129.34899999999999</v>
      </c>
      <c r="DT74">
        <f>143.295</f>
        <v>143.29499999999999</v>
      </c>
      <c r="DU74">
        <f>143.618</f>
        <v>143.61799999999999</v>
      </c>
    </row>
    <row r="75" spans="1:125">
      <c r="A75" t="str">
        <f>"    Health Care REITs"</f>
        <v xml:space="preserve">    Health Care REITs</v>
      </c>
      <c r="B75" t="str">
        <f>"RECFTDHC Index"</f>
        <v>RECFTDHC Index</v>
      </c>
      <c r="C75" t="str">
        <f t="shared" si="14"/>
        <v>PR005</v>
      </c>
      <c r="D75" t="str">
        <f t="shared" si="15"/>
        <v>PX_LAST</v>
      </c>
      <c r="E75" t="str">
        <f t="shared" si="16"/>
        <v>动态</v>
      </c>
      <c r="F75">
        <f ca="1">IF(AND(ISNUMBER($F$304),$B$183=1),$F$304,HLOOKUP(INDIRECT(ADDRESS(2,COLUMN())),OFFSET($BN$2,0,0,ROW()-1,60),ROW()-1,FALSE))</f>
        <v>1228.3517750000001</v>
      </c>
      <c r="G75">
        <f ca="1">IF(AND(ISNUMBER($G$304),$B$183=1),$G$304,HLOOKUP(INDIRECT(ADDRESS(2,COLUMN())),OFFSET($BN$2,0,0,ROW()-1,60),ROW()-1,FALSE))</f>
        <v>1422.9690000000001</v>
      </c>
      <c r="H75">
        <f ca="1">IF(AND(ISNUMBER($H$304),$B$183=1),$H$304,HLOOKUP(INDIRECT(ADDRESS(2,COLUMN())),OFFSET($BN$2,0,0,ROW()-1,60),ROW()-1,FALSE))</f>
        <v>1440.0360000000001</v>
      </c>
      <c r="I75">
        <f ca="1">IF(AND(ISNUMBER($I$304),$B$183=1),$I$304,HLOOKUP(INDIRECT(ADDRESS(2,COLUMN())),OFFSET($BN$2,0,0,ROW()-1,60),ROW()-1,FALSE))</f>
        <v>1464.155</v>
      </c>
      <c r="J75">
        <f ca="1">IF(AND(ISNUMBER($J$304),$B$183=1),$J$304,HLOOKUP(INDIRECT(ADDRESS(2,COLUMN())),OFFSET($BN$2,0,0,ROW()-1,60),ROW()-1,FALSE))</f>
        <v>1370.623</v>
      </c>
      <c r="K75">
        <f ca="1">IF(AND(ISNUMBER($K$304),$B$183=1),$K$304,HLOOKUP(INDIRECT(ADDRESS(2,COLUMN())),OFFSET($BN$2,0,0,ROW()-1,60),ROW()-1,FALSE))</f>
        <v>1581.662</v>
      </c>
      <c r="L75">
        <f ca="1">IF(AND(ISNUMBER($L$304),$B$183=1),$L$304,HLOOKUP(INDIRECT(ADDRESS(2,COLUMN())),OFFSET($BN$2,0,0,ROW()-1,60),ROW()-1,FALSE))</f>
        <v>1475.89</v>
      </c>
      <c r="M75">
        <f ca="1">IF(AND(ISNUMBER($M$304),$B$183=1),$M$304,HLOOKUP(INDIRECT(ADDRESS(2,COLUMN())),OFFSET($BN$2,0,0,ROW()-1,60),ROW()-1,FALSE))</f>
        <v>1459.078</v>
      </c>
      <c r="N75">
        <f ca="1">IF(AND(ISNUMBER($N$304),$B$183=1),$N$304,HLOOKUP(INDIRECT(ADDRESS(2,COLUMN())),OFFSET($BN$2,0,0,ROW()-1,60),ROW()-1,FALSE))</f>
        <v>1370.3889999999999</v>
      </c>
      <c r="O75">
        <f ca="1">IF(AND(ISNUMBER($O$304),$B$183=1),$O$304,HLOOKUP(INDIRECT(ADDRESS(2,COLUMN())),OFFSET($BN$2,0,0,ROW()-1,60),ROW()-1,FALSE))</f>
        <v>2604.002</v>
      </c>
      <c r="P75">
        <f ca="1">IF(AND(ISNUMBER($P$304),$B$183=1),$P$304,HLOOKUP(INDIRECT(ADDRESS(2,COLUMN())),OFFSET($BN$2,0,0,ROW()-1,60),ROW()-1,FALSE))</f>
        <v>1271.2</v>
      </c>
      <c r="Q75">
        <f ca="1">IF(AND(ISNUMBER($Q$304),$B$183=1),$Q$304,HLOOKUP(INDIRECT(ADDRESS(2,COLUMN())),OFFSET($BN$2,0,0,ROW()-1,60),ROW()-1,FALSE))</f>
        <v>1217.393</v>
      </c>
      <c r="R75">
        <f ca="1">IF(AND(ISNUMBER($R$304),$B$183=1),$R$304,HLOOKUP(INDIRECT(ADDRESS(2,COLUMN())),OFFSET($BN$2,0,0,ROW()-1,60),ROW()-1,FALSE))</f>
        <v>1315.288</v>
      </c>
      <c r="S75">
        <f ca="1">IF(AND(ISNUMBER($S$304),$B$183=1),$S$304,HLOOKUP(INDIRECT(ADDRESS(2,COLUMN())),OFFSET($BN$2,0,0,ROW()-1,60),ROW()-1,FALSE))</f>
        <v>1129.3430000000001</v>
      </c>
      <c r="T75">
        <f ca="1">IF(AND(ISNUMBER($T$304),$B$183=1),$T$304,HLOOKUP(INDIRECT(ADDRESS(2,COLUMN())),OFFSET($BN$2,0,0,ROW()-1,60),ROW()-1,FALSE))</f>
        <v>1095.135</v>
      </c>
      <c r="U75">
        <f ca="1">IF(AND(ISNUMBER($U$304),$B$183=1),$U$304,HLOOKUP(INDIRECT(ADDRESS(2,COLUMN())),OFFSET($BN$2,0,0,ROW()-1,60),ROW()-1,FALSE))</f>
        <v>1056.519</v>
      </c>
      <c r="V75">
        <f ca="1">IF(AND(ISNUMBER($V$304),$B$183=1),$V$304,HLOOKUP(INDIRECT(ADDRESS(2,COLUMN())),OFFSET($BN$2,0,0,ROW()-1,60),ROW()-1,FALSE))</f>
        <v>1014.44</v>
      </c>
      <c r="W75">
        <f ca="1">IF(AND(ISNUMBER($W$304),$B$183=1),$W$304,HLOOKUP(INDIRECT(ADDRESS(2,COLUMN())),OFFSET($BN$2,0,0,ROW()-1,60),ROW()-1,FALSE))</f>
        <v>964.14</v>
      </c>
      <c r="X75">
        <f ca="1">IF(AND(ISNUMBER($X$304),$B$183=1),$X$304,HLOOKUP(INDIRECT(ADDRESS(2,COLUMN())),OFFSET($BN$2,0,0,ROW()-1,60),ROW()-1,FALSE))</f>
        <v>933.06</v>
      </c>
      <c r="Y75">
        <f ca="1">IF(AND(ISNUMBER($Y$304),$B$183=1),$Y$304,HLOOKUP(INDIRECT(ADDRESS(2,COLUMN())),OFFSET($BN$2,0,0,ROW()-1,60),ROW()-1,FALSE))</f>
        <v>930.03200000000004</v>
      </c>
      <c r="Z75">
        <f ca="1">IF(AND(ISNUMBER($Z$304),$B$183=1),$Z$304,HLOOKUP(INDIRECT(ADDRESS(2,COLUMN())),OFFSET($BN$2,0,0,ROW()-1,60),ROW()-1,FALSE))</f>
        <v>870.87300000000005</v>
      </c>
      <c r="AA75">
        <f ca="1">IF(AND(ISNUMBER($AA$304),$B$183=1),$AA$304,HLOOKUP(INDIRECT(ADDRESS(2,COLUMN())),OFFSET($BN$2,0,0,ROW()-1,60),ROW()-1,FALSE))</f>
        <v>808.68200000000002</v>
      </c>
      <c r="AB75">
        <f ca="1">IF(AND(ISNUMBER($AB$304),$B$183=1),$AB$304,HLOOKUP(INDIRECT(ADDRESS(2,COLUMN())),OFFSET($BN$2,0,0,ROW()-1,60),ROW()-1,FALSE))</f>
        <v>794.529</v>
      </c>
      <c r="AC75">
        <f ca="1">IF(AND(ISNUMBER($AC$304),$B$183=1),$AC$304,HLOOKUP(INDIRECT(ADDRESS(2,COLUMN())),OFFSET($BN$2,0,0,ROW()-1,60),ROW()-1,FALSE))</f>
        <v>773.51499999999999</v>
      </c>
      <c r="AD75">
        <f ca="1">IF(AND(ISNUMBER($AD$304),$B$183=1),$AD$304,HLOOKUP(INDIRECT(ADDRESS(2,COLUMN())),OFFSET($BN$2,0,0,ROW()-1,60),ROW()-1,FALSE))</f>
        <v>735.16700000000003</v>
      </c>
      <c r="AE75">
        <f ca="1">IF(AND(ISNUMBER($AE$304),$B$183=1),$AE$304,HLOOKUP(INDIRECT(ADDRESS(2,COLUMN())),OFFSET($BN$2,0,0,ROW()-1,60),ROW()-1,FALSE))</f>
        <v>714.14800000000002</v>
      </c>
      <c r="AF75">
        <f ca="1">IF(AND(ISNUMBER($AF$304),$B$183=1),$AF$304,HLOOKUP(INDIRECT(ADDRESS(2,COLUMN())),OFFSET($BN$2,0,0,ROW()-1,60),ROW()-1,FALSE))</f>
        <v>659.54100000000005</v>
      </c>
      <c r="AG75">
        <f ca="1">IF(AND(ISNUMBER($AG$304),$B$183=1),$AG$304,HLOOKUP(INDIRECT(ADDRESS(2,COLUMN())),OFFSET($BN$2,0,0,ROW()-1,60),ROW()-1,FALSE))</f>
        <v>642.13900000000001</v>
      </c>
      <c r="AH75">
        <f ca="1">IF(AND(ISNUMBER($AH$304),$B$183=1),$AH$304,HLOOKUP(INDIRECT(ADDRESS(2,COLUMN())),OFFSET($BN$2,0,0,ROW()-1,60),ROW()-1,FALSE))</f>
        <v>577.82399999999996</v>
      </c>
      <c r="AI75">
        <f ca="1">IF(AND(ISNUMBER($AI$304),$B$183=1),$AI$304,HLOOKUP(INDIRECT(ADDRESS(2,COLUMN())),OFFSET($BN$2,0,0,ROW()-1,60),ROW()-1,FALSE))</f>
        <v>559.15800000000002</v>
      </c>
      <c r="AJ75">
        <f ca="1">IF(AND(ISNUMBER($AJ$304),$B$183=1),$AJ$304,HLOOKUP(INDIRECT(ADDRESS(2,COLUMN())),OFFSET($BN$2,0,0,ROW()-1,60),ROW()-1,FALSE))</f>
        <v>533.08900000000006</v>
      </c>
      <c r="AK75">
        <f ca="1">IF(AND(ISNUMBER($AK$304),$B$183=1),$AK$304,HLOOKUP(INDIRECT(ADDRESS(2,COLUMN())),OFFSET($BN$2,0,0,ROW()-1,60),ROW()-1,FALSE))</f>
        <v>532.63699999999994</v>
      </c>
      <c r="AL75">
        <f ca="1">IF(AND(ISNUMBER($AL$304),$B$183=1),$AL$304,HLOOKUP(INDIRECT(ADDRESS(2,COLUMN())),OFFSET($BN$2,0,0,ROW()-1,60),ROW()-1,FALSE))</f>
        <v>521.96900000000005</v>
      </c>
      <c r="AM75">
        <f ca="1">IF(AND(ISNUMBER($AM$304),$B$183=1),$AM$304,HLOOKUP(INDIRECT(ADDRESS(2,COLUMN())),OFFSET($BN$2,0,0,ROW()-1,60),ROW()-1,FALSE))</f>
        <v>500.52800000000002</v>
      </c>
      <c r="AN75">
        <f ca="1">IF(AND(ISNUMBER($AN$304),$B$183=1),$AN$304,HLOOKUP(INDIRECT(ADDRESS(2,COLUMN())),OFFSET($BN$2,0,0,ROW()-1,60),ROW()-1,FALSE))</f>
        <v>489.798</v>
      </c>
      <c r="AO75">
        <f ca="1">IF(AND(ISNUMBER($AO$304),$B$183=1),$AO$304,HLOOKUP(INDIRECT(ADDRESS(2,COLUMN())),OFFSET($BN$2,0,0,ROW()-1,60),ROW()-1,FALSE))</f>
        <v>480.29700000000003</v>
      </c>
      <c r="AP75">
        <f ca="1">IF(AND(ISNUMBER($AP$304),$B$183=1),$AP$304,HLOOKUP(INDIRECT(ADDRESS(2,COLUMN())),OFFSET($BN$2,0,0,ROW()-1,60),ROW()-1,FALSE))</f>
        <v>489.45100000000002</v>
      </c>
      <c r="AQ75">
        <f ca="1">IF(AND(ISNUMBER($AQ$304),$B$183=1),$AQ$304,HLOOKUP(INDIRECT(ADDRESS(2,COLUMN())),OFFSET($BN$2,0,0,ROW()-1,60),ROW()-1,FALSE))</f>
        <v>478.40499999999997</v>
      </c>
      <c r="AR75">
        <f ca="1">IF(AND(ISNUMBER($AR$304),$B$183=1),$AR$304,HLOOKUP(INDIRECT(ADDRESS(2,COLUMN())),OFFSET($BN$2,0,0,ROW()-1,60),ROW()-1,FALSE))</f>
        <v>440.286</v>
      </c>
      <c r="AS75">
        <f ca="1">IF(AND(ISNUMBER($AS$304),$B$183=1),$AS$304,HLOOKUP(INDIRECT(ADDRESS(2,COLUMN())),OFFSET($BN$2,0,0,ROW()-1,60),ROW()-1,FALSE))</f>
        <v>441.69499999999999</v>
      </c>
      <c r="AT75">
        <f ca="1">IF(AND(ISNUMBER($AT$304),$B$183=1),$AT$304,HLOOKUP(INDIRECT(ADDRESS(2,COLUMN())),OFFSET($BN$2,0,0,ROW()-1,60),ROW()-1,FALSE))</f>
        <v>402.07299999999998</v>
      </c>
      <c r="AU75">
        <f ca="1">IF(AND(ISNUMBER($AU$304),$B$183=1),$AU$304,HLOOKUP(INDIRECT(ADDRESS(2,COLUMN())),OFFSET($BN$2,0,0,ROW()-1,60),ROW()-1,FALSE))</f>
        <v>389.69400000000002</v>
      </c>
      <c r="AV75">
        <f ca="1">IF(AND(ISNUMBER($AV$304),$B$183=1),$AV$304,HLOOKUP(INDIRECT(ADDRESS(2,COLUMN())),OFFSET($BN$2,0,0,ROW()-1,60),ROW()-1,FALSE))</f>
        <v>637.95100000000002</v>
      </c>
      <c r="AW75">
        <f ca="1">IF(AND(ISNUMBER($AW$304),$B$183=1),$AW$304,HLOOKUP(INDIRECT(ADDRESS(2,COLUMN())),OFFSET($BN$2,0,0,ROW()-1,60),ROW()-1,FALSE))</f>
        <v>400.22899999999998</v>
      </c>
      <c r="AX75">
        <f ca="1">IF(AND(ISNUMBER($AX$304),$B$183=1),$AX$304,HLOOKUP(INDIRECT(ADDRESS(2,COLUMN())),OFFSET($BN$2,0,0,ROW()-1,60),ROW()-1,FALSE))</f>
        <v>321.91899999999998</v>
      </c>
      <c r="AY75">
        <f ca="1">IF(AND(ISNUMBER($AY$304),$B$183=1),$AY$304,HLOOKUP(INDIRECT(ADDRESS(2,COLUMN())),OFFSET($BN$2,0,0,ROW()-1,60),ROW()-1,FALSE))</f>
        <v>307.988</v>
      </c>
      <c r="AZ75">
        <f ca="1">IF(AND(ISNUMBER($AZ$304),$B$183=1),$AZ$304,HLOOKUP(INDIRECT(ADDRESS(2,COLUMN())),OFFSET($BN$2,0,0,ROW()-1,60),ROW()-1,FALSE))</f>
        <v>311.89499999999998</v>
      </c>
      <c r="BA75">
        <f ca="1">IF(AND(ISNUMBER($BA$304),$B$183=1),$BA$304,HLOOKUP(INDIRECT(ADDRESS(2,COLUMN())),OFFSET($BN$2,0,0,ROW()-1,60),ROW()-1,FALSE))</f>
        <v>335.94</v>
      </c>
      <c r="BB75">
        <f ca="1">IF(AND(ISNUMBER($BB$304),$B$183=1),$BB$304,HLOOKUP(INDIRECT(ADDRESS(2,COLUMN())),OFFSET($BN$2,0,0,ROW()-1,60),ROW()-1,FALSE))</f>
        <v>288.06650000000002</v>
      </c>
      <c r="BC75">
        <f ca="1">IF(AND(ISNUMBER($BC$304),$B$183=1),$BC$304,HLOOKUP(INDIRECT(ADDRESS(2,COLUMN())),OFFSET($BN$2,0,0,ROW()-1,60),ROW()-1,FALSE))</f>
        <v>252.70599999999999</v>
      </c>
      <c r="BD75">
        <f ca="1">IF(AND(ISNUMBER($BD$304),$B$183=1),$BD$304,HLOOKUP(INDIRECT(ADDRESS(2,COLUMN())),OFFSET($BN$2,0,0,ROW()-1,60),ROW()-1,FALSE))</f>
        <v>293.92700000000002</v>
      </c>
      <c r="BE75">
        <f ca="1">IF(AND(ISNUMBER($BE$304),$B$183=1),$BE$304,HLOOKUP(INDIRECT(ADDRESS(2,COLUMN())),OFFSET($BN$2,0,0,ROW()-1,60),ROW()-1,FALSE))</f>
        <v>269.51400000000001</v>
      </c>
      <c r="BF75">
        <f ca="1">IF(AND(ISNUMBER($BF$304),$B$183=1),$BF$304,HLOOKUP(INDIRECT(ADDRESS(2,COLUMN())),OFFSET($BN$2,0,0,ROW()-1,60),ROW()-1,FALSE))</f>
        <v>239.85</v>
      </c>
      <c r="BG75">
        <f ca="1">IF(AND(ISNUMBER($BG$304),$B$183=1),$BG$304,HLOOKUP(INDIRECT(ADDRESS(2,COLUMN())),OFFSET($BN$2,0,0,ROW()-1,60),ROW()-1,FALSE))</f>
        <v>249.416</v>
      </c>
      <c r="BH75">
        <f ca="1">IF(AND(ISNUMBER($BH$304),$B$183=1),$BH$304,HLOOKUP(INDIRECT(ADDRESS(2,COLUMN())),OFFSET($BN$2,0,0,ROW()-1,60),ROW()-1,FALSE))</f>
        <v>237.69</v>
      </c>
      <c r="BI75">
        <f ca="1">IF(AND(ISNUMBER($BI$304),$B$183=1),$BI$304,HLOOKUP(INDIRECT(ADDRESS(2,COLUMN())),OFFSET($BN$2,0,0,ROW()-1,60),ROW()-1,FALSE))</f>
        <v>265.26400000000001</v>
      </c>
      <c r="BJ75">
        <f ca="1">IF(AND(ISNUMBER($BJ$304),$B$183=1),$BJ$304,HLOOKUP(INDIRECT(ADDRESS(2,COLUMN())),OFFSET($BN$2,0,0,ROW()-1,60),ROW()-1,FALSE))</f>
        <v>205.72300000000001</v>
      </c>
      <c r="BK75">
        <f ca="1">IF(AND(ISNUMBER($BK$304),$B$183=1),$BK$304,HLOOKUP(INDIRECT(ADDRESS(2,COLUMN())),OFFSET($BN$2,0,0,ROW()-1,60),ROW()-1,FALSE))</f>
        <v>257.55799999999999</v>
      </c>
      <c r="BL75">
        <f ca="1">IF(AND(ISNUMBER($BL$304),$B$183=1),$BL$304,HLOOKUP(INDIRECT(ADDRESS(2,COLUMN())),OFFSET($BN$2,0,0,ROW()-1,60),ROW()-1,FALSE))</f>
        <v>199.935</v>
      </c>
      <c r="BM75">
        <f ca="1">IF(AND(ISNUMBER($BM$304),$B$183=1),$BM$304,HLOOKUP(INDIRECT(ADDRESS(2,COLUMN())),OFFSET($BN$2,0,0,ROW()-1,60),ROW()-1,FALSE))</f>
        <v>212.97800000000001</v>
      </c>
      <c r="BN75">
        <f>1228.351775</f>
        <v>1228.3517750000001</v>
      </c>
      <c r="BO75">
        <f>1422.969</f>
        <v>1422.9690000000001</v>
      </c>
      <c r="BP75">
        <f>1440.036</f>
        <v>1440.0360000000001</v>
      </c>
      <c r="BQ75">
        <f>1464.155</f>
        <v>1464.155</v>
      </c>
      <c r="BR75">
        <f>1370.623</f>
        <v>1370.623</v>
      </c>
      <c r="BS75">
        <f>1581.662</f>
        <v>1581.662</v>
      </c>
      <c r="BT75">
        <f>1475.89</f>
        <v>1475.89</v>
      </c>
      <c r="BU75">
        <f>1459.078</f>
        <v>1459.078</v>
      </c>
      <c r="BV75">
        <f>1370.389</f>
        <v>1370.3889999999999</v>
      </c>
      <c r="BW75">
        <f>2604.002</f>
        <v>2604.002</v>
      </c>
      <c r="BX75">
        <f>1271.2</f>
        <v>1271.2</v>
      </c>
      <c r="BY75">
        <f>1217.393</f>
        <v>1217.393</v>
      </c>
      <c r="BZ75">
        <f>1315.288</f>
        <v>1315.288</v>
      </c>
      <c r="CA75">
        <f>1129.343</f>
        <v>1129.3430000000001</v>
      </c>
      <c r="CB75">
        <f>1095.135</f>
        <v>1095.135</v>
      </c>
      <c r="CC75">
        <f>1056.519</f>
        <v>1056.519</v>
      </c>
      <c r="CD75">
        <f>1014.44</f>
        <v>1014.44</v>
      </c>
      <c r="CE75">
        <f>964.14</f>
        <v>964.14</v>
      </c>
      <c r="CF75">
        <f>933.06</f>
        <v>933.06</v>
      </c>
      <c r="CG75">
        <f>930.032</f>
        <v>930.03200000000004</v>
      </c>
      <c r="CH75">
        <f>870.873</f>
        <v>870.87300000000005</v>
      </c>
      <c r="CI75">
        <f>808.682</f>
        <v>808.68200000000002</v>
      </c>
      <c r="CJ75">
        <f>794.529</f>
        <v>794.529</v>
      </c>
      <c r="CK75">
        <f>773.515</f>
        <v>773.51499999999999</v>
      </c>
      <c r="CL75">
        <f>735.167</f>
        <v>735.16700000000003</v>
      </c>
      <c r="CM75">
        <f>714.148</f>
        <v>714.14800000000002</v>
      </c>
      <c r="CN75">
        <f>659.541</f>
        <v>659.54100000000005</v>
      </c>
      <c r="CO75">
        <f>642.139</f>
        <v>642.13900000000001</v>
      </c>
      <c r="CP75">
        <f>577.824</f>
        <v>577.82399999999996</v>
      </c>
      <c r="CQ75">
        <f>559.158</f>
        <v>559.15800000000002</v>
      </c>
      <c r="CR75">
        <f>533.089</f>
        <v>533.08900000000006</v>
      </c>
      <c r="CS75">
        <f>532.637</f>
        <v>532.63699999999994</v>
      </c>
      <c r="CT75">
        <f>521.969</f>
        <v>521.96900000000005</v>
      </c>
      <c r="CU75">
        <f>500.528</f>
        <v>500.52800000000002</v>
      </c>
      <c r="CV75">
        <f>489.798</f>
        <v>489.798</v>
      </c>
      <c r="CW75">
        <f>480.297</f>
        <v>480.29700000000003</v>
      </c>
      <c r="CX75">
        <f>489.451</f>
        <v>489.45100000000002</v>
      </c>
      <c r="CY75">
        <f>478.405</f>
        <v>478.40499999999997</v>
      </c>
      <c r="CZ75">
        <f>440.286</f>
        <v>440.286</v>
      </c>
      <c r="DA75">
        <f>441.695</f>
        <v>441.69499999999999</v>
      </c>
      <c r="DB75">
        <f>402.073</f>
        <v>402.07299999999998</v>
      </c>
      <c r="DC75">
        <f>389.694</f>
        <v>389.69400000000002</v>
      </c>
      <c r="DD75">
        <f>637.951</f>
        <v>637.95100000000002</v>
      </c>
      <c r="DE75">
        <f>400.229</f>
        <v>400.22899999999998</v>
      </c>
      <c r="DF75">
        <f>321.919</f>
        <v>321.91899999999998</v>
      </c>
      <c r="DG75">
        <f>307.988</f>
        <v>307.988</v>
      </c>
      <c r="DH75">
        <f>311.895</f>
        <v>311.89499999999998</v>
      </c>
      <c r="DI75">
        <f>335.94</f>
        <v>335.94</v>
      </c>
      <c r="DJ75">
        <f>288.0665</f>
        <v>288.06650000000002</v>
      </c>
      <c r="DK75">
        <f>252.706</f>
        <v>252.70599999999999</v>
      </c>
      <c r="DL75">
        <f>293.927</f>
        <v>293.92700000000002</v>
      </c>
      <c r="DM75">
        <f>269.514</f>
        <v>269.51400000000001</v>
      </c>
      <c r="DN75">
        <f>239.85</f>
        <v>239.85</v>
      </c>
      <c r="DO75">
        <f>249.416</f>
        <v>249.416</v>
      </c>
      <c r="DP75">
        <f>237.69</f>
        <v>237.69</v>
      </c>
      <c r="DQ75">
        <f>265.264</f>
        <v>265.26400000000001</v>
      </c>
      <c r="DR75">
        <f>205.723</f>
        <v>205.72300000000001</v>
      </c>
      <c r="DS75">
        <f>257.558</f>
        <v>257.55799999999999</v>
      </c>
      <c r="DT75">
        <f>199.935</f>
        <v>199.935</v>
      </c>
      <c r="DU75">
        <f>212.978</f>
        <v>212.97800000000001</v>
      </c>
    </row>
    <row r="76" spans="1:125">
      <c r="A76" t="str">
        <f>"    Timber REITs"</f>
        <v xml:space="preserve">    Timber REITs</v>
      </c>
      <c r="B76" t="str">
        <f>"RECFTDTR Index"</f>
        <v>RECFTDTR Index</v>
      </c>
      <c r="C76" t="str">
        <f t="shared" si="14"/>
        <v>PR005</v>
      </c>
      <c r="D76" t="str">
        <f t="shared" si="15"/>
        <v>PX_LAST</v>
      </c>
      <c r="E76" t="str">
        <f t="shared" si="16"/>
        <v>动态</v>
      </c>
      <c r="F76">
        <f ca="1">IF(AND(ISNUMBER($F$305),$B$183=1),$F$305,HLOOKUP(INDIRECT(ADDRESS(2,COLUMN())),OFFSET($BN$2,0,0,ROW()-1,60),ROW()-1,FALSE))</f>
        <v>296.10899999999998</v>
      </c>
      <c r="G76">
        <f ca="1">IF(AND(ISNUMBER($G$305),$B$183=1),$G$305,HLOOKUP(INDIRECT(ADDRESS(2,COLUMN())),OFFSET($BN$2,0,0,ROW()-1,60),ROW()-1,FALSE))</f>
        <v>285.59399999999999</v>
      </c>
      <c r="H76">
        <f ca="1">IF(AND(ISNUMBER($H$305),$B$183=1),$H$305,HLOOKUP(INDIRECT(ADDRESS(2,COLUMN())),OFFSET($BN$2,0,0,ROW()-1,60),ROW()-1,FALSE))</f>
        <v>285.61700000000002</v>
      </c>
      <c r="I76">
        <f ca="1">IF(AND(ISNUMBER($I$305),$B$183=1),$I$305,HLOOKUP(INDIRECT(ADDRESS(2,COLUMN())),OFFSET($BN$2,0,0,ROW()-1,60),ROW()-1,FALSE))</f>
        <v>284.029</v>
      </c>
      <c r="J76">
        <f ca="1">IF(AND(ISNUMBER($J$305),$B$183=1),$J$305,HLOOKUP(INDIRECT(ADDRESS(2,COLUMN())),OFFSET($BN$2,0,0,ROW()-1,60),ROW()-1,FALSE))</f>
        <v>283.137</v>
      </c>
      <c r="K76">
        <f ca="1">IF(AND(ISNUMBER($K$305),$B$183=1),$K$305,HLOOKUP(INDIRECT(ADDRESS(2,COLUMN())),OFFSET($BN$2,0,0,ROW()-1,60),ROW()-1,FALSE))</f>
        <v>293.07100000000003</v>
      </c>
      <c r="L76">
        <f ca="1">IF(AND(ISNUMBER($L$305),$B$183=1),$L$305,HLOOKUP(INDIRECT(ADDRESS(2,COLUMN())),OFFSET($BN$2,0,0,ROW()-1,60),ROW()-1,FALSE))</f>
        <v>290.11700000000002</v>
      </c>
      <c r="M76">
        <f ca="1">IF(AND(ISNUMBER($M$305),$B$183=1),$M$305,HLOOKUP(INDIRECT(ADDRESS(2,COLUMN())),OFFSET($BN$2,0,0,ROW()-1,60),ROW()-1,FALSE))</f>
        <v>291.74400000000003</v>
      </c>
      <c r="N76">
        <f ca="1">IF(AND(ISNUMBER($N$305),$B$183=1),$N$305,HLOOKUP(INDIRECT(ADDRESS(2,COLUMN())),OFFSET($BN$2,0,0,ROW()-1,60),ROW()-1,FALSE))</f>
        <v>307.75900000000001</v>
      </c>
      <c r="O76">
        <f ca="1">IF(AND(ISNUMBER($O$305),$B$183=1),$O$305,HLOOKUP(INDIRECT(ADDRESS(2,COLUMN())),OFFSET($BN$2,0,0,ROW()-1,60),ROW()-1,FALSE))</f>
        <v>298.017</v>
      </c>
      <c r="P76">
        <f ca="1">IF(AND(ISNUMBER($P$305),$B$183=1),$P$305,HLOOKUP(INDIRECT(ADDRESS(2,COLUMN())),OFFSET($BN$2,0,0,ROW()-1,60),ROW()-1,FALSE))</f>
        <v>289.928</v>
      </c>
      <c r="Q76">
        <f ca="1">IF(AND(ISNUMBER($Q$305),$B$183=1),$Q$305,HLOOKUP(INDIRECT(ADDRESS(2,COLUMN())),OFFSET($BN$2,0,0,ROW()-1,60),ROW()-1,FALSE))</f>
        <v>280.839</v>
      </c>
      <c r="R76">
        <f ca="1">IF(AND(ISNUMBER($R$305),$B$183=1),$R$305,HLOOKUP(INDIRECT(ADDRESS(2,COLUMN())),OFFSET($BN$2,0,0,ROW()-1,60),ROW()-1,FALSE))</f>
        <v>303.78800000000001</v>
      </c>
      <c r="S76">
        <f ca="1">IF(AND(ISNUMBER($S$305),$B$183=1),$S$305,HLOOKUP(INDIRECT(ADDRESS(2,COLUMN())),OFFSET($BN$2,0,0,ROW()-1,60),ROW()-1,FALSE))</f>
        <v>363.37700000000001</v>
      </c>
      <c r="T76">
        <f ca="1">IF(AND(ISNUMBER($T$305),$B$183=1),$T$305,HLOOKUP(INDIRECT(ADDRESS(2,COLUMN())),OFFSET($BN$2,0,0,ROW()-1,60),ROW()-1,FALSE))</f>
        <v>296.03800000000001</v>
      </c>
      <c r="U76">
        <f ca="1">IF(AND(ISNUMBER($U$305),$B$183=1),$U$305,HLOOKUP(INDIRECT(ADDRESS(2,COLUMN())),OFFSET($BN$2,0,0,ROW()-1,60),ROW()-1,FALSE))</f>
        <v>286.49799999999999</v>
      </c>
      <c r="V76">
        <f ca="1">IF(AND(ISNUMBER($V$305),$B$183=1),$V$305,HLOOKUP(INDIRECT(ADDRESS(2,COLUMN())),OFFSET($BN$2,0,0,ROW()-1,60),ROW()-1,FALSE))</f>
        <v>316.69299999999998</v>
      </c>
      <c r="W76">
        <f ca="1">IF(AND(ISNUMBER($W$305),$B$183=1),$W$305,HLOOKUP(INDIRECT(ADDRESS(2,COLUMN())),OFFSET($BN$2,0,0,ROW()-1,60),ROW()-1,FALSE))</f>
        <v>274.42200000000003</v>
      </c>
      <c r="X76">
        <f ca="1">IF(AND(ISNUMBER($X$305),$B$183=1),$X$305,HLOOKUP(INDIRECT(ADDRESS(2,COLUMN())),OFFSET($BN$2,0,0,ROW()-1,60),ROW()-1,FALSE))</f>
        <v>249.041</v>
      </c>
      <c r="Y76">
        <f ca="1">IF(AND(ISNUMBER($Y$305),$B$183=1),$Y$305,HLOOKUP(INDIRECT(ADDRESS(2,COLUMN())),OFFSET($BN$2,0,0,ROW()-1,60),ROW()-1,FALSE))</f>
        <v>231.29599999999999</v>
      </c>
      <c r="Z76">
        <f ca="1">IF(AND(ISNUMBER($Z$305),$B$183=1),$Z$305,HLOOKUP(INDIRECT(ADDRESS(2,COLUMN())),OFFSET($BN$2,0,0,ROW()-1,60),ROW()-1,FALSE))</f>
        <v>226.74600000000001</v>
      </c>
      <c r="AA76">
        <f ca="1">IF(AND(ISNUMBER($AA$305),$B$183=1),$AA$305,HLOOKUP(INDIRECT(ADDRESS(2,COLUMN())),OFFSET($BN$2,0,0,ROW()-1,60),ROW()-1,FALSE))</f>
        <v>215.67099999999999</v>
      </c>
      <c r="AB76">
        <f ca="1">IF(AND(ISNUMBER($AB$305),$B$183=1),$AB$305,HLOOKUP(INDIRECT(ADDRESS(2,COLUMN())),OFFSET($BN$2,0,0,ROW()-1,60),ROW()-1,FALSE))</f>
        <v>209.45500000000001</v>
      </c>
      <c r="AC76">
        <f ca="1">IF(AND(ISNUMBER($AC$305),$B$183=1),$AC$305,HLOOKUP(INDIRECT(ADDRESS(2,COLUMN())),OFFSET($BN$2,0,0,ROW()-1,60),ROW()-1,FALSE))</f>
        <v>210.75200000000001</v>
      </c>
      <c r="AD76">
        <f ca="1">IF(AND(ISNUMBER($AD$305),$B$183=1),$AD$305,HLOOKUP(INDIRECT(ADDRESS(2,COLUMN())),OFFSET($BN$2,0,0,ROW()-1,60),ROW()-1,FALSE))</f>
        <v>210.172</v>
      </c>
      <c r="AE76">
        <f ca="1">IF(AND(ISNUMBER($AE$305),$B$183=1),$AE$305,HLOOKUP(INDIRECT(ADDRESS(2,COLUMN())),OFFSET($BN$2,0,0,ROW()-1,60),ROW()-1,FALSE))</f>
        <v>218.18700000000001</v>
      </c>
      <c r="AF76">
        <f ca="1">IF(AND(ISNUMBER($AF$305),$B$183=1),$AF$305,HLOOKUP(INDIRECT(ADDRESS(2,COLUMN())),OFFSET($BN$2,0,0,ROW()-1,60),ROW()-1,FALSE))</f>
        <v>212.47200000000001</v>
      </c>
      <c r="AG76">
        <f ca="1">IF(AND(ISNUMBER($AG$305),$B$183=1),$AG$305,HLOOKUP(INDIRECT(ADDRESS(2,COLUMN())),OFFSET($BN$2,0,0,ROW()-1,60),ROW()-1,FALSE))</f>
        <v>213.36199999999999</v>
      </c>
      <c r="AH76">
        <f ca="1">IF(AND(ISNUMBER($AH$305),$B$183=1),$AH$305,HLOOKUP(INDIRECT(ADDRESS(2,COLUMN())),OFFSET($BN$2,0,0,ROW()-1,60),ROW()-1,FALSE))</f>
        <v>157.934</v>
      </c>
      <c r="AI76">
        <f ca="1">IF(AND(ISNUMBER($AI$305),$B$183=1),$AI$305,HLOOKUP(INDIRECT(ADDRESS(2,COLUMN())),OFFSET($BN$2,0,0,ROW()-1,60),ROW()-1,FALSE))</f>
        <v>129.56800000000001</v>
      </c>
      <c r="AJ76">
        <f ca="1">IF(AND(ISNUMBER($AJ$305),$B$183=1),$AJ$305,HLOOKUP(INDIRECT(ADDRESS(2,COLUMN())),OFFSET($BN$2,0,0,ROW()-1,60),ROW()-1,FALSE))</f>
        <v>128.47300000000001</v>
      </c>
      <c r="AK76">
        <f ca="1">IF(AND(ISNUMBER($AK$305),$B$183=1),$AK$305,HLOOKUP(INDIRECT(ADDRESS(2,COLUMN())),OFFSET($BN$2,0,0,ROW()-1,60),ROW()-1,FALSE))</f>
        <v>128.27600000000001</v>
      </c>
      <c r="AL76">
        <f ca="1">IF(AND(ISNUMBER($AL$305),$B$183=1),$AL$305,HLOOKUP(INDIRECT(ADDRESS(2,COLUMN())),OFFSET($BN$2,0,0,ROW()-1,60),ROW()-1,FALSE))</f>
        <v>127.989</v>
      </c>
      <c r="AM76">
        <f ca="1">IF(AND(ISNUMBER($AM$305),$B$183=1),$AM$305,HLOOKUP(INDIRECT(ADDRESS(2,COLUMN())),OFFSET($BN$2,0,0,ROW()-1,60),ROW()-1,FALSE))</f>
        <v>128.892</v>
      </c>
      <c r="AN76">
        <f ca="1">IF(AND(ISNUMBER($AN$305),$B$183=1),$AN$305,HLOOKUP(INDIRECT(ADDRESS(2,COLUMN())),OFFSET($BN$2,0,0,ROW()-1,60),ROW()-1,FALSE))</f>
        <v>128.78399999999999</v>
      </c>
      <c r="AO76">
        <f ca="1">IF(AND(ISNUMBER($AO$305),$B$183=1),$AO$305,HLOOKUP(INDIRECT(ADDRESS(2,COLUMN())),OFFSET($BN$2,0,0,ROW()-1,60),ROW()-1,FALSE))</f>
        <v>128.685</v>
      </c>
      <c r="AP76">
        <f ca="1">IF(AND(ISNUMBER($AP$305),$B$183=1),$AP$305,HLOOKUP(INDIRECT(ADDRESS(2,COLUMN())),OFFSET($BN$2,0,0,ROW()-1,60),ROW()-1,FALSE))</f>
        <v>129.608</v>
      </c>
      <c r="AQ76">
        <f ca="1">IF(AND(ISNUMBER($AQ$305),$B$183=1),$AQ$305,HLOOKUP(INDIRECT(ADDRESS(2,COLUMN())),OFFSET($BN$2,0,0,ROW()-1,60),ROW()-1,FALSE))</f>
        <v>131.44900000000001</v>
      </c>
      <c r="AR76">
        <f ca="1">IF(AND(ISNUMBER($AR$305),$B$183=1),$AR$305,HLOOKUP(INDIRECT(ADDRESS(2,COLUMN())),OFFSET($BN$2,0,0,ROW()-1,60),ROW()-1,FALSE))</f>
        <v>131.38</v>
      </c>
      <c r="AS76">
        <f ca="1">IF(AND(ISNUMBER($AS$305),$B$183=1),$AS$305,HLOOKUP(INDIRECT(ADDRESS(2,COLUMN())),OFFSET($BN$2,0,0,ROW()-1,60),ROW()-1,FALSE))</f>
        <v>131.215</v>
      </c>
      <c r="AT76">
        <f ca="1">IF(AND(ISNUMBER($AT$305),$B$183=1),$AT$305,HLOOKUP(INDIRECT(ADDRESS(2,COLUMN())),OFFSET($BN$2,0,0,ROW()-1,60),ROW()-1,FALSE))</f>
        <v>131.02449999999999</v>
      </c>
      <c r="AU76">
        <f ca="1">IF(AND(ISNUMBER($AU$305),$B$183=1),$AU$305,HLOOKUP(INDIRECT(ADDRESS(2,COLUMN())),OFFSET($BN$2,0,0,ROW()-1,60),ROW()-1,FALSE))</f>
        <v>131.07400000000001</v>
      </c>
      <c r="AV76">
        <f ca="1">IF(AND(ISNUMBER($AV$305),$B$183=1),$AV$305,HLOOKUP(INDIRECT(ADDRESS(2,COLUMN())),OFFSET($BN$2,0,0,ROW()-1,60),ROW()-1,FALSE))</f>
        <v>129.57300000000001</v>
      </c>
      <c r="AW76">
        <f ca="1">IF(AND(ISNUMBER($AW$305),$B$183=1),$AW$305,HLOOKUP(INDIRECT(ADDRESS(2,COLUMN())),OFFSET($BN$2,0,0,ROW()-1,60),ROW()-1,FALSE))</f>
        <v>130.41999999999999</v>
      </c>
      <c r="AX76">
        <f ca="1">IF(AND(ISNUMBER($AX$305),$B$183=1),$AX$305,HLOOKUP(INDIRECT(ADDRESS(2,COLUMN())),OFFSET($BN$2,0,0,ROW()-1,60),ROW()-1,FALSE))</f>
        <v>126.1435</v>
      </c>
      <c r="AY76">
        <f ca="1">IF(AND(ISNUMBER($AY$305),$B$183=1),$AY$305,HLOOKUP(INDIRECT(ADDRESS(2,COLUMN())),OFFSET($BN$2,0,0,ROW()-1,60),ROW()-1,FALSE))</f>
        <v>126.958</v>
      </c>
      <c r="AZ76">
        <f ca="1">IF(AND(ISNUMBER($AZ$305),$B$183=1),$AZ$305,HLOOKUP(INDIRECT(ADDRESS(2,COLUMN())),OFFSET($BN$2,0,0,ROW()-1,60),ROW()-1,FALSE))</f>
        <v>127.916</v>
      </c>
      <c r="BA76">
        <f ca="1">IF(AND(ISNUMBER($BA$305),$B$183=1),$BA$305,HLOOKUP(INDIRECT(ADDRESS(2,COLUMN())),OFFSET($BN$2,0,0,ROW()-1,60),ROW()-1,FALSE))</f>
        <v>218.05799999999999</v>
      </c>
      <c r="BB76">
        <f ca="1">IF(AND(ISNUMBER($BB$305),$B$183=1),$BB$305,HLOOKUP(INDIRECT(ADDRESS(2,COLUMN())),OFFSET($BN$2,0,0,ROW()-1,60),ROW()-1,FALSE))</f>
        <v>105.703</v>
      </c>
      <c r="BC76">
        <f ca="1">IF(AND(ISNUMBER($BC$305),$B$183=1),$BC$305,HLOOKUP(INDIRECT(ADDRESS(2,COLUMN())),OFFSET($BN$2,0,0,ROW()-1,60),ROW()-1,FALSE))</f>
        <v>100.301</v>
      </c>
      <c r="BD76">
        <f ca="1">IF(AND(ISNUMBER($BD$305),$B$183=1),$BD$305,HLOOKUP(INDIRECT(ADDRESS(2,COLUMN())),OFFSET($BN$2,0,0,ROW()-1,60),ROW()-1,FALSE))</f>
        <v>101.137</v>
      </c>
      <c r="BE76">
        <f ca="1">IF(AND(ISNUMBER($BE$305),$B$183=1),$BE$305,HLOOKUP(INDIRECT(ADDRESS(2,COLUMN())),OFFSET($BN$2,0,0,ROW()-1,60),ROW()-1,FALSE))</f>
        <v>101.108</v>
      </c>
      <c r="BF76">
        <f ca="1">IF(AND(ISNUMBER($BF$305),$B$183=1),$BF$305,HLOOKUP(INDIRECT(ADDRESS(2,COLUMN())),OFFSET($BN$2,0,0,ROW()-1,60),ROW()-1,FALSE))</f>
        <v>93.933999999999997</v>
      </c>
      <c r="BG76">
        <f ca="1">IF(AND(ISNUMBER($BG$305),$B$183=1),$BG$305,HLOOKUP(INDIRECT(ADDRESS(2,COLUMN())),OFFSET($BN$2,0,0,ROW()-1,60),ROW()-1,FALSE))</f>
        <v>93.873000000000005</v>
      </c>
      <c r="BH76">
        <f ca="1">IF(AND(ISNUMBER($BH$305),$B$183=1),$BH$305,HLOOKUP(INDIRECT(ADDRESS(2,COLUMN())),OFFSET($BN$2,0,0,ROW()-1,60),ROW()-1,FALSE))</f>
        <v>91.739000000000004</v>
      </c>
      <c r="BI76">
        <f ca="1">IF(AND(ISNUMBER($BI$305),$B$183=1),$BI$305,HLOOKUP(INDIRECT(ADDRESS(2,COLUMN())),OFFSET($BN$2,0,0,ROW()-1,60),ROW()-1,FALSE))</f>
        <v>91.650999999999996</v>
      </c>
      <c r="BJ76">
        <f ca="1">IF(AND(ISNUMBER($BJ$305),$B$183=1),$BJ$305,HLOOKUP(INDIRECT(ADDRESS(2,COLUMN())),OFFSET($BN$2,0,0,ROW()-1,60),ROW()-1,FALSE))</f>
        <v>64</v>
      </c>
      <c r="BK76">
        <f ca="1">IF(AND(ISNUMBER($BK$305),$B$183=1),$BK$305,HLOOKUP(INDIRECT(ADDRESS(2,COLUMN())),OFFSET($BN$2,0,0,ROW()-1,60),ROW()-1,FALSE))</f>
        <v>64</v>
      </c>
      <c r="BL76">
        <f ca="1">IF(AND(ISNUMBER($BL$305),$B$183=1),$BL$305,HLOOKUP(INDIRECT(ADDRESS(2,COLUMN())),OFFSET($BN$2,0,0,ROW()-1,60),ROW()-1,FALSE))</f>
        <v>64</v>
      </c>
      <c r="BM76">
        <f ca="1">IF(AND(ISNUMBER($BM$305),$B$183=1),$BM$305,HLOOKUP(INDIRECT(ADDRESS(2,COLUMN())),OFFSET($BN$2,0,0,ROW()-1,60),ROW()-1,FALSE))</f>
        <v>65</v>
      </c>
      <c r="BN76">
        <f>296.109</f>
        <v>296.10899999999998</v>
      </c>
      <c r="BO76">
        <f>285.594</f>
        <v>285.59399999999999</v>
      </c>
      <c r="BP76">
        <f>285.617</f>
        <v>285.61700000000002</v>
      </c>
      <c r="BQ76">
        <f>284.029</f>
        <v>284.029</v>
      </c>
      <c r="BR76">
        <f>283.137</f>
        <v>283.137</v>
      </c>
      <c r="BS76">
        <f>293.071</f>
        <v>293.07100000000003</v>
      </c>
      <c r="BT76">
        <f>290.117</f>
        <v>290.11700000000002</v>
      </c>
      <c r="BU76">
        <f>291.744</f>
        <v>291.74400000000003</v>
      </c>
      <c r="BV76">
        <f>307.759</f>
        <v>307.75900000000001</v>
      </c>
      <c r="BW76">
        <f>298.017</f>
        <v>298.017</v>
      </c>
      <c r="BX76">
        <f>289.928</f>
        <v>289.928</v>
      </c>
      <c r="BY76">
        <f>280.839</f>
        <v>280.839</v>
      </c>
      <c r="BZ76">
        <f>303.788</f>
        <v>303.78800000000001</v>
      </c>
      <c r="CA76">
        <f>363.377</f>
        <v>363.37700000000001</v>
      </c>
      <c r="CB76">
        <f>296.038</f>
        <v>296.03800000000001</v>
      </c>
      <c r="CC76">
        <f>286.498</f>
        <v>286.49799999999999</v>
      </c>
      <c r="CD76">
        <f>316.693</f>
        <v>316.69299999999998</v>
      </c>
      <c r="CE76">
        <f>274.422</f>
        <v>274.42200000000003</v>
      </c>
      <c r="CF76">
        <f>249.041</f>
        <v>249.041</v>
      </c>
      <c r="CG76">
        <f>231.296</f>
        <v>231.29599999999999</v>
      </c>
      <c r="CH76">
        <f>226.746</f>
        <v>226.74600000000001</v>
      </c>
      <c r="CI76">
        <f>215.671</f>
        <v>215.67099999999999</v>
      </c>
      <c r="CJ76">
        <f>209.455</f>
        <v>209.45500000000001</v>
      </c>
      <c r="CK76">
        <f>210.752</f>
        <v>210.75200000000001</v>
      </c>
      <c r="CL76">
        <f>210.172</f>
        <v>210.172</v>
      </c>
      <c r="CM76">
        <f>218.187</f>
        <v>218.18700000000001</v>
      </c>
      <c r="CN76">
        <f>212.472</f>
        <v>212.47200000000001</v>
      </c>
      <c r="CO76">
        <f>213.362</f>
        <v>213.36199999999999</v>
      </c>
      <c r="CP76">
        <f>157.934</f>
        <v>157.934</v>
      </c>
      <c r="CQ76">
        <f>129.568</f>
        <v>129.56800000000001</v>
      </c>
      <c r="CR76">
        <f>128.473</f>
        <v>128.47300000000001</v>
      </c>
      <c r="CS76">
        <f>128.276</f>
        <v>128.27600000000001</v>
      </c>
      <c r="CT76">
        <f>127.989</f>
        <v>127.989</v>
      </c>
      <c r="CU76">
        <f>128.892</f>
        <v>128.892</v>
      </c>
      <c r="CV76">
        <f>128.784</f>
        <v>128.78399999999999</v>
      </c>
      <c r="CW76">
        <f>128.685</f>
        <v>128.685</v>
      </c>
      <c r="CX76">
        <f>129.608</f>
        <v>129.608</v>
      </c>
      <c r="CY76">
        <f>131.449</f>
        <v>131.44900000000001</v>
      </c>
      <c r="CZ76">
        <f>131.38</f>
        <v>131.38</v>
      </c>
      <c r="DA76">
        <f>131.215</f>
        <v>131.215</v>
      </c>
      <c r="DB76">
        <f>131.0245</f>
        <v>131.02449999999999</v>
      </c>
      <c r="DC76">
        <f>131.074</f>
        <v>131.07400000000001</v>
      </c>
      <c r="DD76">
        <f>129.573</f>
        <v>129.57300000000001</v>
      </c>
      <c r="DE76">
        <f>130.42</f>
        <v>130.41999999999999</v>
      </c>
      <c r="DF76">
        <f>126.1435</f>
        <v>126.1435</v>
      </c>
      <c r="DG76">
        <f>126.958</f>
        <v>126.958</v>
      </c>
      <c r="DH76">
        <f>127.916</f>
        <v>127.916</v>
      </c>
      <c r="DI76">
        <f>218.058</f>
        <v>218.05799999999999</v>
      </c>
      <c r="DJ76">
        <f>105.703</f>
        <v>105.703</v>
      </c>
      <c r="DK76">
        <f>100.301</f>
        <v>100.301</v>
      </c>
      <c r="DL76">
        <f>101.137</f>
        <v>101.137</v>
      </c>
      <c r="DM76">
        <f>101.108</f>
        <v>101.108</v>
      </c>
      <c r="DN76">
        <f>93.934</f>
        <v>93.933999999999997</v>
      </c>
      <c r="DO76">
        <f>93.873</f>
        <v>93.873000000000005</v>
      </c>
      <c r="DP76">
        <f>91.739</f>
        <v>91.739000000000004</v>
      </c>
      <c r="DQ76">
        <f>91.651</f>
        <v>91.650999999999996</v>
      </c>
      <c r="DR76">
        <f>64</f>
        <v>64</v>
      </c>
      <c r="DS76">
        <f>64</f>
        <v>64</v>
      </c>
      <c r="DT76">
        <f>64</f>
        <v>64</v>
      </c>
      <c r="DU76">
        <f>65</f>
        <v>65</v>
      </c>
    </row>
    <row r="77" spans="1:125">
      <c r="A77" t="str">
        <f>"    Data Center REITs"</f>
        <v xml:space="preserve">    Data Center REITs</v>
      </c>
      <c r="B77" t="str">
        <f>"RECFTDDC Index"</f>
        <v>RECFTDDC Index</v>
      </c>
      <c r="C77" t="str">
        <f t="shared" si="14"/>
        <v>PR005</v>
      </c>
      <c r="D77" t="str">
        <f t="shared" si="15"/>
        <v>PX_LAST</v>
      </c>
      <c r="E77" t="str">
        <f t="shared" si="16"/>
        <v>动态</v>
      </c>
      <c r="F77">
        <f ca="1">IF(AND(ISNUMBER($F$306),$B$183=1),$F$306,HLOOKUP(INDIRECT(ADDRESS(2,COLUMN())),OFFSET($BN$2,0,0,ROW()-1,60),ROW()-1,FALSE))</f>
        <v>482.53980530000001</v>
      </c>
      <c r="G77">
        <f ca="1">IF(AND(ISNUMBER($G$306),$B$183=1),$G$306,HLOOKUP(INDIRECT(ADDRESS(2,COLUMN())),OFFSET($BN$2,0,0,ROW()-1,60),ROW()-1,FALSE))</f>
        <v>477.81299999999999</v>
      </c>
      <c r="H77">
        <f ca="1">IF(AND(ISNUMBER($H$306),$B$183=1),$H$306,HLOOKUP(INDIRECT(ADDRESS(2,COLUMN())),OFFSET($BN$2,0,0,ROW()-1,60),ROW()-1,FALSE))</f>
        <v>470.27</v>
      </c>
      <c r="I77">
        <f ca="1">IF(AND(ISNUMBER($I$306),$B$183=1),$I$306,HLOOKUP(INDIRECT(ADDRESS(2,COLUMN())),OFFSET($BN$2,0,0,ROW()-1,60),ROW()-1,FALSE))</f>
        <v>601.63099999999997</v>
      </c>
      <c r="J77">
        <f ca="1">IF(AND(ISNUMBER($J$306),$B$183=1),$J$306,HLOOKUP(INDIRECT(ADDRESS(2,COLUMN())),OFFSET($BN$2,0,0,ROW()-1,60),ROW()-1,FALSE))</f>
        <v>266.31799999999998</v>
      </c>
      <c r="K77">
        <f ca="1">IF(AND(ISNUMBER($K$306),$B$183=1),$K$306,HLOOKUP(INDIRECT(ADDRESS(2,COLUMN())),OFFSET($BN$2,0,0,ROW()-1,60),ROW()-1,FALSE))</f>
        <v>404.536</v>
      </c>
      <c r="L77">
        <f ca="1">IF(AND(ISNUMBER($L$306),$B$183=1),$L$306,HLOOKUP(INDIRECT(ADDRESS(2,COLUMN())),OFFSET($BN$2,0,0,ROW()-1,60),ROW()-1,FALSE))</f>
        <v>402.05700000000002</v>
      </c>
      <c r="M77">
        <f ca="1">IF(AND(ISNUMBER($M$306),$B$183=1),$M$306,HLOOKUP(INDIRECT(ADDRESS(2,COLUMN())),OFFSET($BN$2,0,0,ROW()-1,60),ROW()-1,FALSE))</f>
        <v>516.21500000000003</v>
      </c>
      <c r="N77">
        <f ca="1">IF(AND(ISNUMBER($N$306),$B$183=1),$N$306,HLOOKUP(INDIRECT(ADDRESS(2,COLUMN())),OFFSET($BN$2,0,0,ROW()-1,60),ROW()-1,FALSE))</f>
        <v>354.952</v>
      </c>
      <c r="O77">
        <f ca="1">IF(AND(ISNUMBER($O$306),$B$183=1),$O$306,HLOOKUP(INDIRECT(ADDRESS(2,COLUMN())),OFFSET($BN$2,0,0,ROW()-1,60),ROW()-1,FALSE))</f>
        <v>336.87700000000001</v>
      </c>
      <c r="P77">
        <f ca="1">IF(AND(ISNUMBER($P$306),$B$183=1),$P$306,HLOOKUP(INDIRECT(ADDRESS(2,COLUMN())),OFFSET($BN$2,0,0,ROW()-1,60),ROW()-1,FALSE))</f>
        <v>328.98200000000003</v>
      </c>
      <c r="Q77">
        <f ca="1">IF(AND(ISNUMBER($Q$306),$B$183=1),$Q$306,HLOOKUP(INDIRECT(ADDRESS(2,COLUMN())),OFFSET($BN$2,0,0,ROW()-1,60),ROW()-1,FALSE))</f>
        <v>435.14600000000002</v>
      </c>
      <c r="R77">
        <f ca="1">IF(AND(ISNUMBER($R$306),$B$183=1),$R$306,HLOOKUP(INDIRECT(ADDRESS(2,COLUMN())),OFFSET($BN$2,0,0,ROW()-1,60),ROW()-1,FALSE))</f>
        <v>96.257999999999996</v>
      </c>
      <c r="S77">
        <f ca="1">IF(AND(ISNUMBER($S$306),$B$183=1),$S$306,HLOOKUP(INDIRECT(ADDRESS(2,COLUMN())),OFFSET($BN$2,0,0,ROW()-1,60),ROW()-1,FALSE))</f>
        <v>211.16</v>
      </c>
      <c r="T77">
        <f ca="1">IF(AND(ISNUMBER($T$306),$B$183=1),$T$306,HLOOKUP(INDIRECT(ADDRESS(2,COLUMN())),OFFSET($BN$2,0,0,ROW()-1,60),ROW()-1,FALSE))</f>
        <v>212.08600000000001</v>
      </c>
      <c r="U77">
        <f ca="1">IF(AND(ISNUMBER($U$306),$B$183=1),$U$306,HLOOKUP(INDIRECT(ADDRESS(2,COLUMN())),OFFSET($BN$2,0,0,ROW()-1,60),ROW()-1,FALSE))</f>
        <v>288.54700000000003</v>
      </c>
      <c r="V77">
        <f ca="1">IF(AND(ISNUMBER($V$306),$B$183=1),$V$306,HLOOKUP(INDIRECT(ADDRESS(2,COLUMN())),OFFSET($BN$2,0,0,ROW()-1,60),ROW()-1,FALSE))</f>
        <v>63.616999999999997</v>
      </c>
      <c r="W77">
        <f ca="1">IF(AND(ISNUMBER($W$306),$B$183=1),$W$306,HLOOKUP(INDIRECT(ADDRESS(2,COLUMN())),OFFSET($BN$2,0,0,ROW()-1,60),ROW()-1,FALSE))</f>
        <v>166.15199999999999</v>
      </c>
      <c r="X77">
        <f ca="1">IF(AND(ISNUMBER($X$306),$B$183=1),$X$306,HLOOKUP(INDIRECT(ADDRESS(2,COLUMN())),OFFSET($BN$2,0,0,ROW()-1,60),ROW()-1,FALSE))</f>
        <v>162.5</v>
      </c>
      <c r="Y77">
        <f ca="1">IF(AND(ISNUMBER($Y$306),$B$183=1),$Y$306,HLOOKUP(INDIRECT(ADDRESS(2,COLUMN())),OFFSET($BN$2,0,0,ROW()-1,60),ROW()-1,FALSE))</f>
        <v>239.74799999999999</v>
      </c>
      <c r="Z77">
        <f ca="1">IF(AND(ISNUMBER($Z$306),$B$183=1),$Z$306,HLOOKUP(INDIRECT(ADDRESS(2,COLUMN())),OFFSET($BN$2,0,0,ROW()-1,60),ROW()-1,FALSE))</f>
        <v>37.154000000000003</v>
      </c>
      <c r="AA77">
        <f ca="1">IF(AND(ISNUMBER($AA$306),$B$183=1),$AA$306,HLOOKUP(INDIRECT(ADDRESS(2,COLUMN())),OFFSET($BN$2,0,0,ROW()-1,60),ROW()-1,FALSE))</f>
        <v>130.28299999999999</v>
      </c>
      <c r="AB77">
        <f ca="1">IF(AND(ISNUMBER($AB$306),$B$183=1),$AB$306,HLOOKUP(INDIRECT(ADDRESS(2,COLUMN())),OFFSET($BN$2,0,0,ROW()-1,60),ROW()-1,FALSE))</f>
        <v>119.211</v>
      </c>
      <c r="AC77">
        <f ca="1">IF(AND(ISNUMBER($AC$306),$B$183=1),$AC$306,HLOOKUP(INDIRECT(ADDRESS(2,COLUMN())),OFFSET($BN$2,0,0,ROW()-1,60),ROW()-1,FALSE))</f>
        <v>189.88499999999999</v>
      </c>
      <c r="AD77">
        <f ca="1">IF(AND(ISNUMBER($AD$306),$B$183=1),$AD$306,HLOOKUP(INDIRECT(ADDRESS(2,COLUMN())),OFFSET($BN$2,0,0,ROW()-1,60),ROW()-1,FALSE))</f>
        <v>31.074000000000002</v>
      </c>
      <c r="AE77">
        <f ca="1">IF(AND(ISNUMBER($AE$306),$B$183=1),$AE$306,HLOOKUP(INDIRECT(ADDRESS(2,COLUMN())),OFFSET($BN$2,0,0,ROW()-1,60),ROW()-1,FALSE))</f>
        <v>99.052999999999997</v>
      </c>
      <c r="AF77">
        <f ca="1">IF(AND(ISNUMBER($AF$306),$B$183=1),$AF$306,HLOOKUP(INDIRECT(ADDRESS(2,COLUMN())),OFFSET($BN$2,0,0,ROW()-1,60),ROW()-1,FALSE))</f>
        <v>95.515000000000001</v>
      </c>
      <c r="AG77">
        <f ca="1">IF(AND(ISNUMBER($AG$306),$B$183=1),$AG$306,HLOOKUP(INDIRECT(ADDRESS(2,COLUMN())),OFFSET($BN$2,0,0,ROW()-1,60),ROW()-1,FALSE))</f>
        <v>143.46</v>
      </c>
      <c r="AH77">
        <f ca="1">IF(AND(ISNUMBER($AH$306),$B$183=1),$AH$306,HLOOKUP(INDIRECT(ADDRESS(2,COLUMN())),OFFSET($BN$2,0,0,ROW()-1,60),ROW()-1,FALSE))</f>
        <v>17.420000000000002</v>
      </c>
      <c r="AI77">
        <f ca="1">IF(AND(ISNUMBER($AI$306),$B$183=1),$AI$306,HLOOKUP(INDIRECT(ADDRESS(2,COLUMN())),OFFSET($BN$2,0,0,ROW()-1,60),ROW()-1,FALSE))</f>
        <v>68.956999999999994</v>
      </c>
      <c r="AJ77">
        <f ca="1">IF(AND(ISNUMBER($AJ$306),$B$183=1),$AJ$306,HLOOKUP(INDIRECT(ADDRESS(2,COLUMN())),OFFSET($BN$2,0,0,ROW()-1,60),ROW()-1,FALSE))</f>
        <v>59.970999999999997</v>
      </c>
      <c r="AK77">
        <f ca="1">IF(AND(ISNUMBER($AK$306),$B$183=1),$AK$306,HLOOKUP(INDIRECT(ADDRESS(2,COLUMN())),OFFSET($BN$2,0,0,ROW()-1,60),ROW()-1,FALSE))</f>
        <v>87.248000000000005</v>
      </c>
      <c r="AL77">
        <f ca="1">IF(AND(ISNUMBER($AL$306),$B$183=1),$AL$306,HLOOKUP(INDIRECT(ADDRESS(2,COLUMN())),OFFSET($BN$2,0,0,ROW()-1,60),ROW()-1,FALSE))</f>
        <v>15.513</v>
      </c>
      <c r="AM77">
        <f ca="1">IF(AND(ISNUMBER($AM$306),$B$183=1),$AM$306,HLOOKUP(INDIRECT(ADDRESS(2,COLUMN())),OFFSET($BN$2,0,0,ROW()-1,60),ROW()-1,FALSE))</f>
        <v>39.676000000000002</v>
      </c>
      <c r="AN77">
        <f ca="1">IF(AND(ISNUMBER($AN$306),$B$183=1),$AN$306,HLOOKUP(INDIRECT(ADDRESS(2,COLUMN())),OFFSET($BN$2,0,0,ROW()-1,60),ROW()-1,FALSE))</f>
        <v>37.164999999999999</v>
      </c>
      <c r="AO77">
        <f ca="1">IF(AND(ISNUMBER($AO$306),$B$183=1),$AO$306,HLOOKUP(INDIRECT(ADDRESS(2,COLUMN())),OFFSET($BN$2,0,0,ROW()-1,60),ROW()-1,FALSE))</f>
        <v>63.246000000000002</v>
      </c>
      <c r="AP77">
        <f ca="1">IF(AND(ISNUMBER($AP$306),$B$183=1),$AP$306,HLOOKUP(INDIRECT(ADDRESS(2,COLUMN())),OFFSET($BN$2,0,0,ROW()-1,60),ROW()-1,FALSE))</f>
        <v>34.031999999999996</v>
      </c>
      <c r="AQ77">
        <f ca="1">IF(AND(ISNUMBER($AQ$306),$B$183=1),$AQ$306,HLOOKUP(INDIRECT(ADDRESS(2,COLUMN())),OFFSET($BN$2,0,0,ROW()-1,60),ROW()-1,FALSE))</f>
        <v>46.918999999999997</v>
      </c>
      <c r="AR77">
        <f ca="1">IF(AND(ISNUMBER($AR$306),$B$183=1),$AR$306,HLOOKUP(INDIRECT(ADDRESS(2,COLUMN())),OFFSET($BN$2,0,0,ROW()-1,60),ROW()-1,FALSE))</f>
        <v>45.100999999999999</v>
      </c>
      <c r="AS77">
        <f ca="1">IF(AND(ISNUMBER($AS$306),$B$183=1),$AS$306,HLOOKUP(INDIRECT(ADDRESS(2,COLUMN())),OFFSET($BN$2,0,0,ROW()-1,60),ROW()-1,FALSE))</f>
        <v>63.064999999999998</v>
      </c>
      <c r="AT77">
        <f ca="1">IF(AND(ISNUMBER($AT$306),$B$183=1),$AT$306,HLOOKUP(INDIRECT(ADDRESS(2,COLUMN())),OFFSET($BN$2,0,0,ROW()-1,60),ROW()-1,FALSE))</f>
        <v>38.823500000000003</v>
      </c>
      <c r="AU77">
        <f ca="1">IF(AND(ISNUMBER($AU$306),$B$183=1),$AU$306,HLOOKUP(INDIRECT(ADDRESS(2,COLUMN())),OFFSET($BN$2,0,0,ROW()-1,60),ROW()-1,FALSE))</f>
        <v>24.626000000000001</v>
      </c>
      <c r="AV77">
        <f ca="1">IF(AND(ISNUMBER($AV$306),$B$183=1),$AV$306,HLOOKUP(INDIRECT(ADDRESS(2,COLUMN())),OFFSET($BN$2,0,0,ROW()-1,60),ROW()-1,FALSE))</f>
        <v>22.884</v>
      </c>
      <c r="AW77">
        <f ca="1">IF(AND(ISNUMBER($AW$306),$B$183=1),$AW$306,HLOOKUP(INDIRECT(ADDRESS(2,COLUMN())),OFFSET($BN$2,0,0,ROW()-1,60),ROW()-1,FALSE))</f>
        <v>19.388000000000002</v>
      </c>
      <c r="AX77">
        <f ca="1">IF(AND(ISNUMBER($AX$306),$B$183=1),$AX$306,HLOOKUP(INDIRECT(ADDRESS(2,COLUMN())),OFFSET($BN$2,0,0,ROW()-1,60),ROW()-1,FALSE))</f>
        <v>23.497</v>
      </c>
      <c r="AY77">
        <f ca="1">IF(AND(ISNUMBER($AY$306),$B$183=1),$AY$306,HLOOKUP(INDIRECT(ADDRESS(2,COLUMN())),OFFSET($BN$2,0,0,ROW()-1,60),ROW()-1,FALSE))</f>
        <v>0</v>
      </c>
      <c r="AZ77">
        <f ca="1">IF(AND(ISNUMBER($AZ$306),$B$183=1),$AZ$306,HLOOKUP(INDIRECT(ADDRESS(2,COLUMN())),OFFSET($BN$2,0,0,ROW()-1,60),ROW()-1,FALSE))</f>
        <v>20.154</v>
      </c>
      <c r="BA77">
        <f ca="1">IF(AND(ISNUMBER($BA$306),$B$183=1),$BA$306,HLOOKUP(INDIRECT(ADDRESS(2,COLUMN())),OFFSET($BN$2,0,0,ROW()-1,60),ROW()-1,FALSE))</f>
        <v>34.725999999999999</v>
      </c>
      <c r="BB77">
        <f ca="1">IF(AND(ISNUMBER($BB$306),$B$183=1),$BB$306,HLOOKUP(INDIRECT(ADDRESS(2,COLUMN())),OFFSET($BN$2,0,0,ROW()-1,60),ROW()-1,FALSE))</f>
        <v>3.4430000000000001</v>
      </c>
      <c r="BC77">
        <f ca="1">IF(AND(ISNUMBER($BC$306),$B$183=1),$BC$306,HLOOKUP(INDIRECT(ADDRESS(2,COLUMN())),OFFSET($BN$2,0,0,ROW()-1,60),ROW()-1,FALSE))</f>
        <v>17.439</v>
      </c>
      <c r="BD77">
        <f ca="1">IF(AND(ISNUMBER($BD$306),$B$183=1),$BD$306,HLOOKUP(INDIRECT(ADDRESS(2,COLUMN())),OFFSET($BN$2,0,0,ROW()-1,60),ROW()-1,FALSE))</f>
        <v>15.103999999999999</v>
      </c>
      <c r="BE77">
        <f ca="1">IF(AND(ISNUMBER($BE$306),$B$183=1),$BE$306,HLOOKUP(INDIRECT(ADDRESS(2,COLUMN())),OFFSET($BN$2,0,0,ROW()-1,60),ROW()-1,FALSE))</f>
        <v>22.452000000000002</v>
      </c>
      <c r="BF77">
        <f ca="1">IF(AND(ISNUMBER($BF$306),$B$183=1),$BF$306,HLOOKUP(INDIRECT(ADDRESS(2,COLUMN())),OFFSET($BN$2,0,0,ROW()-1,60),ROW()-1,FALSE))</f>
        <v>0</v>
      </c>
      <c r="BG77">
        <f ca="1">IF(AND(ISNUMBER($BG$306),$B$183=1),$BG$306,HLOOKUP(INDIRECT(ADDRESS(2,COLUMN())),OFFSET($BN$2,0,0,ROW()-1,60),ROW()-1,FALSE))</f>
        <v>0</v>
      </c>
      <c r="BH77">
        <f ca="1">IF(AND(ISNUMBER($BH$306),$B$183=1),$BH$306,HLOOKUP(INDIRECT(ADDRESS(2,COLUMN())),OFFSET($BN$2,0,0,ROW()-1,60),ROW()-1,FALSE))</f>
        <v>0</v>
      </c>
      <c r="BI77">
        <f ca="1">IF(AND(ISNUMBER($BI$306),$B$183=1),$BI$306,HLOOKUP(INDIRECT(ADDRESS(2,COLUMN())),OFFSET($BN$2,0,0,ROW()-1,60),ROW()-1,FALSE))</f>
        <v>0</v>
      </c>
      <c r="BJ77">
        <f ca="1">IF(AND(ISNUMBER($BJ$306),$B$183=1),$BJ$306,HLOOKUP(INDIRECT(ADDRESS(2,COLUMN())),OFFSET($BN$2,0,0,ROW()-1,60),ROW()-1,FALSE))</f>
        <v>0</v>
      </c>
      <c r="BK77">
        <f ca="1">IF(AND(ISNUMBER($BK$306),$B$183=1),$BK$306,HLOOKUP(INDIRECT(ADDRESS(2,COLUMN())),OFFSET($BN$2,0,0,ROW()-1,60),ROW()-1,FALSE))</f>
        <v>0</v>
      </c>
      <c r="BL77">
        <f ca="1">IF(AND(ISNUMBER($BL$306),$B$183=1),$BL$306,HLOOKUP(INDIRECT(ADDRESS(2,COLUMN())),OFFSET($BN$2,0,0,ROW()-1,60),ROW()-1,FALSE))</f>
        <v>0</v>
      </c>
      <c r="BM77">
        <f ca="1">IF(AND(ISNUMBER($BM$306),$B$183=1),$BM$306,HLOOKUP(INDIRECT(ADDRESS(2,COLUMN())),OFFSET($BN$2,0,0,ROW()-1,60),ROW()-1,FALSE))</f>
        <v>0</v>
      </c>
      <c r="BN77">
        <f>482.5398053</f>
        <v>482.53980530000001</v>
      </c>
      <c r="BO77">
        <f>477.813</f>
        <v>477.81299999999999</v>
      </c>
      <c r="BP77">
        <f>470.27</f>
        <v>470.27</v>
      </c>
      <c r="BQ77">
        <f>601.631</f>
        <v>601.63099999999997</v>
      </c>
      <c r="BR77">
        <f>266.318</f>
        <v>266.31799999999998</v>
      </c>
      <c r="BS77">
        <f>404.536</f>
        <v>404.536</v>
      </c>
      <c r="BT77">
        <f>402.057</f>
        <v>402.05700000000002</v>
      </c>
      <c r="BU77">
        <f>516.215</f>
        <v>516.21500000000003</v>
      </c>
      <c r="BV77">
        <f>354.952</f>
        <v>354.952</v>
      </c>
      <c r="BW77">
        <f>336.877</f>
        <v>336.87700000000001</v>
      </c>
      <c r="BX77">
        <f>328.982</f>
        <v>328.98200000000003</v>
      </c>
      <c r="BY77">
        <f>435.146</f>
        <v>435.14600000000002</v>
      </c>
      <c r="BZ77">
        <f>96.258</f>
        <v>96.257999999999996</v>
      </c>
      <c r="CA77">
        <f>211.16</f>
        <v>211.16</v>
      </c>
      <c r="CB77">
        <f>212.086</f>
        <v>212.08600000000001</v>
      </c>
      <c r="CC77">
        <f>288.547</f>
        <v>288.54700000000003</v>
      </c>
      <c r="CD77">
        <f>63.617</f>
        <v>63.616999999999997</v>
      </c>
      <c r="CE77">
        <f>166.152</f>
        <v>166.15199999999999</v>
      </c>
      <c r="CF77">
        <f>162.5</f>
        <v>162.5</v>
      </c>
      <c r="CG77">
        <f>239.748</f>
        <v>239.74799999999999</v>
      </c>
      <c r="CH77">
        <f>37.154</f>
        <v>37.154000000000003</v>
      </c>
      <c r="CI77">
        <f>130.283</f>
        <v>130.28299999999999</v>
      </c>
      <c r="CJ77">
        <f>119.211</f>
        <v>119.211</v>
      </c>
      <c r="CK77">
        <f>189.885</f>
        <v>189.88499999999999</v>
      </c>
      <c r="CL77">
        <f>31.074</f>
        <v>31.074000000000002</v>
      </c>
      <c r="CM77">
        <f>99.053</f>
        <v>99.052999999999997</v>
      </c>
      <c r="CN77">
        <f>95.515</f>
        <v>95.515000000000001</v>
      </c>
      <c r="CO77">
        <f>143.46</f>
        <v>143.46</v>
      </c>
      <c r="CP77">
        <f>17.42</f>
        <v>17.420000000000002</v>
      </c>
      <c r="CQ77">
        <f>68.957</f>
        <v>68.956999999999994</v>
      </c>
      <c r="CR77">
        <f>59.971</f>
        <v>59.970999999999997</v>
      </c>
      <c r="CS77">
        <f>87.248</f>
        <v>87.248000000000005</v>
      </c>
      <c r="CT77">
        <f>15.513</f>
        <v>15.513</v>
      </c>
      <c r="CU77">
        <f>39.676</f>
        <v>39.676000000000002</v>
      </c>
      <c r="CV77">
        <f>37.165</f>
        <v>37.164999999999999</v>
      </c>
      <c r="CW77">
        <f>63.246</f>
        <v>63.246000000000002</v>
      </c>
      <c r="CX77">
        <f>34.032</f>
        <v>34.031999999999996</v>
      </c>
      <c r="CY77">
        <f>46.919</f>
        <v>46.918999999999997</v>
      </c>
      <c r="CZ77">
        <f>45.101</f>
        <v>45.100999999999999</v>
      </c>
      <c r="DA77">
        <f>63.065</f>
        <v>63.064999999999998</v>
      </c>
      <c r="DB77">
        <f>38.8235</f>
        <v>38.823500000000003</v>
      </c>
      <c r="DC77">
        <f>24.626</f>
        <v>24.626000000000001</v>
      </c>
      <c r="DD77">
        <f>22.884</f>
        <v>22.884</v>
      </c>
      <c r="DE77">
        <f>19.388</f>
        <v>19.388000000000002</v>
      </c>
      <c r="DF77">
        <f>23.497</f>
        <v>23.497</v>
      </c>
      <c r="DG77">
        <f>0</f>
        <v>0</v>
      </c>
      <c r="DH77">
        <f>20.154</f>
        <v>20.154</v>
      </c>
      <c r="DI77">
        <f>34.726</f>
        <v>34.725999999999999</v>
      </c>
      <c r="DJ77">
        <f>3.443</f>
        <v>3.4430000000000001</v>
      </c>
      <c r="DK77">
        <f>17.439</f>
        <v>17.439</v>
      </c>
      <c r="DL77">
        <f>15.104</f>
        <v>15.103999999999999</v>
      </c>
      <c r="DM77">
        <f>22.452</f>
        <v>22.452000000000002</v>
      </c>
      <c r="DN77">
        <f>0</f>
        <v>0</v>
      </c>
      <c r="DO77">
        <f>0</f>
        <v>0</v>
      </c>
      <c r="DP77">
        <f>0</f>
        <v>0</v>
      </c>
      <c r="DQ77">
        <f>0</f>
        <v>0</v>
      </c>
      <c r="DR77">
        <f>0</f>
        <v>0</v>
      </c>
      <c r="DS77">
        <f>0</f>
        <v>0</v>
      </c>
      <c r="DT77">
        <f>0</f>
        <v>0</v>
      </c>
      <c r="DU77">
        <f>0</f>
        <v>0</v>
      </c>
    </row>
    <row r="78" spans="1:125">
      <c r="A78" t="str">
        <f>"    Specialty REITs"</f>
        <v xml:space="preserve">    Specialty REITs</v>
      </c>
      <c r="B78" t="str">
        <f>"RECFTDSP Index"</f>
        <v>RECFTDSP Index</v>
      </c>
      <c r="C78" t="str">
        <f t="shared" si="14"/>
        <v>PR005</v>
      </c>
      <c r="D78" t="str">
        <f t="shared" si="15"/>
        <v>PX_LAST</v>
      </c>
      <c r="E78" t="str">
        <f t="shared" si="16"/>
        <v>动态</v>
      </c>
      <c r="F78">
        <f ca="1">IF(AND(ISNUMBER($F$307),$B$183=1),$F$307,HLOOKUP(INDIRECT(ADDRESS(2,COLUMN())),OFFSET($BN$2,0,0,ROW()-1,60),ROW()-1,FALSE))</f>
        <v>618.76172759999997</v>
      </c>
      <c r="G78">
        <f ca="1">IF(AND(ISNUMBER($G$307),$B$183=1),$G$307,HLOOKUP(INDIRECT(ADDRESS(2,COLUMN())),OFFSET($BN$2,0,0,ROW()-1,60),ROW()-1,FALSE))</f>
        <v>609.303</v>
      </c>
      <c r="H78">
        <f ca="1">IF(AND(ISNUMBER($H$307),$B$183=1),$H$307,HLOOKUP(INDIRECT(ADDRESS(2,COLUMN())),OFFSET($BN$2,0,0,ROW()-1,60),ROW()-1,FALSE))</f>
        <v>601.50400000000002</v>
      </c>
      <c r="I78">
        <f ca="1">IF(AND(ISNUMBER($I$307),$B$183=1),$I$307,HLOOKUP(INDIRECT(ADDRESS(2,COLUMN())),OFFSET($BN$2,0,0,ROW()-1,60),ROW()-1,FALSE))</f>
        <v>444.279</v>
      </c>
      <c r="J78">
        <f ca="1">IF(AND(ISNUMBER($J$307),$B$183=1),$J$307,HLOOKUP(INDIRECT(ADDRESS(2,COLUMN())),OFFSET($BN$2,0,0,ROW()-1,60),ROW()-1,FALSE))</f>
        <v>573.93899999999996</v>
      </c>
      <c r="K78">
        <f ca="1">IF(AND(ISNUMBER($K$307),$B$183=1),$K$307,HLOOKUP(INDIRECT(ADDRESS(2,COLUMN())),OFFSET($BN$2,0,0,ROW()-1,60),ROW()-1,FALSE))</f>
        <v>557.60400000000004</v>
      </c>
      <c r="L78">
        <f ca="1">IF(AND(ISNUMBER($L$307),$B$183=1),$L$307,HLOOKUP(INDIRECT(ADDRESS(2,COLUMN())),OFFSET($BN$2,0,0,ROW()-1,60),ROW()-1,FALSE))</f>
        <v>545.87800000000004</v>
      </c>
      <c r="M78">
        <f ca="1">IF(AND(ISNUMBER($M$307),$B$183=1),$M$307,HLOOKUP(INDIRECT(ADDRESS(2,COLUMN())),OFFSET($BN$2,0,0,ROW()-1,60),ROW()-1,FALSE))</f>
        <v>473.70299999999997</v>
      </c>
      <c r="N78">
        <f ca="1">IF(AND(ISNUMBER($N$307),$B$183=1),$N$307,HLOOKUP(INDIRECT(ADDRESS(2,COLUMN())),OFFSET($BN$2,0,0,ROW()-1,60),ROW()-1,FALSE))</f>
        <v>457.68299999999999</v>
      </c>
      <c r="O78">
        <f ca="1">IF(AND(ISNUMBER($O$307),$B$183=1),$O$307,HLOOKUP(INDIRECT(ADDRESS(2,COLUMN())),OFFSET($BN$2,0,0,ROW()-1,60),ROW()-1,FALSE))</f>
        <v>0</v>
      </c>
      <c r="P78">
        <f ca="1">IF(AND(ISNUMBER($P$307),$B$183=1),$P$307,HLOOKUP(INDIRECT(ADDRESS(2,COLUMN())),OFFSET($BN$2,0,0,ROW()-1,60),ROW()-1,FALSE))</f>
        <v>0</v>
      </c>
      <c r="Q78">
        <f ca="1">IF(AND(ISNUMBER($Q$307),$B$183=1),$Q$307,HLOOKUP(INDIRECT(ADDRESS(2,COLUMN())),OFFSET($BN$2,0,0,ROW()-1,60),ROW()-1,FALSE))</f>
        <v>0</v>
      </c>
      <c r="R78">
        <f ca="1">IF(AND(ISNUMBER($R$307),$B$183=1),$R$307,HLOOKUP(INDIRECT(ADDRESS(2,COLUMN())),OFFSET($BN$2,0,0,ROW()-1,60),ROW()-1,FALSE))</f>
        <v>0</v>
      </c>
      <c r="S78">
        <f ca="1">IF(AND(ISNUMBER($S$307),$B$183=1),$S$307,HLOOKUP(INDIRECT(ADDRESS(2,COLUMN())),OFFSET($BN$2,0,0,ROW()-1,60),ROW()-1,FALSE))</f>
        <v>0</v>
      </c>
      <c r="T78">
        <f ca="1">IF(AND(ISNUMBER($T$307),$B$183=1),$T$307,HLOOKUP(INDIRECT(ADDRESS(2,COLUMN())),OFFSET($BN$2,0,0,ROW()-1,60),ROW()-1,FALSE))</f>
        <v>0</v>
      </c>
      <c r="U78">
        <f ca="1">IF(AND(ISNUMBER($U$307),$B$183=1),$U$307,HLOOKUP(INDIRECT(ADDRESS(2,COLUMN())),OFFSET($BN$2,0,0,ROW()-1,60),ROW()-1,FALSE))</f>
        <v>0</v>
      </c>
      <c r="V78">
        <f ca="1">IF(AND(ISNUMBER($V$307),$B$183=1),$V$307,HLOOKUP(INDIRECT(ADDRESS(2,COLUMN())),OFFSET($BN$2,0,0,ROW()-1,60),ROW()-1,FALSE))</f>
        <v>0</v>
      </c>
      <c r="W78">
        <f ca="1">IF(AND(ISNUMBER($W$307),$B$183=1),$W$307,HLOOKUP(INDIRECT(ADDRESS(2,COLUMN())),OFFSET($BN$2,0,0,ROW()-1,60),ROW()-1,FALSE))</f>
        <v>0</v>
      </c>
      <c r="X78">
        <f ca="1">IF(AND(ISNUMBER($X$307),$B$183=1),$X$307,HLOOKUP(INDIRECT(ADDRESS(2,COLUMN())),OFFSET($BN$2,0,0,ROW()-1,60),ROW()-1,FALSE))</f>
        <v>0</v>
      </c>
      <c r="Y78">
        <f ca="1">IF(AND(ISNUMBER($Y$307),$B$183=1),$Y$307,HLOOKUP(INDIRECT(ADDRESS(2,COLUMN())),OFFSET($BN$2,0,0,ROW()-1,60),ROW()-1,FALSE))</f>
        <v>0</v>
      </c>
      <c r="Z78">
        <f ca="1">IF(AND(ISNUMBER($Z$307),$B$183=1),$Z$307,HLOOKUP(INDIRECT(ADDRESS(2,COLUMN())),OFFSET($BN$2,0,0,ROW()-1,60),ROW()-1,FALSE))</f>
        <v>0</v>
      </c>
      <c r="AA78">
        <f ca="1">IF(AND(ISNUMBER($AA$307),$B$183=1),$AA$307,HLOOKUP(INDIRECT(ADDRESS(2,COLUMN())),OFFSET($BN$2,0,0,ROW()-1,60),ROW()-1,FALSE))</f>
        <v>0</v>
      </c>
      <c r="AB78">
        <f ca="1">IF(AND(ISNUMBER($AB$307),$B$183=1),$AB$307,HLOOKUP(INDIRECT(ADDRESS(2,COLUMN())),OFFSET($BN$2,0,0,ROW()-1,60),ROW()-1,FALSE))</f>
        <v>0</v>
      </c>
      <c r="AC78">
        <f ca="1">IF(AND(ISNUMBER($AC$307),$B$183=1),$AC$307,HLOOKUP(INDIRECT(ADDRESS(2,COLUMN())),OFFSET($BN$2,0,0,ROW()-1,60),ROW()-1,FALSE))</f>
        <v>0</v>
      </c>
      <c r="AD78">
        <f ca="1">IF(AND(ISNUMBER($AD$307),$B$183=1),$AD$307,HLOOKUP(INDIRECT(ADDRESS(2,COLUMN())),OFFSET($BN$2,0,0,ROW()-1,60),ROW()-1,FALSE))</f>
        <v>0</v>
      </c>
      <c r="AE78">
        <f ca="1">IF(AND(ISNUMBER($AE$307),$B$183=1),$AE$307,HLOOKUP(INDIRECT(ADDRESS(2,COLUMN())),OFFSET($BN$2,0,0,ROW()-1,60),ROW()-1,FALSE))</f>
        <v>0</v>
      </c>
      <c r="AF78">
        <f ca="1">IF(AND(ISNUMBER($AF$307),$B$183=1),$AF$307,HLOOKUP(INDIRECT(ADDRESS(2,COLUMN())),OFFSET($BN$2,0,0,ROW()-1,60),ROW()-1,FALSE))</f>
        <v>0</v>
      </c>
      <c r="AG78">
        <f ca="1">IF(AND(ISNUMBER($AG$307),$B$183=1),$AG$307,HLOOKUP(INDIRECT(ADDRESS(2,COLUMN())),OFFSET($BN$2,0,0,ROW()-1,60),ROW()-1,FALSE))</f>
        <v>0</v>
      </c>
      <c r="AH78">
        <f ca="1">IF(AND(ISNUMBER($AH$307),$B$183=1),$AH$307,HLOOKUP(INDIRECT(ADDRESS(2,COLUMN())),OFFSET($BN$2,0,0,ROW()-1,60),ROW()-1,FALSE))</f>
        <v>0</v>
      </c>
      <c r="AI78">
        <f ca="1">IF(AND(ISNUMBER($AI$307),$B$183=1),$AI$307,HLOOKUP(INDIRECT(ADDRESS(2,COLUMN())),OFFSET($BN$2,0,0,ROW()-1,60),ROW()-1,FALSE))</f>
        <v>37.746000000000002</v>
      </c>
      <c r="AJ78">
        <f ca="1">IF(AND(ISNUMBER($AJ$307),$B$183=1),$AJ$307,HLOOKUP(INDIRECT(ADDRESS(2,COLUMN())),OFFSET($BN$2,0,0,ROW()-1,60),ROW()-1,FALSE))</f>
        <v>35.399000000000001</v>
      </c>
      <c r="AK78">
        <f ca="1">IF(AND(ISNUMBER($AK$307),$B$183=1),$AK$307,HLOOKUP(INDIRECT(ADDRESS(2,COLUMN())),OFFSET($BN$2,0,0,ROW()-1,60),ROW()-1,FALSE))</f>
        <v>35.404000000000003</v>
      </c>
      <c r="AL78">
        <f ca="1">IF(AND(ISNUMBER($AL$307),$B$183=1),$AL$307,HLOOKUP(INDIRECT(ADDRESS(2,COLUMN())),OFFSET($BN$2,0,0,ROW()-1,60),ROW()-1,FALSE))</f>
        <v>31.286000000000001</v>
      </c>
      <c r="AM78">
        <f ca="1">IF(AND(ISNUMBER($AM$307),$B$183=1),$AM$307,HLOOKUP(INDIRECT(ADDRESS(2,COLUMN())),OFFSET($BN$2,0,0,ROW()-1,60),ROW()-1,FALSE))</f>
        <v>30.31</v>
      </c>
      <c r="AN78">
        <f ca="1">IF(AND(ISNUMBER($AN$307),$B$183=1),$AN$307,HLOOKUP(INDIRECT(ADDRESS(2,COLUMN())),OFFSET($BN$2,0,0,ROW()-1,60),ROW()-1,FALSE))</f>
        <v>30.280999999999999</v>
      </c>
      <c r="AO78">
        <f ca="1">IF(AND(ISNUMBER($AO$307),$B$183=1),$AO$307,HLOOKUP(INDIRECT(ADDRESS(2,COLUMN())),OFFSET($BN$2,0,0,ROW()-1,60),ROW()-1,FALSE))</f>
        <v>35.238999999999997</v>
      </c>
      <c r="AP78">
        <f ca="1">IF(AND(ISNUMBER($AP$307),$B$183=1),$AP$307,HLOOKUP(INDIRECT(ADDRESS(2,COLUMN())),OFFSET($BN$2,0,0,ROW()-1,60),ROW()-1,FALSE))</f>
        <v>35.646000000000001</v>
      </c>
      <c r="AQ78">
        <f ca="1">IF(AND(ISNUMBER($AQ$307),$B$183=1),$AQ$307,HLOOKUP(INDIRECT(ADDRESS(2,COLUMN())),OFFSET($BN$2,0,0,ROW()-1,60),ROW()-1,FALSE))</f>
        <v>33.606999999999999</v>
      </c>
      <c r="AR78">
        <f ca="1">IF(AND(ISNUMBER($AR$307),$B$183=1),$AR$307,HLOOKUP(INDIRECT(ADDRESS(2,COLUMN())),OFFSET($BN$2,0,0,ROW()-1,60),ROW()-1,FALSE))</f>
        <v>29.396999999999998</v>
      </c>
      <c r="AS78">
        <f ca="1">IF(AND(ISNUMBER($AS$307),$B$183=1),$AS$307,HLOOKUP(INDIRECT(ADDRESS(2,COLUMN())),OFFSET($BN$2,0,0,ROW()-1,60),ROW()-1,FALSE))</f>
        <v>26.954999999999998</v>
      </c>
      <c r="AT78">
        <f ca="1">IF(AND(ISNUMBER($AT$307),$B$183=1),$AT$307,HLOOKUP(INDIRECT(ADDRESS(2,COLUMN())),OFFSET($BN$2,0,0,ROW()-1,60),ROW()-1,FALSE))</f>
        <v>25.89</v>
      </c>
      <c r="AU78">
        <f ca="1">IF(AND(ISNUMBER($AU$307),$B$183=1),$AU$307,HLOOKUP(INDIRECT(ADDRESS(2,COLUMN())),OFFSET($BN$2,0,0,ROW()-1,60),ROW()-1,FALSE))</f>
        <v>24.617000000000001</v>
      </c>
      <c r="AV78">
        <f ca="1">IF(AND(ISNUMBER($AV$307),$B$183=1),$AV$307,HLOOKUP(INDIRECT(ADDRESS(2,COLUMN())),OFFSET($BN$2,0,0,ROW()-1,60),ROW()-1,FALSE))</f>
        <v>26.004000000000001</v>
      </c>
      <c r="AW78">
        <f ca="1">IF(AND(ISNUMBER($AW$307),$B$183=1),$AW$307,HLOOKUP(INDIRECT(ADDRESS(2,COLUMN())),OFFSET($BN$2,0,0,ROW()-1,60),ROW()-1,FALSE))</f>
        <v>21.446999999999999</v>
      </c>
      <c r="AX78">
        <f ca="1">IF(AND(ISNUMBER($AX$307),$B$183=1),$AX$307,HLOOKUP(INDIRECT(ADDRESS(2,COLUMN())),OFFSET($BN$2,0,0,ROW()-1,60),ROW()-1,FALSE))</f>
        <v>36.533999999999999</v>
      </c>
      <c r="AY78">
        <f ca="1">IF(AND(ISNUMBER($AY$307),$B$183=1),$AY$307,HLOOKUP(INDIRECT(ADDRESS(2,COLUMN())),OFFSET($BN$2,0,0,ROW()-1,60),ROW()-1,FALSE))</f>
        <v>155.631</v>
      </c>
      <c r="AZ78">
        <f ca="1">IF(AND(ISNUMBER($AZ$307),$B$183=1),$AZ$307,HLOOKUP(INDIRECT(ADDRESS(2,COLUMN())),OFFSET($BN$2,0,0,ROW()-1,60),ROW()-1,FALSE))</f>
        <v>75.653000000000006</v>
      </c>
      <c r="BA78">
        <f ca="1">IF(AND(ISNUMBER($BA$307),$B$183=1),$BA$307,HLOOKUP(INDIRECT(ADDRESS(2,COLUMN())),OFFSET($BN$2,0,0,ROW()-1,60),ROW()-1,FALSE))</f>
        <v>58.594999999999999</v>
      </c>
      <c r="BB78">
        <f ca="1">IF(AND(ISNUMBER($BB$307),$B$183=1),$BB$307,HLOOKUP(INDIRECT(ADDRESS(2,COLUMN())),OFFSET($BN$2,0,0,ROW()-1,60),ROW()-1,FALSE))</f>
        <v>58.21</v>
      </c>
      <c r="BC78">
        <f ca="1">IF(AND(ISNUMBER($BC$307),$B$183=1),$BC$307,HLOOKUP(INDIRECT(ADDRESS(2,COLUMN())),OFFSET($BN$2,0,0,ROW()-1,60),ROW()-1,FALSE))</f>
        <v>77.902000000000001</v>
      </c>
      <c r="BD78">
        <f ca="1">IF(AND(ISNUMBER($BD$307),$B$183=1),$BD$307,HLOOKUP(INDIRECT(ADDRESS(2,COLUMN())),OFFSET($BN$2,0,0,ROW()-1,60),ROW()-1,FALSE))</f>
        <v>65.748000000000005</v>
      </c>
      <c r="BE78">
        <f ca="1">IF(AND(ISNUMBER($BE$307),$B$183=1),$BE$307,HLOOKUP(INDIRECT(ADDRESS(2,COLUMN())),OFFSET($BN$2,0,0,ROW()-1,60),ROW()-1,FALSE))</f>
        <v>75.075999999999993</v>
      </c>
      <c r="BF78">
        <f ca="1">IF(AND(ISNUMBER($BF$307),$B$183=1),$BF$307,HLOOKUP(INDIRECT(ADDRESS(2,COLUMN())),OFFSET($BN$2,0,0,ROW()-1,60),ROW()-1,FALSE))</f>
        <v>215.72300000000001</v>
      </c>
      <c r="BG78">
        <f ca="1">IF(AND(ISNUMBER($BG$307),$B$183=1),$BG$307,HLOOKUP(INDIRECT(ADDRESS(2,COLUMN())),OFFSET($BN$2,0,0,ROW()-1,60),ROW()-1,FALSE))</f>
        <v>74.430999999999997</v>
      </c>
      <c r="BH78">
        <f ca="1">IF(AND(ISNUMBER($BH$307),$B$183=1),$BH$307,HLOOKUP(INDIRECT(ADDRESS(2,COLUMN())),OFFSET($BN$2,0,0,ROW()-1,60),ROW()-1,FALSE))</f>
        <v>64.808999999999997</v>
      </c>
      <c r="BI78">
        <f ca="1">IF(AND(ISNUMBER($BI$307),$B$183=1),$BI$307,HLOOKUP(INDIRECT(ADDRESS(2,COLUMN())),OFFSET($BN$2,0,0,ROW()-1,60),ROW()-1,FALSE))</f>
        <v>61.188000000000002</v>
      </c>
      <c r="BJ78">
        <f ca="1">IF(AND(ISNUMBER($BJ$307),$B$183=1),$BJ$307,HLOOKUP(INDIRECT(ADDRESS(2,COLUMN())),OFFSET($BN$2,0,0,ROW()-1,60),ROW()-1,FALSE))</f>
        <v>62.338000000000001</v>
      </c>
      <c r="BK78">
        <f ca="1">IF(AND(ISNUMBER($BK$307),$B$183=1),$BK$307,HLOOKUP(INDIRECT(ADDRESS(2,COLUMN())),OFFSET($BN$2,0,0,ROW()-1,60),ROW()-1,FALSE))</f>
        <v>42.646000000000001</v>
      </c>
      <c r="BL78">
        <f ca="1">IF(AND(ISNUMBER($BL$307),$B$183=1),$BL$307,HLOOKUP(INDIRECT(ADDRESS(2,COLUMN())),OFFSET($BN$2,0,0,ROW()-1,60),ROW()-1,FALSE))</f>
        <v>28.635999999999999</v>
      </c>
      <c r="BM78">
        <f ca="1">IF(AND(ISNUMBER($BM$307),$B$183=1),$BM$307,HLOOKUP(INDIRECT(ADDRESS(2,COLUMN())),OFFSET($BN$2,0,0,ROW()-1,60),ROW()-1,FALSE))</f>
        <v>26.731999999999999</v>
      </c>
      <c r="BN78">
        <f>618.7617276</f>
        <v>618.76172759999997</v>
      </c>
      <c r="BO78">
        <f>609.303</f>
        <v>609.303</v>
      </c>
      <c r="BP78">
        <f>601.504</f>
        <v>601.50400000000002</v>
      </c>
      <c r="BQ78">
        <f>444.279</f>
        <v>444.279</v>
      </c>
      <c r="BR78">
        <f>573.939</f>
        <v>573.93899999999996</v>
      </c>
      <c r="BS78">
        <f>557.604</f>
        <v>557.60400000000004</v>
      </c>
      <c r="BT78">
        <f>545.878</f>
        <v>545.87800000000004</v>
      </c>
      <c r="BU78">
        <f>473.703</f>
        <v>473.70299999999997</v>
      </c>
      <c r="BV78">
        <f>457.683</f>
        <v>457.68299999999999</v>
      </c>
      <c r="BW78">
        <f>0</f>
        <v>0</v>
      </c>
      <c r="BX78">
        <f>0</f>
        <v>0</v>
      </c>
      <c r="BY78">
        <f>0</f>
        <v>0</v>
      </c>
      <c r="BZ78">
        <f>0</f>
        <v>0</v>
      </c>
      <c r="CA78">
        <f>0</f>
        <v>0</v>
      </c>
      <c r="CB78">
        <f>0</f>
        <v>0</v>
      </c>
      <c r="CC78">
        <f>0</f>
        <v>0</v>
      </c>
      <c r="CD78">
        <f>0</f>
        <v>0</v>
      </c>
      <c r="CE78">
        <f>0</f>
        <v>0</v>
      </c>
      <c r="CF78">
        <f>0</f>
        <v>0</v>
      </c>
      <c r="CG78">
        <f>0</f>
        <v>0</v>
      </c>
      <c r="CH78">
        <f>0</f>
        <v>0</v>
      </c>
      <c r="CI78">
        <f>0</f>
        <v>0</v>
      </c>
      <c r="CJ78">
        <f>0</f>
        <v>0</v>
      </c>
      <c r="CK78">
        <f>0</f>
        <v>0</v>
      </c>
      <c r="CL78">
        <f>0</f>
        <v>0</v>
      </c>
      <c r="CM78">
        <f>0</f>
        <v>0</v>
      </c>
      <c r="CN78">
        <f>0</f>
        <v>0</v>
      </c>
      <c r="CO78">
        <f>0</f>
        <v>0</v>
      </c>
      <c r="CP78">
        <f>0</f>
        <v>0</v>
      </c>
      <c r="CQ78">
        <f>37.746</f>
        <v>37.746000000000002</v>
      </c>
      <c r="CR78">
        <f>35.399</f>
        <v>35.399000000000001</v>
      </c>
      <c r="CS78">
        <f>35.404</f>
        <v>35.404000000000003</v>
      </c>
      <c r="CT78">
        <f>31.286</f>
        <v>31.286000000000001</v>
      </c>
      <c r="CU78">
        <f>30.31</f>
        <v>30.31</v>
      </c>
      <c r="CV78">
        <f>30.281</f>
        <v>30.280999999999999</v>
      </c>
      <c r="CW78">
        <f>35.239</f>
        <v>35.238999999999997</v>
      </c>
      <c r="CX78">
        <f>35.646</f>
        <v>35.646000000000001</v>
      </c>
      <c r="CY78">
        <f>33.607</f>
        <v>33.606999999999999</v>
      </c>
      <c r="CZ78">
        <f>29.397</f>
        <v>29.396999999999998</v>
      </c>
      <c r="DA78">
        <f>26.955</f>
        <v>26.954999999999998</v>
      </c>
      <c r="DB78">
        <f>25.89</f>
        <v>25.89</v>
      </c>
      <c r="DC78">
        <f>24.617</f>
        <v>24.617000000000001</v>
      </c>
      <c r="DD78">
        <f>26.004</f>
        <v>26.004000000000001</v>
      </c>
      <c r="DE78">
        <f>21.447</f>
        <v>21.446999999999999</v>
      </c>
      <c r="DF78">
        <f>36.534</f>
        <v>36.533999999999999</v>
      </c>
      <c r="DG78">
        <f>155.631</f>
        <v>155.631</v>
      </c>
      <c r="DH78">
        <f>75.653</f>
        <v>75.653000000000006</v>
      </c>
      <c r="DI78">
        <f>58.595</f>
        <v>58.594999999999999</v>
      </c>
      <c r="DJ78">
        <f>58.21</f>
        <v>58.21</v>
      </c>
      <c r="DK78">
        <f>77.902</f>
        <v>77.902000000000001</v>
      </c>
      <c r="DL78">
        <f>65.748</f>
        <v>65.748000000000005</v>
      </c>
      <c r="DM78">
        <f>75.076</f>
        <v>75.075999999999993</v>
      </c>
      <c r="DN78">
        <f>215.723</f>
        <v>215.72300000000001</v>
      </c>
      <c r="DO78">
        <f>74.431</f>
        <v>74.430999999999997</v>
      </c>
      <c r="DP78">
        <f>64.809</f>
        <v>64.808999999999997</v>
      </c>
      <c r="DQ78">
        <f>61.188</f>
        <v>61.188000000000002</v>
      </c>
      <c r="DR78">
        <f>62.338</f>
        <v>62.338000000000001</v>
      </c>
      <c r="DS78">
        <f>42.646</f>
        <v>42.646000000000001</v>
      </c>
      <c r="DT78">
        <f>28.636</f>
        <v>28.635999999999999</v>
      </c>
      <c r="DU78">
        <f>26.732</f>
        <v>26.731999999999999</v>
      </c>
    </row>
    <row r="79" spans="1:125">
      <c r="A79" t="str">
        <f>"    "</f>
        <v xml:space="preserve">    </v>
      </c>
      <c r="B79" t="str">
        <f>""</f>
        <v/>
      </c>
      <c r="E79" t="str">
        <f>"静态"</f>
        <v>静态</v>
      </c>
      <c r="F79" t="str">
        <f t="shared" ref="F79:AK79" ca="1" si="17">HLOOKUP(INDIRECT(ADDRESS(2,COLUMN())),OFFSET($BN$2,0,0,ROW()-1,60),ROW()-1,FALSE)</f>
        <v/>
      </c>
      <c r="G79" t="str">
        <f t="shared" ca="1" si="17"/>
        <v/>
      </c>
      <c r="H79" t="str">
        <f t="shared" ca="1" si="17"/>
        <v/>
      </c>
      <c r="I79" t="str">
        <f t="shared" ca="1" si="17"/>
        <v/>
      </c>
      <c r="J79" t="str">
        <f t="shared" ca="1" si="17"/>
        <v/>
      </c>
      <c r="K79" t="str">
        <f t="shared" ca="1" si="17"/>
        <v/>
      </c>
      <c r="L79" t="str">
        <f t="shared" ca="1" si="17"/>
        <v/>
      </c>
      <c r="M79" t="str">
        <f t="shared" ca="1" si="17"/>
        <v/>
      </c>
      <c r="N79" t="str">
        <f t="shared" ca="1" si="17"/>
        <v/>
      </c>
      <c r="O79" t="str">
        <f t="shared" ca="1" si="17"/>
        <v/>
      </c>
      <c r="P79" t="str">
        <f t="shared" ca="1" si="17"/>
        <v/>
      </c>
      <c r="Q79" t="str">
        <f t="shared" ca="1" si="17"/>
        <v/>
      </c>
      <c r="R79" t="str">
        <f t="shared" ca="1" si="17"/>
        <v/>
      </c>
      <c r="S79" t="str">
        <f t="shared" ca="1" si="17"/>
        <v/>
      </c>
      <c r="T79" t="str">
        <f t="shared" ca="1" si="17"/>
        <v/>
      </c>
      <c r="U79" t="str">
        <f t="shared" ca="1" si="17"/>
        <v/>
      </c>
      <c r="V79" t="str">
        <f t="shared" ca="1" si="17"/>
        <v/>
      </c>
      <c r="W79" t="str">
        <f t="shared" ca="1" si="17"/>
        <v/>
      </c>
      <c r="X79" t="str">
        <f t="shared" ca="1" si="17"/>
        <v/>
      </c>
      <c r="Y79" t="str">
        <f t="shared" ca="1" si="17"/>
        <v/>
      </c>
      <c r="Z79" t="str">
        <f t="shared" ca="1" si="17"/>
        <v/>
      </c>
      <c r="AA79" t="str">
        <f t="shared" ca="1" si="17"/>
        <v/>
      </c>
      <c r="AB79" t="str">
        <f t="shared" ca="1" si="17"/>
        <v/>
      </c>
      <c r="AC79" t="str">
        <f t="shared" ca="1" si="17"/>
        <v/>
      </c>
      <c r="AD79" t="str">
        <f t="shared" ca="1" si="17"/>
        <v/>
      </c>
      <c r="AE79" t="str">
        <f t="shared" ca="1" si="17"/>
        <v/>
      </c>
      <c r="AF79" t="str">
        <f t="shared" ca="1" si="17"/>
        <v/>
      </c>
      <c r="AG79" t="str">
        <f t="shared" ca="1" si="17"/>
        <v/>
      </c>
      <c r="AH79" t="str">
        <f t="shared" ca="1" si="17"/>
        <v/>
      </c>
      <c r="AI79" t="str">
        <f t="shared" ca="1" si="17"/>
        <v/>
      </c>
      <c r="AJ79" t="str">
        <f t="shared" ca="1" si="17"/>
        <v/>
      </c>
      <c r="AK79" t="str">
        <f t="shared" ca="1" si="17"/>
        <v/>
      </c>
      <c r="AL79" t="str">
        <f t="shared" ref="AL79:BM79" ca="1" si="18">HLOOKUP(INDIRECT(ADDRESS(2,COLUMN())),OFFSET($BN$2,0,0,ROW()-1,60),ROW()-1,FALSE)</f>
        <v/>
      </c>
      <c r="AM79" t="str">
        <f t="shared" ca="1" si="18"/>
        <v/>
      </c>
      <c r="AN79" t="str">
        <f t="shared" ca="1" si="18"/>
        <v/>
      </c>
      <c r="AO79" t="str">
        <f t="shared" ca="1" si="18"/>
        <v/>
      </c>
      <c r="AP79" t="str">
        <f t="shared" ca="1" si="18"/>
        <v/>
      </c>
      <c r="AQ79" t="str">
        <f t="shared" ca="1" si="18"/>
        <v/>
      </c>
      <c r="AR79" t="str">
        <f t="shared" ca="1" si="18"/>
        <v/>
      </c>
      <c r="AS79" t="str">
        <f t="shared" ca="1" si="18"/>
        <v/>
      </c>
      <c r="AT79" t="str">
        <f t="shared" ca="1" si="18"/>
        <v/>
      </c>
      <c r="AU79" t="str">
        <f t="shared" ca="1" si="18"/>
        <v/>
      </c>
      <c r="AV79" t="str">
        <f t="shared" ca="1" si="18"/>
        <v/>
      </c>
      <c r="AW79" t="str">
        <f t="shared" ca="1" si="18"/>
        <v/>
      </c>
      <c r="AX79" t="str">
        <f t="shared" ca="1" si="18"/>
        <v/>
      </c>
      <c r="AY79" t="str">
        <f t="shared" ca="1" si="18"/>
        <v/>
      </c>
      <c r="AZ79" t="str">
        <f t="shared" ca="1" si="18"/>
        <v/>
      </c>
      <c r="BA79" t="str">
        <f t="shared" ca="1" si="18"/>
        <v/>
      </c>
      <c r="BB79" t="str">
        <f t="shared" ca="1" si="18"/>
        <v/>
      </c>
      <c r="BC79" t="str">
        <f t="shared" ca="1" si="18"/>
        <v/>
      </c>
      <c r="BD79" t="str">
        <f t="shared" ca="1" si="18"/>
        <v/>
      </c>
      <c r="BE79" t="str">
        <f t="shared" ca="1" si="18"/>
        <v/>
      </c>
      <c r="BF79" t="str">
        <f t="shared" ca="1" si="18"/>
        <v/>
      </c>
      <c r="BG79" t="str">
        <f t="shared" ca="1" si="18"/>
        <v/>
      </c>
      <c r="BH79" t="str">
        <f t="shared" ca="1" si="18"/>
        <v/>
      </c>
      <c r="BI79" t="str">
        <f t="shared" ca="1" si="18"/>
        <v/>
      </c>
      <c r="BJ79" t="str">
        <f t="shared" ca="1" si="18"/>
        <v/>
      </c>
      <c r="BK79" t="str">
        <f t="shared" ca="1" si="18"/>
        <v/>
      </c>
      <c r="BL79" t="str">
        <f t="shared" ca="1" si="18"/>
        <v/>
      </c>
      <c r="BM79" t="str">
        <f t="shared" ca="1" si="18"/>
        <v/>
      </c>
      <c r="BN79" t="str">
        <f>""</f>
        <v/>
      </c>
      <c r="BO79" t="str">
        <f>""</f>
        <v/>
      </c>
      <c r="BP79" t="str">
        <f>""</f>
        <v/>
      </c>
      <c r="BQ79" t="str">
        <f>""</f>
        <v/>
      </c>
      <c r="BR79" t="str">
        <f>""</f>
        <v/>
      </c>
      <c r="BS79" t="str">
        <f>""</f>
        <v/>
      </c>
      <c r="BT79" t="str">
        <f>""</f>
        <v/>
      </c>
      <c r="BU79" t="str">
        <f>""</f>
        <v/>
      </c>
      <c r="BV79" t="str">
        <f>""</f>
        <v/>
      </c>
      <c r="BW79" t="str">
        <f>""</f>
        <v/>
      </c>
      <c r="BX79" t="str">
        <f>""</f>
        <v/>
      </c>
      <c r="BY79" t="str">
        <f>""</f>
        <v/>
      </c>
      <c r="BZ79" t="str">
        <f>""</f>
        <v/>
      </c>
      <c r="CA79" t="str">
        <f>""</f>
        <v/>
      </c>
      <c r="CB79" t="str">
        <f>""</f>
        <v/>
      </c>
      <c r="CC79" t="str">
        <f>""</f>
        <v/>
      </c>
      <c r="CD79" t="str">
        <f>""</f>
        <v/>
      </c>
      <c r="CE79" t="str">
        <f>""</f>
        <v/>
      </c>
      <c r="CF79" t="str">
        <f>""</f>
        <v/>
      </c>
      <c r="CG79" t="str">
        <f>""</f>
        <v/>
      </c>
      <c r="CH79" t="str">
        <f>""</f>
        <v/>
      </c>
      <c r="CI79" t="str">
        <f>""</f>
        <v/>
      </c>
      <c r="CJ79" t="str">
        <f>""</f>
        <v/>
      </c>
      <c r="CK79" t="str">
        <f>""</f>
        <v/>
      </c>
      <c r="CL79" t="str">
        <f>""</f>
        <v/>
      </c>
      <c r="CM79" t="str">
        <f>""</f>
        <v/>
      </c>
      <c r="CN79" t="str">
        <f>""</f>
        <v/>
      </c>
      <c r="CO79" t="str">
        <f>""</f>
        <v/>
      </c>
      <c r="CP79" t="str">
        <f>""</f>
        <v/>
      </c>
      <c r="CQ79" t="str">
        <f>""</f>
        <v/>
      </c>
      <c r="CR79" t="str">
        <f>""</f>
        <v/>
      </c>
      <c r="CS79" t="str">
        <f>""</f>
        <v/>
      </c>
      <c r="CT79" t="str">
        <f>""</f>
        <v/>
      </c>
      <c r="CU79" t="str">
        <f>""</f>
        <v/>
      </c>
      <c r="CV79" t="str">
        <f>""</f>
        <v/>
      </c>
      <c r="CW79" t="str">
        <f>""</f>
        <v/>
      </c>
      <c r="CX79" t="str">
        <f>""</f>
        <v/>
      </c>
      <c r="CY79" t="str">
        <f>""</f>
        <v/>
      </c>
      <c r="CZ79" t="str">
        <f>""</f>
        <v/>
      </c>
      <c r="DA79" t="str">
        <f>""</f>
        <v/>
      </c>
      <c r="DB79" t="str">
        <f>""</f>
        <v/>
      </c>
      <c r="DC79" t="str">
        <f>""</f>
        <v/>
      </c>
      <c r="DD79" t="str">
        <f>""</f>
        <v/>
      </c>
      <c r="DE79" t="str">
        <f>""</f>
        <v/>
      </c>
      <c r="DF79" t="str">
        <f>""</f>
        <v/>
      </c>
      <c r="DG79" t="str">
        <f>""</f>
        <v/>
      </c>
      <c r="DH79" t="str">
        <f>""</f>
        <v/>
      </c>
      <c r="DI79" t="str">
        <f>""</f>
        <v/>
      </c>
      <c r="DJ79" t="str">
        <f>""</f>
        <v/>
      </c>
      <c r="DK79" t="str">
        <f>""</f>
        <v/>
      </c>
      <c r="DL79" t="str">
        <f>""</f>
        <v/>
      </c>
      <c r="DM79" t="str">
        <f>""</f>
        <v/>
      </c>
      <c r="DN79" t="str">
        <f>""</f>
        <v/>
      </c>
      <c r="DO79" t="str">
        <f>""</f>
        <v/>
      </c>
      <c r="DP79" t="str">
        <f>""</f>
        <v/>
      </c>
      <c r="DQ79" t="str">
        <f>""</f>
        <v/>
      </c>
      <c r="DR79" t="str">
        <f>""</f>
        <v/>
      </c>
      <c r="DS79" t="str">
        <f>""</f>
        <v/>
      </c>
      <c r="DT79" t="str">
        <f>""</f>
        <v/>
      </c>
      <c r="DU79" t="str">
        <f>""</f>
        <v/>
      </c>
    </row>
    <row r="80" spans="1:125">
      <c r="A80" t="str">
        <f>"    Mortgage REITs"</f>
        <v xml:space="preserve">    Mortgage REITs</v>
      </c>
      <c r="B80" t="str">
        <f>"RECFTDMG Index"</f>
        <v>RECFTDMG Index</v>
      </c>
      <c r="C80" t="str">
        <f>"PR005"</f>
        <v>PR005</v>
      </c>
      <c r="D80" t="str">
        <f>"PX_LAST"</f>
        <v>PX_LAST</v>
      </c>
      <c r="E80" t="str">
        <f>"动态"</f>
        <v>动态</v>
      </c>
      <c r="F80">
        <f ca="1">IF(AND(ISNUMBER($F$308),$B$183=1),$F$308,HLOOKUP(INDIRECT(ADDRESS(2,COLUMN())),OFFSET($BN$2,0,0,ROW()-1,60),ROW()-1,FALSE))</f>
        <v>1876.8886259999999</v>
      </c>
      <c r="G80">
        <f ca="1">IF(AND(ISNUMBER($G$308),$B$183=1),$G$308,HLOOKUP(INDIRECT(ADDRESS(2,COLUMN())),OFFSET($BN$2,0,0,ROW()-1,60),ROW()-1,FALSE))</f>
        <v>1704.365</v>
      </c>
      <c r="H80">
        <f ca="1">IF(AND(ISNUMBER($H$308),$B$183=1),$H$308,HLOOKUP(INDIRECT(ADDRESS(2,COLUMN())),OFFSET($BN$2,0,0,ROW()-1,60),ROW()-1,FALSE))</f>
        <v>1696.6210000000001</v>
      </c>
      <c r="I80">
        <f ca="1">IF(AND(ISNUMBER($I$308),$B$183=1),$I$308,HLOOKUP(INDIRECT(ADDRESS(2,COLUMN())),OFFSET($BN$2,0,0,ROW()-1,60),ROW()-1,FALSE))</f>
        <v>1574.0519999999999</v>
      </c>
      <c r="J80">
        <f ca="1">IF(AND(ISNUMBER($J$308),$B$183=1),$J$308,HLOOKUP(INDIRECT(ADDRESS(2,COLUMN())),OFFSET($BN$2,0,0,ROW()-1,60),ROW()-1,FALSE))</f>
        <v>1635.4245000000001</v>
      </c>
      <c r="K80">
        <f ca="1">IF(AND(ISNUMBER($K$308),$B$183=1),$K$308,HLOOKUP(INDIRECT(ADDRESS(2,COLUMN())),OFFSET($BN$2,0,0,ROW()-1,60),ROW()-1,FALSE))</f>
        <v>1636.21</v>
      </c>
      <c r="L80">
        <f ca="1">IF(AND(ISNUMBER($L$308),$B$183=1),$L$308,HLOOKUP(INDIRECT(ADDRESS(2,COLUMN())),OFFSET($BN$2,0,0,ROW()-1,60),ROW()-1,FALSE))</f>
        <v>1630.915</v>
      </c>
      <c r="M80">
        <f ca="1">IF(AND(ISNUMBER($M$308),$B$183=1),$M$308,HLOOKUP(INDIRECT(ADDRESS(2,COLUMN())),OFFSET($BN$2,0,0,ROW()-1,60),ROW()-1,FALSE))</f>
        <v>1805.222</v>
      </c>
      <c r="N80">
        <f ca="1">IF(AND(ISNUMBER($N$308),$B$183=1),$N$308,HLOOKUP(INDIRECT(ADDRESS(2,COLUMN())),OFFSET($BN$2,0,0,ROW()-1,60),ROW()-1,FALSE))</f>
        <v>1776.7339999999999</v>
      </c>
      <c r="O80">
        <f ca="1">IF(AND(ISNUMBER($O$308),$B$183=1),$O$308,HLOOKUP(INDIRECT(ADDRESS(2,COLUMN())),OFFSET($BN$2,0,0,ROW()-1,60),ROW()-1,FALSE))</f>
        <v>1760.2550000000001</v>
      </c>
      <c r="P80">
        <f ca="1">IF(AND(ISNUMBER($P$308),$B$183=1),$P$308,HLOOKUP(INDIRECT(ADDRESS(2,COLUMN())),OFFSET($BN$2,0,0,ROW()-1,60),ROW()-1,FALSE))</f>
        <v>1710.48</v>
      </c>
      <c r="Q80">
        <f ca="1">IF(AND(ISNUMBER($Q$308),$B$183=1),$Q$308,HLOOKUP(INDIRECT(ADDRESS(2,COLUMN())),OFFSET($BN$2,0,0,ROW()-1,60),ROW()-1,FALSE))</f>
        <v>1652.866</v>
      </c>
      <c r="R80">
        <f ca="1">IF(AND(ISNUMBER($R$308),$B$183=1),$R$308,HLOOKUP(INDIRECT(ADDRESS(2,COLUMN())),OFFSET($BN$2,0,0,ROW()-1,60),ROW()-1,FALSE))</f>
        <v>1961.8050000000001</v>
      </c>
      <c r="S80">
        <f ca="1">IF(AND(ISNUMBER($S$308),$B$183=1),$S$308,HLOOKUP(INDIRECT(ADDRESS(2,COLUMN())),OFFSET($BN$2,0,0,ROW()-1,60),ROW()-1,FALSE))</f>
        <v>1904.5150000000001</v>
      </c>
      <c r="T80">
        <f ca="1">IF(AND(ISNUMBER($T$308),$B$183=1),$T$308,HLOOKUP(INDIRECT(ADDRESS(2,COLUMN())),OFFSET($BN$2,0,0,ROW()-1,60),ROW()-1,FALSE))</f>
        <v>1736.9290000000001</v>
      </c>
      <c r="U80">
        <f ca="1">IF(AND(ISNUMBER($U$308),$B$183=1),$U$308,HLOOKUP(INDIRECT(ADDRESS(2,COLUMN())),OFFSET($BN$2,0,0,ROW()-1,60),ROW()-1,FALSE))</f>
        <v>1810.2935</v>
      </c>
      <c r="V80">
        <f ca="1">IF(AND(ISNUMBER($V$308),$B$183=1),$V$308,HLOOKUP(INDIRECT(ADDRESS(2,COLUMN())),OFFSET($BN$2,0,0,ROW()-1,60),ROW()-1,FALSE))</f>
        <v>1978.2850000000001</v>
      </c>
      <c r="W80">
        <f ca="1">IF(AND(ISNUMBER($W$308),$B$183=1),$W$308,HLOOKUP(INDIRECT(ADDRESS(2,COLUMN())),OFFSET($BN$2,0,0,ROW()-1,60),ROW()-1,FALSE))</f>
        <v>2148.2800000000002</v>
      </c>
      <c r="X80">
        <f ca="1">IF(AND(ISNUMBER($X$308),$B$183=1),$X$308,HLOOKUP(INDIRECT(ADDRESS(2,COLUMN())),OFFSET($BN$2,0,0,ROW()-1,60),ROW()-1,FALSE))</f>
        <v>2262.3719999999998</v>
      </c>
      <c r="Y80">
        <f ca="1">IF(AND(ISNUMBER($Y$308),$B$183=1),$Y$308,HLOOKUP(INDIRECT(ADDRESS(2,COLUMN())),OFFSET($BN$2,0,0,ROW()-1,60),ROW()-1,FALSE))</f>
        <v>1966.027</v>
      </c>
      <c r="Z80">
        <f ca="1">IF(AND(ISNUMBER($Z$308),$B$183=1),$Z$308,HLOOKUP(INDIRECT(ADDRESS(2,COLUMN())),OFFSET($BN$2,0,0,ROW()-1,60),ROW()-1,FALSE))</f>
        <v>2154.2919999999999</v>
      </c>
      <c r="AA80">
        <f ca="1">IF(AND(ISNUMBER($AA$308),$B$183=1),$AA$308,HLOOKUP(INDIRECT(ADDRESS(2,COLUMN())),OFFSET($BN$2,0,0,ROW()-1,60),ROW()-1,FALSE))</f>
        <v>1852.471</v>
      </c>
      <c r="AB80">
        <f ca="1">IF(AND(ISNUMBER($AB$308),$B$183=1),$AB$308,HLOOKUP(INDIRECT(ADDRESS(2,COLUMN())),OFFSET($BN$2,0,0,ROW()-1,60),ROW()-1,FALSE))</f>
        <v>1663.96</v>
      </c>
      <c r="AC80">
        <f ca="1">IF(AND(ISNUMBER($AC$308),$B$183=1),$AC$308,HLOOKUP(INDIRECT(ADDRESS(2,COLUMN())),OFFSET($BN$2,0,0,ROW()-1,60),ROW()-1,FALSE))</f>
        <v>1599.472</v>
      </c>
      <c r="AD80">
        <f ca="1">IF(AND(ISNUMBER($AD$308),$B$183=1),$AD$308,HLOOKUP(INDIRECT(ADDRESS(2,COLUMN())),OFFSET($BN$2,0,0,ROW()-1,60),ROW()-1,FALSE))</f>
        <v>1678.1210000000001</v>
      </c>
      <c r="AE80">
        <f ca="1">IF(AND(ISNUMBER($AE$308),$B$183=1),$AE$308,HLOOKUP(INDIRECT(ADDRESS(2,COLUMN())),OFFSET($BN$2,0,0,ROW()-1,60),ROW()-1,FALSE))</f>
        <v>1446.93</v>
      </c>
      <c r="AF80">
        <f ca="1">IF(AND(ISNUMBER($AF$308),$B$183=1),$AF$308,HLOOKUP(INDIRECT(ADDRESS(2,COLUMN())),OFFSET($BN$2,0,0,ROW()-1,60),ROW()-1,FALSE))</f>
        <v>1237.5730000000001</v>
      </c>
      <c r="AG80">
        <f ca="1">IF(AND(ISNUMBER($AG$308),$B$183=1),$AG$308,HLOOKUP(INDIRECT(ADDRESS(2,COLUMN())),OFFSET($BN$2,0,0,ROW()-1,60),ROW()-1,FALSE))</f>
        <v>1029.365</v>
      </c>
      <c r="AH80">
        <f ca="1">IF(AND(ISNUMBER($AH$308),$B$183=1),$AH$308,HLOOKUP(INDIRECT(ADDRESS(2,COLUMN())),OFFSET($BN$2,0,0,ROW()-1,60),ROW()-1,FALSE))</f>
        <v>983.90700000000004</v>
      </c>
      <c r="AI80">
        <f ca="1">IF(AND(ISNUMBER($AI$308),$B$183=1),$AI$308,HLOOKUP(INDIRECT(ADDRESS(2,COLUMN())),OFFSET($BN$2,0,0,ROW()-1,60),ROW()-1,FALSE))</f>
        <v>841.67100000000005</v>
      </c>
      <c r="AJ80">
        <f ca="1">IF(AND(ISNUMBER($AJ$308),$B$183=1),$AJ$308,HLOOKUP(INDIRECT(ADDRESS(2,COLUMN())),OFFSET($BN$2,0,0,ROW()-1,60),ROW()-1,FALSE))</f>
        <v>805.96299999999997</v>
      </c>
      <c r="AK80">
        <f ca="1">IF(AND(ISNUMBER($AK$308),$B$183=1),$AK$308,HLOOKUP(INDIRECT(ADDRESS(2,COLUMN())),OFFSET($BN$2,0,0,ROW()-1,60),ROW()-1,FALSE))</f>
        <v>861.31500000000005</v>
      </c>
      <c r="AL80">
        <f ca="1">IF(AND(ISNUMBER($AL$308),$B$183=1),$AL$308,HLOOKUP(INDIRECT(ADDRESS(2,COLUMN())),OFFSET($BN$2,0,0,ROW()-1,60),ROW()-1,FALSE))</f>
        <v>744.61500000000001</v>
      </c>
      <c r="AM80">
        <f ca="1">IF(AND(ISNUMBER($AM$308),$B$183=1),$AM$308,HLOOKUP(INDIRECT(ADDRESS(2,COLUMN())),OFFSET($BN$2,0,0,ROW()-1,60),ROW()-1,FALSE))</f>
        <v>615.30899999999997</v>
      </c>
      <c r="AN80">
        <f ca="1">IF(AND(ISNUMBER($AN$308),$B$183=1),$AN$308,HLOOKUP(INDIRECT(ADDRESS(2,COLUMN())),OFFSET($BN$2,0,0,ROW()-1,60),ROW()-1,FALSE))</f>
        <v>520.82500000000005</v>
      </c>
      <c r="AO80">
        <f ca="1">IF(AND(ISNUMBER($AO$308),$B$183=1),$AO$308,HLOOKUP(INDIRECT(ADDRESS(2,COLUMN())),OFFSET($BN$2,0,0,ROW()-1,60),ROW()-1,FALSE))</f>
        <v>480.04899999999998</v>
      </c>
      <c r="AP80">
        <f ca="1">IF(AND(ISNUMBER($AP$308),$B$183=1),$AP$308,HLOOKUP(INDIRECT(ADDRESS(2,COLUMN())),OFFSET($BN$2,0,0,ROW()-1,60),ROW()-1,FALSE))</f>
        <v>597.66800000000001</v>
      </c>
      <c r="AQ80">
        <f ca="1">IF(AND(ISNUMBER($AQ$308),$B$183=1),$AQ$308,HLOOKUP(INDIRECT(ADDRESS(2,COLUMN())),OFFSET($BN$2,0,0,ROW()-1,60),ROW()-1,FALSE))</f>
        <v>626.25300000000004</v>
      </c>
      <c r="AR80">
        <f ca="1">IF(AND(ISNUMBER($AR$308),$B$183=1),$AR$308,HLOOKUP(INDIRECT(ADDRESS(2,COLUMN())),OFFSET($BN$2,0,0,ROW()-1,60),ROW()-1,FALSE))</f>
        <v>506.82600000000002</v>
      </c>
      <c r="AS80">
        <f ca="1">IF(AND(ISNUMBER($AS$308),$B$183=1),$AS$308,HLOOKUP(INDIRECT(ADDRESS(2,COLUMN())),OFFSET($BN$2,0,0,ROW()-1,60),ROW()-1,FALSE))</f>
        <v>536.19600000000003</v>
      </c>
      <c r="AT80">
        <f ca="1">IF(AND(ISNUMBER($AT$308),$B$183=1),$AT$308,HLOOKUP(INDIRECT(ADDRESS(2,COLUMN())),OFFSET($BN$2,0,0,ROW()-1,60),ROW()-1,FALSE))</f>
        <v>431.2405</v>
      </c>
      <c r="AU80">
        <f ca="1">IF(AND(ISNUMBER($AU$308),$B$183=1),$AU$308,HLOOKUP(INDIRECT(ADDRESS(2,COLUMN())),OFFSET($BN$2,0,0,ROW()-1,60),ROW()-1,FALSE))</f>
        <v>415.56799999999998</v>
      </c>
      <c r="AV80">
        <f ca="1">IF(AND(ISNUMBER($AV$308),$B$183=1),$AV$308,HLOOKUP(INDIRECT(ADDRESS(2,COLUMN())),OFFSET($BN$2,0,0,ROW()-1,60),ROW()-1,FALSE))</f>
        <v>436.49149999999997</v>
      </c>
      <c r="AW80">
        <f ca="1">IF(AND(ISNUMBER($AW$308),$B$183=1),$AW$308,HLOOKUP(INDIRECT(ADDRESS(2,COLUMN())),OFFSET($BN$2,0,0,ROW()-1,60),ROW()-1,FALSE))</f>
        <v>455.339</v>
      </c>
      <c r="AX80">
        <f ca="1">IF(AND(ISNUMBER($AX$308),$B$183=1),$AX$308,HLOOKUP(INDIRECT(ADDRESS(2,COLUMN())),OFFSET($BN$2,0,0,ROW()-1,60),ROW()-1,FALSE))</f>
        <v>538.36099999999999</v>
      </c>
      <c r="AY80">
        <f ca="1">IF(AND(ISNUMBER($AY$308),$B$183=1),$AY$308,HLOOKUP(INDIRECT(ADDRESS(2,COLUMN())),OFFSET($BN$2,0,0,ROW()-1,60),ROW()-1,FALSE))</f>
        <v>529.65300000000002</v>
      </c>
      <c r="AZ80">
        <f ca="1">IF(AND(ISNUMBER($AZ$308),$B$183=1),$AZ$308,HLOOKUP(INDIRECT(ADDRESS(2,COLUMN())),OFFSET($BN$2,0,0,ROW()-1,60),ROW()-1,FALSE))</f>
        <v>525.29899999999998</v>
      </c>
      <c r="BA80">
        <f ca="1">IF(AND(ISNUMBER($BA$308),$B$183=1),$BA$308,HLOOKUP(INDIRECT(ADDRESS(2,COLUMN())),OFFSET($BN$2,0,0,ROW()-1,60),ROW()-1,FALSE))</f>
        <v>421.27800000000002</v>
      </c>
      <c r="BB80">
        <f ca="1">IF(AND(ISNUMBER($BB$308),$B$183=1),$BB$308,HLOOKUP(INDIRECT(ADDRESS(2,COLUMN())),OFFSET($BN$2,0,0,ROW()-1,60),ROW()-1,FALSE))</f>
        <v>0.316</v>
      </c>
      <c r="BC80">
        <f ca="1">IF(AND(ISNUMBER($BC$308),$B$183=1),$BC$308,HLOOKUP(INDIRECT(ADDRESS(2,COLUMN())),OFFSET($BN$2,0,0,ROW()-1,60),ROW()-1,FALSE))</f>
        <v>0.315</v>
      </c>
      <c r="BD80">
        <f ca="1">IF(AND(ISNUMBER($BD$308),$B$183=1),$BD$308,HLOOKUP(INDIRECT(ADDRESS(2,COLUMN())),OFFSET($BN$2,0,0,ROW()-1,60),ROW()-1,FALSE))</f>
        <v>7.1654999999999998</v>
      </c>
      <c r="BE80">
        <f ca="1">IF(AND(ISNUMBER($BE$308),$B$183=1),$BE$308,HLOOKUP(INDIRECT(ADDRESS(2,COLUMN())),OFFSET($BN$2,0,0,ROW()-1,60),ROW()-1,FALSE))</f>
        <v>8.1059999999999999</v>
      </c>
      <c r="BF80">
        <f ca="1">IF(AND(ISNUMBER($BF$308),$B$183=1),$BF$308,HLOOKUP(INDIRECT(ADDRESS(2,COLUMN())),OFFSET($BN$2,0,0,ROW()-1,60),ROW()-1,FALSE))</f>
        <v>3.2719999999999998</v>
      </c>
      <c r="BG80">
        <f ca="1">IF(AND(ISNUMBER($BG$308),$B$183=1),$BG$308,HLOOKUP(INDIRECT(ADDRESS(2,COLUMN())),OFFSET($BN$2,0,0,ROW()-1,60),ROW()-1,FALSE))</f>
        <v>0.157</v>
      </c>
      <c r="BH80">
        <f ca="1">IF(AND(ISNUMBER($BH$308),$B$183=1),$BH$308,HLOOKUP(INDIRECT(ADDRESS(2,COLUMN())),OFFSET($BN$2,0,0,ROW()-1,60),ROW()-1,FALSE))</f>
        <v>0</v>
      </c>
      <c r="BI80">
        <f ca="1">IF(AND(ISNUMBER($BI$308),$B$183=1),$BI$308,HLOOKUP(INDIRECT(ADDRESS(2,COLUMN())),OFFSET($BN$2,0,0,ROW()-1,60),ROW()-1,FALSE))</f>
        <v>0</v>
      </c>
      <c r="BJ80">
        <f ca="1">IF(AND(ISNUMBER($BJ$308),$B$183=1),$BJ$308,HLOOKUP(INDIRECT(ADDRESS(2,COLUMN())),OFFSET($BN$2,0,0,ROW()-1,60),ROW()-1,FALSE))</f>
        <v>0</v>
      </c>
      <c r="BK80">
        <f ca="1">IF(AND(ISNUMBER($BK$308),$B$183=1),$BK$308,HLOOKUP(INDIRECT(ADDRESS(2,COLUMN())),OFFSET($BN$2,0,0,ROW()-1,60),ROW()-1,FALSE))</f>
        <v>0</v>
      </c>
      <c r="BL80">
        <f ca="1">IF(AND(ISNUMBER($BL$308),$B$183=1),$BL$308,HLOOKUP(INDIRECT(ADDRESS(2,COLUMN())),OFFSET($BN$2,0,0,ROW()-1,60),ROW()-1,FALSE))</f>
        <v>0</v>
      </c>
      <c r="BM80">
        <f ca="1">IF(AND(ISNUMBER($BM$308),$B$183=1),$BM$308,HLOOKUP(INDIRECT(ADDRESS(2,COLUMN())),OFFSET($BN$2,0,0,ROW()-1,60),ROW()-1,FALSE))</f>
        <v>0</v>
      </c>
      <c r="BN80">
        <f>1876.888626</f>
        <v>1876.8886259999999</v>
      </c>
      <c r="BO80">
        <f>1704.365</f>
        <v>1704.365</v>
      </c>
      <c r="BP80">
        <f>1696.621</f>
        <v>1696.6210000000001</v>
      </c>
      <c r="BQ80">
        <f>1574.052</f>
        <v>1574.0519999999999</v>
      </c>
      <c r="BR80">
        <f>1635.4245</f>
        <v>1635.4245000000001</v>
      </c>
      <c r="BS80">
        <f>1636.21</f>
        <v>1636.21</v>
      </c>
      <c r="BT80">
        <f>1630.915</f>
        <v>1630.915</v>
      </c>
      <c r="BU80">
        <f>1805.222</f>
        <v>1805.222</v>
      </c>
      <c r="BV80">
        <f>1776.734</f>
        <v>1776.7339999999999</v>
      </c>
      <c r="BW80">
        <f>1760.255</f>
        <v>1760.2550000000001</v>
      </c>
      <c r="BX80">
        <f>1710.48</f>
        <v>1710.48</v>
      </c>
      <c r="BY80">
        <f>1652.866</f>
        <v>1652.866</v>
      </c>
      <c r="BZ80">
        <f>1961.805</f>
        <v>1961.8050000000001</v>
      </c>
      <c r="CA80">
        <f>1904.515</f>
        <v>1904.5150000000001</v>
      </c>
      <c r="CB80">
        <f>1736.929</f>
        <v>1736.9290000000001</v>
      </c>
      <c r="CC80">
        <f>1810.2935</f>
        <v>1810.2935</v>
      </c>
      <c r="CD80">
        <f>1978.285</f>
        <v>1978.2850000000001</v>
      </c>
      <c r="CE80">
        <f>2148.28</f>
        <v>2148.2800000000002</v>
      </c>
      <c r="CF80">
        <f>2262.372</f>
        <v>2262.3719999999998</v>
      </c>
      <c r="CG80">
        <f>1966.027</f>
        <v>1966.027</v>
      </c>
      <c r="CH80">
        <f>2154.292</f>
        <v>2154.2919999999999</v>
      </c>
      <c r="CI80">
        <f>1852.471</f>
        <v>1852.471</v>
      </c>
      <c r="CJ80">
        <f>1663.96</f>
        <v>1663.96</v>
      </c>
      <c r="CK80">
        <f>1599.472</f>
        <v>1599.472</v>
      </c>
      <c r="CL80">
        <f>1678.121</f>
        <v>1678.1210000000001</v>
      </c>
      <c r="CM80">
        <f>1446.93</f>
        <v>1446.93</v>
      </c>
      <c r="CN80">
        <f>1237.573</f>
        <v>1237.5730000000001</v>
      </c>
      <c r="CO80">
        <f>1029.365</f>
        <v>1029.365</v>
      </c>
      <c r="CP80">
        <f>983.907</f>
        <v>983.90700000000004</v>
      </c>
      <c r="CQ80">
        <f>841.671</f>
        <v>841.67100000000005</v>
      </c>
      <c r="CR80">
        <f>805.963</f>
        <v>805.96299999999997</v>
      </c>
      <c r="CS80">
        <f>861.315</f>
        <v>861.31500000000005</v>
      </c>
      <c r="CT80">
        <f>744.615</f>
        <v>744.61500000000001</v>
      </c>
      <c r="CU80">
        <f>615.309</f>
        <v>615.30899999999997</v>
      </c>
      <c r="CV80">
        <f>520.825</f>
        <v>520.82500000000005</v>
      </c>
      <c r="CW80">
        <f>480.049</f>
        <v>480.04899999999998</v>
      </c>
      <c r="CX80">
        <f>597.668</f>
        <v>597.66800000000001</v>
      </c>
      <c r="CY80">
        <f>626.253</f>
        <v>626.25300000000004</v>
      </c>
      <c r="CZ80">
        <f>506.826</f>
        <v>506.82600000000002</v>
      </c>
      <c r="DA80">
        <f>536.196</f>
        <v>536.19600000000003</v>
      </c>
      <c r="DB80">
        <f>431.2405</f>
        <v>431.2405</v>
      </c>
      <c r="DC80">
        <f>415.568</f>
        <v>415.56799999999998</v>
      </c>
      <c r="DD80">
        <f>436.4915</f>
        <v>436.49149999999997</v>
      </c>
      <c r="DE80">
        <f>455.339</f>
        <v>455.339</v>
      </c>
      <c r="DF80">
        <f>538.361</f>
        <v>538.36099999999999</v>
      </c>
      <c r="DG80">
        <f>529.653</f>
        <v>529.65300000000002</v>
      </c>
      <c r="DH80">
        <f>525.299</f>
        <v>525.29899999999998</v>
      </c>
      <c r="DI80">
        <f>421.278</f>
        <v>421.27800000000002</v>
      </c>
      <c r="DJ80">
        <f>0.316</f>
        <v>0.316</v>
      </c>
      <c r="DK80">
        <f>0.315</f>
        <v>0.315</v>
      </c>
      <c r="DL80">
        <f>7.1655</f>
        <v>7.1654999999999998</v>
      </c>
      <c r="DM80">
        <f>8.106</f>
        <v>8.1059999999999999</v>
      </c>
      <c r="DN80">
        <f>3.272</f>
        <v>3.2719999999999998</v>
      </c>
      <c r="DO80">
        <f>0.157</f>
        <v>0.157</v>
      </c>
      <c r="DP80">
        <f>0</f>
        <v>0</v>
      </c>
      <c r="DQ80">
        <f>0</f>
        <v>0</v>
      </c>
      <c r="DR80">
        <f>0</f>
        <v>0</v>
      </c>
      <c r="DS80">
        <f>0</f>
        <v>0</v>
      </c>
      <c r="DT80">
        <f>0</f>
        <v>0</v>
      </c>
      <c r="DU80">
        <f>0</f>
        <v>0</v>
      </c>
    </row>
    <row r="81" spans="1:125">
      <c r="A81" t="str">
        <f>"    所有房地产投资信托总计-已付股利(含抵押贷款房地产投资信托)"</f>
        <v xml:space="preserve">    所有房地产投资信托总计-已付股利(含抵押贷款房地产投资信托)</v>
      </c>
      <c r="B81" t="str">
        <f>"RECFTDRE Index"</f>
        <v>RECFTDRE Index</v>
      </c>
      <c r="C81" t="str">
        <f>"PR005"</f>
        <v>PR005</v>
      </c>
      <c r="D81" t="str">
        <f>"PX_LAST"</f>
        <v>PX_LAST</v>
      </c>
      <c r="E81" t="str">
        <f>"动态"</f>
        <v>动态</v>
      </c>
      <c r="F81">
        <f ca="1">IF(AND(ISNUMBER($F$309),$B$183=1),$F$309,HLOOKUP(INDIRECT(ADDRESS(2,COLUMN())),OFFSET($BN$2,0,0,ROW()-1,60),ROW()-1,FALSE))</f>
        <v>13691.412770000001</v>
      </c>
      <c r="G81">
        <f ca="1">IF(AND(ISNUMBER($G$309),$B$183=1),$G$309,HLOOKUP(INDIRECT(ADDRESS(2,COLUMN())),OFFSET($BN$2,0,0,ROW()-1,60),ROW()-1,FALSE))</f>
        <v>13096.261</v>
      </c>
      <c r="H81">
        <f ca="1">IF(AND(ISNUMBER($H$309),$B$183=1),$H$309,HLOOKUP(INDIRECT(ADDRESS(2,COLUMN())),OFFSET($BN$2,0,0,ROW()-1,60),ROW()-1,FALSE))</f>
        <v>12815.992</v>
      </c>
      <c r="I81">
        <f ca="1">IF(AND(ISNUMBER($I$309),$B$183=1),$I$309,HLOOKUP(INDIRECT(ADDRESS(2,COLUMN())),OFFSET($BN$2,0,0,ROW()-1,60),ROW()-1,FALSE))</f>
        <v>13345.62</v>
      </c>
      <c r="J81">
        <f ca="1">IF(AND(ISNUMBER($J$309),$B$183=1),$J$309,HLOOKUP(INDIRECT(ADDRESS(2,COLUMN())),OFFSET($BN$2,0,0,ROW()-1,60),ROW()-1,FALSE))</f>
        <v>13265.5625</v>
      </c>
      <c r="K81">
        <f ca="1">IF(AND(ISNUMBER($K$309),$B$183=1),$K$309,HLOOKUP(INDIRECT(ADDRESS(2,COLUMN())),OFFSET($BN$2,0,0,ROW()-1,60),ROW()-1,FALSE))</f>
        <v>12322.884</v>
      </c>
      <c r="L81">
        <f ca="1">IF(AND(ISNUMBER($L$309),$B$183=1),$L$309,HLOOKUP(INDIRECT(ADDRESS(2,COLUMN())),OFFSET($BN$2,0,0,ROW()-1,60),ROW()-1,FALSE))</f>
        <v>12024.669</v>
      </c>
      <c r="M81">
        <f ca="1">IF(AND(ISNUMBER($M$309),$B$183=1),$M$309,HLOOKUP(INDIRECT(ADDRESS(2,COLUMN())),OFFSET($BN$2,0,0,ROW()-1,60),ROW()-1,FALSE))</f>
        <v>15633.339</v>
      </c>
      <c r="N81">
        <f ca="1">IF(AND(ISNUMBER($N$309),$B$183=1),$N$309,HLOOKUP(INDIRECT(ADDRESS(2,COLUMN())),OFFSET($BN$2,0,0,ROW()-1,60),ROW()-1,FALSE))</f>
        <v>11751.285</v>
      </c>
      <c r="O81">
        <f ca="1">IF(AND(ISNUMBER($O$309),$B$183=1),$O$309,HLOOKUP(INDIRECT(ADDRESS(2,COLUMN())),OFFSET($BN$2,0,0,ROW()-1,60),ROW()-1,FALSE))</f>
        <v>12508.636</v>
      </c>
      <c r="P81">
        <f ca="1">IF(AND(ISNUMBER($P$309),$B$183=1),$P$309,HLOOKUP(INDIRECT(ADDRESS(2,COLUMN())),OFFSET($BN$2,0,0,ROW()-1,60),ROW()-1,FALSE))</f>
        <v>10829.216</v>
      </c>
      <c r="Q81">
        <f ca="1">IF(AND(ISNUMBER($Q$309),$B$183=1),$Q$309,HLOOKUP(INDIRECT(ADDRESS(2,COLUMN())),OFFSET($BN$2,0,0,ROW()-1,60),ROW()-1,FALSE))</f>
        <v>11535.915999999999</v>
      </c>
      <c r="R81">
        <f ca="1">IF(AND(ISNUMBER($R$309),$B$183=1),$R$309,HLOOKUP(INDIRECT(ADDRESS(2,COLUMN())),OFFSET($BN$2,0,0,ROW()-1,60),ROW()-1,FALSE))</f>
        <v>11370.736999999999</v>
      </c>
      <c r="S81">
        <f ca="1">IF(AND(ISNUMBER($S$309),$B$183=1),$S$309,HLOOKUP(INDIRECT(ADDRESS(2,COLUMN())),OFFSET($BN$2,0,0,ROW()-1,60),ROW()-1,FALSE))</f>
        <v>9785.73</v>
      </c>
      <c r="T81">
        <f ca="1">IF(AND(ISNUMBER($T$309),$B$183=1),$T$309,HLOOKUP(INDIRECT(ADDRESS(2,COLUMN())),OFFSET($BN$2,0,0,ROW()-1,60),ROW()-1,FALSE))</f>
        <v>10531.458000000001</v>
      </c>
      <c r="U81">
        <f ca="1">IF(AND(ISNUMBER($U$309),$B$183=1),$U$309,HLOOKUP(INDIRECT(ADDRESS(2,COLUMN())),OFFSET($BN$2,0,0,ROW()-1,60),ROW()-1,FALSE))</f>
        <v>9680.5035000000007</v>
      </c>
      <c r="V81">
        <f ca="1">IF(AND(ISNUMBER($V$309),$B$183=1),$V$309,HLOOKUP(INDIRECT(ADDRESS(2,COLUMN())),OFFSET($BN$2,0,0,ROW()-1,60),ROW()-1,FALSE))</f>
        <v>8980.1720000000005</v>
      </c>
      <c r="W81">
        <f ca="1">IF(AND(ISNUMBER($W$309),$B$183=1),$W$309,HLOOKUP(INDIRECT(ADDRESS(2,COLUMN())),OFFSET($BN$2,0,0,ROW()-1,60),ROW()-1,FALSE))</f>
        <v>8510.2009999999991</v>
      </c>
      <c r="X81">
        <f ca="1">IF(AND(ISNUMBER($X$309),$B$183=1),$X$309,HLOOKUP(INDIRECT(ADDRESS(2,COLUMN())),OFFSET($BN$2,0,0,ROW()-1,60),ROW()-1,FALSE))</f>
        <v>8563.6820000000007</v>
      </c>
      <c r="Y81">
        <f ca="1">IF(AND(ISNUMBER($Y$309),$B$183=1),$Y$309,HLOOKUP(INDIRECT(ADDRESS(2,COLUMN())),OFFSET($BN$2,0,0,ROW()-1,60),ROW()-1,FALSE))</f>
        <v>7942.4040000000005</v>
      </c>
      <c r="Z81">
        <f ca="1">IF(AND(ISNUMBER($Z$309),$B$183=1),$Z$309,HLOOKUP(INDIRECT(ADDRESS(2,COLUMN())),OFFSET($BN$2,0,0,ROW()-1,60),ROW()-1,FALSE))</f>
        <v>8732.7189999999991</v>
      </c>
      <c r="AA81">
        <f ca="1">IF(AND(ISNUMBER($AA$309),$B$183=1),$AA$309,HLOOKUP(INDIRECT(ADDRESS(2,COLUMN())),OFFSET($BN$2,0,0,ROW()-1,60),ROW()-1,FALSE))</f>
        <v>6919.3270000000002</v>
      </c>
      <c r="AB81">
        <f ca="1">IF(AND(ISNUMBER($AB$309),$B$183=1),$AB$309,HLOOKUP(INDIRECT(ADDRESS(2,COLUMN())),OFFSET($BN$2,0,0,ROW()-1,60),ROW()-1,FALSE))</f>
        <v>6811.13</v>
      </c>
      <c r="AC81">
        <f ca="1">IF(AND(ISNUMBER($AC$309),$B$183=1),$AC$309,HLOOKUP(INDIRECT(ADDRESS(2,COLUMN())),OFFSET($BN$2,0,0,ROW()-1,60),ROW()-1,FALSE))</f>
        <v>6538.5730000000003</v>
      </c>
      <c r="AD81">
        <f ca="1">IF(AND(ISNUMBER($AD$309),$B$183=1),$AD$309,HLOOKUP(INDIRECT(ADDRESS(2,COLUMN())),OFFSET($BN$2,0,0,ROW()-1,60),ROW()-1,FALSE))</f>
        <v>6281.0990000000002</v>
      </c>
      <c r="AE81">
        <f ca="1">IF(AND(ISNUMBER($AE$309),$B$183=1),$AE$309,HLOOKUP(INDIRECT(ADDRESS(2,COLUMN())),OFFSET($BN$2,0,0,ROW()-1,60),ROW()-1,FALSE))</f>
        <v>5827.1109999999999</v>
      </c>
      <c r="AF81">
        <f ca="1">IF(AND(ISNUMBER($AF$309),$B$183=1),$AF$309,HLOOKUP(INDIRECT(ADDRESS(2,COLUMN())),OFFSET($BN$2,0,0,ROW()-1,60),ROW()-1,FALSE))</f>
        <v>5558.2960000000003</v>
      </c>
      <c r="AG81">
        <f ca="1">IF(AND(ISNUMBER($AG$309),$B$183=1),$AG$309,HLOOKUP(INDIRECT(ADDRESS(2,COLUMN())),OFFSET($BN$2,0,0,ROW()-1,60),ROW()-1,FALSE))</f>
        <v>5232.25</v>
      </c>
      <c r="AH81">
        <f ca="1">IF(AND(ISNUMBER($AH$309),$B$183=1),$AH$309,HLOOKUP(INDIRECT(ADDRESS(2,COLUMN())),OFFSET($BN$2,0,0,ROW()-1,60),ROW()-1,FALSE))</f>
        <v>4649.0445</v>
      </c>
      <c r="AI81">
        <f ca="1">IF(AND(ISNUMBER($AI$309),$B$183=1),$AI$309,HLOOKUP(INDIRECT(ADDRESS(2,COLUMN())),OFFSET($BN$2,0,0,ROW()-1,60),ROW()-1,FALSE))</f>
        <v>4344.5190000000002</v>
      </c>
      <c r="AJ81">
        <f ca="1">IF(AND(ISNUMBER($AJ$309),$B$183=1),$AJ$309,HLOOKUP(INDIRECT(ADDRESS(2,COLUMN())),OFFSET($BN$2,0,0,ROW()-1,60),ROW()-1,FALSE))</f>
        <v>4240.4650000000001</v>
      </c>
      <c r="AK81">
        <f ca="1">IF(AND(ISNUMBER($AK$309),$B$183=1),$AK$309,HLOOKUP(INDIRECT(ADDRESS(2,COLUMN())),OFFSET($BN$2,0,0,ROW()-1,60),ROW()-1,FALSE))</f>
        <v>4160.6840000000002</v>
      </c>
      <c r="AL81">
        <f ca="1">IF(AND(ISNUMBER($AL$309),$B$183=1),$AL$309,HLOOKUP(INDIRECT(ADDRESS(2,COLUMN())),OFFSET($BN$2,0,0,ROW()-1,60),ROW()-1,FALSE))</f>
        <v>3580.6990000000001</v>
      </c>
      <c r="AM81">
        <f ca="1">IF(AND(ISNUMBER($AM$309),$B$183=1),$AM$309,HLOOKUP(INDIRECT(ADDRESS(2,COLUMN())),OFFSET($BN$2,0,0,ROW()-1,60),ROW()-1,FALSE))</f>
        <v>3402.5639999999999</v>
      </c>
      <c r="AN81">
        <f ca="1">IF(AND(ISNUMBER($AN$309),$B$183=1),$AN$309,HLOOKUP(INDIRECT(ADDRESS(2,COLUMN())),OFFSET($BN$2,0,0,ROW()-1,60),ROW()-1,FALSE))</f>
        <v>3508.0120000000002</v>
      </c>
      <c r="AO81">
        <f ca="1">IF(AND(ISNUMBER($AO$309),$B$183=1),$AO$309,HLOOKUP(INDIRECT(ADDRESS(2,COLUMN())),OFFSET($BN$2,0,0,ROW()-1,60),ROW()-1,FALSE))</f>
        <v>3894.2840000000001</v>
      </c>
      <c r="AP81">
        <f ca="1">IF(AND(ISNUMBER($AP$309),$B$183=1),$AP$309,HLOOKUP(INDIRECT(ADDRESS(2,COLUMN())),OFFSET($BN$2,0,0,ROW()-1,60),ROW()-1,FALSE))</f>
        <v>5169.7749999999996</v>
      </c>
      <c r="AQ81">
        <f ca="1">IF(AND(ISNUMBER($AQ$309),$B$183=1),$AQ$309,HLOOKUP(INDIRECT(ADDRESS(2,COLUMN())),OFFSET($BN$2,0,0,ROW()-1,60),ROW()-1,FALSE))</f>
        <v>5223.7030000000004</v>
      </c>
      <c r="AR81">
        <f ca="1">IF(AND(ISNUMBER($AR$309),$B$183=1),$AR$309,HLOOKUP(INDIRECT(ADDRESS(2,COLUMN())),OFFSET($BN$2,0,0,ROW()-1,60),ROW()-1,FALSE))</f>
        <v>5034.18</v>
      </c>
      <c r="AS81">
        <f ca="1">IF(AND(ISNUMBER($AS$309),$B$183=1),$AS$309,HLOOKUP(INDIRECT(ADDRESS(2,COLUMN())),OFFSET($BN$2,0,0,ROW()-1,60),ROW()-1,FALSE))</f>
        <v>6265.4719999999998</v>
      </c>
      <c r="AT81">
        <f ca="1">IF(AND(ISNUMBER($AT$309),$B$183=1),$AT$309,HLOOKUP(INDIRECT(ADDRESS(2,COLUMN())),OFFSET($BN$2,0,0,ROW()-1,60),ROW()-1,FALSE))</f>
        <v>4983.8145000000004</v>
      </c>
      <c r="AU81">
        <f ca="1">IF(AND(ISNUMBER($AU$309),$B$183=1),$AU$309,HLOOKUP(INDIRECT(ADDRESS(2,COLUMN())),OFFSET($BN$2,0,0,ROW()-1,60),ROW()-1,FALSE))</f>
        <v>4770.3549999999996</v>
      </c>
      <c r="AV81">
        <f ca="1">IF(AND(ISNUMBER($AV$309),$B$183=1),$AV$309,HLOOKUP(INDIRECT(ADDRESS(2,COLUMN())),OFFSET($BN$2,0,0,ROW()-1,60),ROW()-1,FALSE))</f>
        <v>5747.6165000000001</v>
      </c>
      <c r="AW81">
        <f ca="1">IF(AND(ISNUMBER($AW$309),$B$183=1),$AW$309,HLOOKUP(INDIRECT(ADDRESS(2,COLUMN())),OFFSET($BN$2,0,0,ROW()-1,60),ROW()-1,FALSE))</f>
        <v>5967.6180000000004</v>
      </c>
      <c r="AX81">
        <f ca="1">IF(AND(ISNUMBER($AX$309),$B$183=1),$AX$309,HLOOKUP(INDIRECT(ADDRESS(2,COLUMN())),OFFSET($BN$2,0,0,ROW()-1,60),ROW()-1,FALSE))</f>
        <v>5545.0020000000004</v>
      </c>
      <c r="AY81">
        <f ca="1">IF(AND(ISNUMBER($AY$309),$B$183=1),$AY$309,HLOOKUP(INDIRECT(ADDRESS(2,COLUMN())),OFFSET($BN$2,0,0,ROW()-1,60),ROW()-1,FALSE))</f>
        <v>5087.6310000000003</v>
      </c>
      <c r="AZ81">
        <f ca="1">IF(AND(ISNUMBER($AZ$309),$B$183=1),$AZ$309,HLOOKUP(INDIRECT(ADDRESS(2,COLUMN())),OFFSET($BN$2,0,0,ROW()-1,60),ROW()-1,FALSE))</f>
        <v>5140.2969999999996</v>
      </c>
      <c r="BA81">
        <f ca="1">IF(AND(ISNUMBER($BA$309),$B$183=1),$BA$309,HLOOKUP(INDIRECT(ADDRESS(2,COLUMN())),OFFSET($BN$2,0,0,ROW()-1,60),ROW()-1,FALSE))</f>
        <v>4865.6660000000002</v>
      </c>
      <c r="BB81">
        <f ca="1">IF(AND(ISNUMBER($BB$309),$B$183=1),$BB$309,HLOOKUP(INDIRECT(ADDRESS(2,COLUMN())),OFFSET($BN$2,0,0,ROW()-1,60),ROW()-1,FALSE))</f>
        <v>5537.4459999999999</v>
      </c>
      <c r="BC81">
        <f ca="1">IF(AND(ISNUMBER($BC$309),$B$183=1),$BC$309,HLOOKUP(INDIRECT(ADDRESS(2,COLUMN())),OFFSET($BN$2,0,0,ROW()-1,60),ROW()-1,FALSE))</f>
        <v>4643.049</v>
      </c>
      <c r="BD81">
        <f ca="1">IF(AND(ISNUMBER($BD$309),$B$183=1),$BD$309,HLOOKUP(INDIRECT(ADDRESS(2,COLUMN())),OFFSET($BN$2,0,0,ROW()-1,60),ROW()-1,FALSE))</f>
        <v>4341.3424999999997</v>
      </c>
      <c r="BE81">
        <f ca="1">IF(AND(ISNUMBER($BE$309),$B$183=1),$BE$309,HLOOKUP(INDIRECT(ADDRESS(2,COLUMN())),OFFSET($BN$2,0,0,ROW()-1,60),ROW()-1,FALSE))</f>
        <v>4133.4719999999998</v>
      </c>
      <c r="BF81">
        <f ca="1">IF(AND(ISNUMBER($BF$309),$B$183=1),$BF$309,HLOOKUP(INDIRECT(ADDRESS(2,COLUMN())),OFFSET($BN$2,0,0,ROW()-1,60),ROW()-1,FALSE))</f>
        <v>5131.1909999999998</v>
      </c>
      <c r="BG81">
        <f ca="1">IF(AND(ISNUMBER($BG$309),$B$183=1),$BG$309,HLOOKUP(INDIRECT(ADDRESS(2,COLUMN())),OFFSET($BN$2,0,0,ROW()-1,60),ROW()-1,FALSE))</f>
        <v>4012.1709999999998</v>
      </c>
      <c r="BH81">
        <f ca="1">IF(AND(ISNUMBER($BH$309),$B$183=1),$BH$309,HLOOKUP(INDIRECT(ADDRESS(2,COLUMN())),OFFSET($BN$2,0,0,ROW()-1,60),ROW()-1,FALSE))</f>
        <v>3956.2689999999998</v>
      </c>
      <c r="BI81">
        <f ca="1">IF(AND(ISNUMBER($BI$309),$B$183=1),$BI$309,HLOOKUP(INDIRECT(ADDRESS(2,COLUMN())),OFFSET($BN$2,0,0,ROW()-1,60),ROW()-1,FALSE))</f>
        <v>3835.6579999999999</v>
      </c>
      <c r="BJ81">
        <f ca="1">IF(AND(ISNUMBER($BJ$309),$B$183=1),$BJ$309,HLOOKUP(INDIRECT(ADDRESS(2,COLUMN())),OFFSET($BN$2,0,0,ROW()-1,60),ROW()-1,FALSE))</f>
        <v>4160.6440000000002</v>
      </c>
      <c r="BK81">
        <f ca="1">IF(AND(ISNUMBER($BK$309),$B$183=1),$BK$309,HLOOKUP(INDIRECT(ADDRESS(2,COLUMN())),OFFSET($BN$2,0,0,ROW()-1,60),ROW()-1,FALSE))</f>
        <v>3745.3879999999999</v>
      </c>
      <c r="BL81">
        <f ca="1">IF(AND(ISNUMBER($BL$309),$B$183=1),$BL$309,HLOOKUP(INDIRECT(ADDRESS(2,COLUMN())),OFFSET($BN$2,0,0,ROW()-1,60),ROW()-1,FALSE))</f>
        <v>3606.8049999999998</v>
      </c>
      <c r="BM81">
        <f ca="1">IF(AND(ISNUMBER($BM$309),$B$183=1),$BM$309,HLOOKUP(INDIRECT(ADDRESS(2,COLUMN())),OFFSET($BN$2,0,0,ROW()-1,60),ROW()-1,FALSE))</f>
        <v>3441.6889999999999</v>
      </c>
      <c r="BN81">
        <f>13691.41277</f>
        <v>13691.412770000001</v>
      </c>
      <c r="BO81">
        <f>13096.261</f>
        <v>13096.261</v>
      </c>
      <c r="BP81">
        <f>12815.992</f>
        <v>12815.992</v>
      </c>
      <c r="BQ81">
        <f>13345.62</f>
        <v>13345.62</v>
      </c>
      <c r="BR81">
        <f>13265.5625</f>
        <v>13265.5625</v>
      </c>
      <c r="BS81">
        <f>12322.884</f>
        <v>12322.884</v>
      </c>
      <c r="BT81">
        <f>12024.669</f>
        <v>12024.669</v>
      </c>
      <c r="BU81">
        <f>15633.339</f>
        <v>15633.339</v>
      </c>
      <c r="BV81">
        <f>11751.285</f>
        <v>11751.285</v>
      </c>
      <c r="BW81">
        <f>12508.636</f>
        <v>12508.636</v>
      </c>
      <c r="BX81">
        <f>10829.216</f>
        <v>10829.216</v>
      </c>
      <c r="BY81">
        <f>11535.916</f>
        <v>11535.915999999999</v>
      </c>
      <c r="BZ81">
        <f>11370.737</f>
        <v>11370.736999999999</v>
      </c>
      <c r="CA81">
        <f>9785.73</f>
        <v>9785.73</v>
      </c>
      <c r="CB81">
        <f>10531.458</f>
        <v>10531.458000000001</v>
      </c>
      <c r="CC81">
        <f>9680.5035</f>
        <v>9680.5035000000007</v>
      </c>
      <c r="CD81">
        <f>8980.172</f>
        <v>8980.1720000000005</v>
      </c>
      <c r="CE81">
        <f>8510.201</f>
        <v>8510.2009999999991</v>
      </c>
      <c r="CF81">
        <f>8563.682</f>
        <v>8563.6820000000007</v>
      </c>
      <c r="CG81">
        <f>7942.404</f>
        <v>7942.4040000000005</v>
      </c>
      <c r="CH81">
        <f>8732.719</f>
        <v>8732.7189999999991</v>
      </c>
      <c r="CI81">
        <f>6919.327</f>
        <v>6919.3270000000002</v>
      </c>
      <c r="CJ81">
        <f>6811.13</f>
        <v>6811.13</v>
      </c>
      <c r="CK81">
        <f>6538.573</f>
        <v>6538.5730000000003</v>
      </c>
      <c r="CL81">
        <f>6281.099</f>
        <v>6281.0990000000002</v>
      </c>
      <c r="CM81">
        <f>5827.111</f>
        <v>5827.1109999999999</v>
      </c>
      <c r="CN81">
        <f>5558.296</f>
        <v>5558.2960000000003</v>
      </c>
      <c r="CO81">
        <f>5232.25</f>
        <v>5232.25</v>
      </c>
      <c r="CP81">
        <f>4649.0445</f>
        <v>4649.0445</v>
      </c>
      <c r="CQ81">
        <f>4344.519</f>
        <v>4344.5190000000002</v>
      </c>
      <c r="CR81">
        <f>4240.465</f>
        <v>4240.4650000000001</v>
      </c>
      <c r="CS81">
        <f>4160.684</f>
        <v>4160.6840000000002</v>
      </c>
      <c r="CT81">
        <f>3580.699</f>
        <v>3580.6990000000001</v>
      </c>
      <c r="CU81">
        <f>3402.564</f>
        <v>3402.5639999999999</v>
      </c>
      <c r="CV81">
        <f>3508.012</f>
        <v>3508.0120000000002</v>
      </c>
      <c r="CW81">
        <f>3894.284</f>
        <v>3894.2840000000001</v>
      </c>
      <c r="CX81">
        <f>5169.775</f>
        <v>5169.7749999999996</v>
      </c>
      <c r="CY81">
        <f>5223.703</f>
        <v>5223.7030000000004</v>
      </c>
      <c r="CZ81">
        <f>5034.18</f>
        <v>5034.18</v>
      </c>
      <c r="DA81">
        <f>6265.472</f>
        <v>6265.4719999999998</v>
      </c>
      <c r="DB81">
        <f>4983.8145</f>
        <v>4983.8145000000004</v>
      </c>
      <c r="DC81">
        <f>4770.355</f>
        <v>4770.3549999999996</v>
      </c>
      <c r="DD81">
        <f>5747.6165</f>
        <v>5747.6165000000001</v>
      </c>
      <c r="DE81">
        <f>5967.618</f>
        <v>5967.6180000000004</v>
      </c>
      <c r="DF81">
        <f>5545.002</f>
        <v>5545.0020000000004</v>
      </c>
      <c r="DG81">
        <f>5087.631</f>
        <v>5087.6310000000003</v>
      </c>
      <c r="DH81">
        <f>5140.297</f>
        <v>5140.2969999999996</v>
      </c>
      <c r="DI81">
        <f>4865.666</f>
        <v>4865.6660000000002</v>
      </c>
      <c r="DJ81">
        <f>5537.446</f>
        <v>5537.4459999999999</v>
      </c>
      <c r="DK81">
        <f>4643.049</f>
        <v>4643.049</v>
      </c>
      <c r="DL81">
        <f>4341.3425</f>
        <v>4341.3424999999997</v>
      </c>
      <c r="DM81">
        <f>4133.472</f>
        <v>4133.4719999999998</v>
      </c>
      <c r="DN81">
        <f>5131.191</f>
        <v>5131.1909999999998</v>
      </c>
      <c r="DO81">
        <f>4012.171</f>
        <v>4012.1709999999998</v>
      </c>
      <c r="DP81">
        <f>3956.269</f>
        <v>3956.2689999999998</v>
      </c>
      <c r="DQ81">
        <f>3835.658</f>
        <v>3835.6579999999999</v>
      </c>
      <c r="DR81">
        <f>4160.644</f>
        <v>4160.6440000000002</v>
      </c>
      <c r="DS81">
        <f>3745.388</f>
        <v>3745.3879999999999</v>
      </c>
      <c r="DT81">
        <f>3606.805</f>
        <v>3606.8049999999998</v>
      </c>
      <c r="DU81">
        <f>3441.689</f>
        <v>3441.6889999999999</v>
      </c>
    </row>
    <row r="82" spans="1:125">
      <c r="A82" t="str">
        <f>"    "</f>
        <v xml:space="preserve">    </v>
      </c>
      <c r="B82" t="str">
        <f>""</f>
        <v/>
      </c>
      <c r="E82" t="str">
        <f>"静态"</f>
        <v>静态</v>
      </c>
      <c r="F82" t="str">
        <f t="shared" ref="F82:AK82" ca="1" si="19">HLOOKUP(INDIRECT(ADDRESS(2,COLUMN())),OFFSET($BN$2,0,0,ROW()-1,60),ROW()-1,FALSE)</f>
        <v/>
      </c>
      <c r="G82" t="str">
        <f t="shared" ca="1" si="19"/>
        <v/>
      </c>
      <c r="H82" t="str">
        <f t="shared" ca="1" si="19"/>
        <v/>
      </c>
      <c r="I82" t="str">
        <f t="shared" ca="1" si="19"/>
        <v/>
      </c>
      <c r="J82" t="str">
        <f t="shared" ca="1" si="19"/>
        <v/>
      </c>
      <c r="K82" t="str">
        <f t="shared" ca="1" si="19"/>
        <v/>
      </c>
      <c r="L82" t="str">
        <f t="shared" ca="1" si="19"/>
        <v/>
      </c>
      <c r="M82" t="str">
        <f t="shared" ca="1" si="19"/>
        <v/>
      </c>
      <c r="N82" t="str">
        <f t="shared" ca="1" si="19"/>
        <v/>
      </c>
      <c r="O82" t="str">
        <f t="shared" ca="1" si="19"/>
        <v/>
      </c>
      <c r="P82" t="str">
        <f t="shared" ca="1" si="19"/>
        <v/>
      </c>
      <c r="Q82" t="str">
        <f t="shared" ca="1" si="19"/>
        <v/>
      </c>
      <c r="R82" t="str">
        <f t="shared" ca="1" si="19"/>
        <v/>
      </c>
      <c r="S82" t="str">
        <f t="shared" ca="1" si="19"/>
        <v/>
      </c>
      <c r="T82" t="str">
        <f t="shared" ca="1" si="19"/>
        <v/>
      </c>
      <c r="U82" t="str">
        <f t="shared" ca="1" si="19"/>
        <v/>
      </c>
      <c r="V82" t="str">
        <f t="shared" ca="1" si="19"/>
        <v/>
      </c>
      <c r="W82" t="str">
        <f t="shared" ca="1" si="19"/>
        <v/>
      </c>
      <c r="X82" t="str">
        <f t="shared" ca="1" si="19"/>
        <v/>
      </c>
      <c r="Y82" t="str">
        <f t="shared" ca="1" si="19"/>
        <v/>
      </c>
      <c r="Z82" t="str">
        <f t="shared" ca="1" si="19"/>
        <v/>
      </c>
      <c r="AA82" t="str">
        <f t="shared" ca="1" si="19"/>
        <v/>
      </c>
      <c r="AB82" t="str">
        <f t="shared" ca="1" si="19"/>
        <v/>
      </c>
      <c r="AC82" t="str">
        <f t="shared" ca="1" si="19"/>
        <v/>
      </c>
      <c r="AD82" t="str">
        <f t="shared" ca="1" si="19"/>
        <v/>
      </c>
      <c r="AE82" t="str">
        <f t="shared" ca="1" si="19"/>
        <v/>
      </c>
      <c r="AF82" t="str">
        <f t="shared" ca="1" si="19"/>
        <v/>
      </c>
      <c r="AG82" t="str">
        <f t="shared" ca="1" si="19"/>
        <v/>
      </c>
      <c r="AH82" t="str">
        <f t="shared" ca="1" si="19"/>
        <v/>
      </c>
      <c r="AI82" t="str">
        <f t="shared" ca="1" si="19"/>
        <v/>
      </c>
      <c r="AJ82" t="str">
        <f t="shared" ca="1" si="19"/>
        <v/>
      </c>
      <c r="AK82" t="str">
        <f t="shared" ca="1" si="19"/>
        <v/>
      </c>
      <c r="AL82" t="str">
        <f t="shared" ref="AL82:BM82" ca="1" si="20">HLOOKUP(INDIRECT(ADDRESS(2,COLUMN())),OFFSET($BN$2,0,0,ROW()-1,60),ROW()-1,FALSE)</f>
        <v/>
      </c>
      <c r="AM82" t="str">
        <f t="shared" ca="1" si="20"/>
        <v/>
      </c>
      <c r="AN82" t="str">
        <f t="shared" ca="1" si="20"/>
        <v/>
      </c>
      <c r="AO82" t="str">
        <f t="shared" ca="1" si="20"/>
        <v/>
      </c>
      <c r="AP82" t="str">
        <f t="shared" ca="1" si="20"/>
        <v/>
      </c>
      <c r="AQ82" t="str">
        <f t="shared" ca="1" si="20"/>
        <v/>
      </c>
      <c r="AR82" t="str">
        <f t="shared" ca="1" si="20"/>
        <v/>
      </c>
      <c r="AS82" t="str">
        <f t="shared" ca="1" si="20"/>
        <v/>
      </c>
      <c r="AT82" t="str">
        <f t="shared" ca="1" si="20"/>
        <v/>
      </c>
      <c r="AU82" t="str">
        <f t="shared" ca="1" si="20"/>
        <v/>
      </c>
      <c r="AV82" t="str">
        <f t="shared" ca="1" si="20"/>
        <v/>
      </c>
      <c r="AW82" t="str">
        <f t="shared" ca="1" si="20"/>
        <v/>
      </c>
      <c r="AX82" t="str">
        <f t="shared" ca="1" si="20"/>
        <v/>
      </c>
      <c r="AY82" t="str">
        <f t="shared" ca="1" si="20"/>
        <v/>
      </c>
      <c r="AZ82" t="str">
        <f t="shared" ca="1" si="20"/>
        <v/>
      </c>
      <c r="BA82" t="str">
        <f t="shared" ca="1" si="20"/>
        <v/>
      </c>
      <c r="BB82" t="str">
        <f t="shared" ca="1" si="20"/>
        <v/>
      </c>
      <c r="BC82" t="str">
        <f t="shared" ca="1" si="20"/>
        <v/>
      </c>
      <c r="BD82" t="str">
        <f t="shared" ca="1" si="20"/>
        <v/>
      </c>
      <c r="BE82" t="str">
        <f t="shared" ca="1" si="20"/>
        <v/>
      </c>
      <c r="BF82" t="str">
        <f t="shared" ca="1" si="20"/>
        <v/>
      </c>
      <c r="BG82" t="str">
        <f t="shared" ca="1" si="20"/>
        <v/>
      </c>
      <c r="BH82" t="str">
        <f t="shared" ca="1" si="20"/>
        <v/>
      </c>
      <c r="BI82" t="str">
        <f t="shared" ca="1" si="20"/>
        <v/>
      </c>
      <c r="BJ82" t="str">
        <f t="shared" ca="1" si="20"/>
        <v/>
      </c>
      <c r="BK82" t="str">
        <f t="shared" ca="1" si="20"/>
        <v/>
      </c>
      <c r="BL82" t="str">
        <f t="shared" ca="1" si="20"/>
        <v/>
      </c>
      <c r="BM82" t="str">
        <f t="shared" ca="1" si="20"/>
        <v/>
      </c>
      <c r="BN82" t="str">
        <f>""</f>
        <v/>
      </c>
      <c r="BO82" t="str">
        <f>""</f>
        <v/>
      </c>
      <c r="BP82" t="str">
        <f>""</f>
        <v/>
      </c>
      <c r="BQ82" t="str">
        <f>""</f>
        <v/>
      </c>
      <c r="BR82" t="str">
        <f>""</f>
        <v/>
      </c>
      <c r="BS82" t="str">
        <f>""</f>
        <v/>
      </c>
      <c r="BT82" t="str">
        <f>""</f>
        <v/>
      </c>
      <c r="BU82" t="str">
        <f>""</f>
        <v/>
      </c>
      <c r="BV82" t="str">
        <f>""</f>
        <v/>
      </c>
      <c r="BW82" t="str">
        <f>""</f>
        <v/>
      </c>
      <c r="BX82" t="str">
        <f>""</f>
        <v/>
      </c>
      <c r="BY82" t="str">
        <f>""</f>
        <v/>
      </c>
      <c r="BZ82" t="str">
        <f>""</f>
        <v/>
      </c>
      <c r="CA82" t="str">
        <f>""</f>
        <v/>
      </c>
      <c r="CB82" t="str">
        <f>""</f>
        <v/>
      </c>
      <c r="CC82" t="str">
        <f>""</f>
        <v/>
      </c>
      <c r="CD82" t="str">
        <f>""</f>
        <v/>
      </c>
      <c r="CE82" t="str">
        <f>""</f>
        <v/>
      </c>
      <c r="CF82" t="str">
        <f>""</f>
        <v/>
      </c>
      <c r="CG82" t="str">
        <f>""</f>
        <v/>
      </c>
      <c r="CH82" t="str">
        <f>""</f>
        <v/>
      </c>
      <c r="CI82" t="str">
        <f>""</f>
        <v/>
      </c>
      <c r="CJ82" t="str">
        <f>""</f>
        <v/>
      </c>
      <c r="CK82" t="str">
        <f>""</f>
        <v/>
      </c>
      <c r="CL82" t="str">
        <f>""</f>
        <v/>
      </c>
      <c r="CM82" t="str">
        <f>""</f>
        <v/>
      </c>
      <c r="CN82" t="str">
        <f>""</f>
        <v/>
      </c>
      <c r="CO82" t="str">
        <f>""</f>
        <v/>
      </c>
      <c r="CP82" t="str">
        <f>""</f>
        <v/>
      </c>
      <c r="CQ82" t="str">
        <f>""</f>
        <v/>
      </c>
      <c r="CR82" t="str">
        <f>""</f>
        <v/>
      </c>
      <c r="CS82" t="str">
        <f>""</f>
        <v/>
      </c>
      <c r="CT82" t="str">
        <f>""</f>
        <v/>
      </c>
      <c r="CU82" t="str">
        <f>""</f>
        <v/>
      </c>
      <c r="CV82" t="str">
        <f>""</f>
        <v/>
      </c>
      <c r="CW82" t="str">
        <f>""</f>
        <v/>
      </c>
      <c r="CX82" t="str">
        <f>""</f>
        <v/>
      </c>
      <c r="CY82" t="str">
        <f>""</f>
        <v/>
      </c>
      <c r="CZ82" t="str">
        <f>""</f>
        <v/>
      </c>
      <c r="DA82" t="str">
        <f>""</f>
        <v/>
      </c>
      <c r="DB82" t="str">
        <f>""</f>
        <v/>
      </c>
      <c r="DC82" t="str">
        <f>""</f>
        <v/>
      </c>
      <c r="DD82" t="str">
        <f>""</f>
        <v/>
      </c>
      <c r="DE82" t="str">
        <f>""</f>
        <v/>
      </c>
      <c r="DF82" t="str">
        <f>""</f>
        <v/>
      </c>
      <c r="DG82" t="str">
        <f>""</f>
        <v/>
      </c>
      <c r="DH82" t="str">
        <f>""</f>
        <v/>
      </c>
      <c r="DI82" t="str">
        <f>""</f>
        <v/>
      </c>
      <c r="DJ82" t="str">
        <f>""</f>
        <v/>
      </c>
      <c r="DK82" t="str">
        <f>""</f>
        <v/>
      </c>
      <c r="DL82" t="str">
        <f>""</f>
        <v/>
      </c>
      <c r="DM82" t="str">
        <f>""</f>
        <v/>
      </c>
      <c r="DN82" t="str">
        <f>""</f>
        <v/>
      </c>
      <c r="DO82" t="str">
        <f>""</f>
        <v/>
      </c>
      <c r="DP82" t="str">
        <f>""</f>
        <v/>
      </c>
      <c r="DQ82" t="str">
        <f>""</f>
        <v/>
      </c>
      <c r="DR82" t="str">
        <f>""</f>
        <v/>
      </c>
      <c r="DS82" t="str">
        <f>""</f>
        <v/>
      </c>
      <c r="DT82" t="str">
        <f>""</f>
        <v/>
      </c>
      <c r="DU82" t="str">
        <f>""</f>
        <v/>
      </c>
    </row>
    <row r="83" spans="1:125">
      <c r="A83" t="str">
        <f>"总收购-所有房地产投资信托"</f>
        <v>总收购-所有房地产投资信托</v>
      </c>
      <c r="B83" t="str">
        <f>"RECFTAEQ Index"</f>
        <v>RECFTAEQ Index</v>
      </c>
      <c r="E83" t="str">
        <f t="shared" ref="E83:E100" si="21">"Expression"</f>
        <v>Expression</v>
      </c>
      <c r="F83">
        <f ca="1">IF(AND($B$183=1,LEN($F$185)&gt;0),$F$185*1000,HLOOKUP(INDIRECT(ADDRESS(2,COLUMN())),OFFSET($BN$2,0,0,ROW()-1,60),ROW()-1,FALSE))</f>
        <v>11170.272000000001</v>
      </c>
      <c r="G83">
        <f ca="1">IF(AND($B$183=1,LEN($G$185)&gt;0),$G$185*1000,HLOOKUP(INDIRECT(ADDRESS(2,COLUMN())),OFFSET($BN$2,0,0,ROW()-1,60),ROW()-1,FALSE))</f>
        <v>12353.967000000001</v>
      </c>
      <c r="H83">
        <f ca="1">IF(AND($B$183=1,LEN($H$185)&gt;0),$H$185*1000,HLOOKUP(INDIRECT(ADDRESS(2,COLUMN())),OFFSET($BN$2,0,0,ROW()-1,60),ROW()-1,FALSE))</f>
        <v>20178.47</v>
      </c>
      <c r="I83">
        <f ca="1">IF(AND($B$183=1,LEN($I$185)&gt;0),$I$185*1000,HLOOKUP(INDIRECT(ADDRESS(2,COLUMN())),OFFSET($BN$2,0,0,ROW()-1,60),ROW()-1,FALSE))</f>
        <v>9786.2950000000001</v>
      </c>
      <c r="J83">
        <f ca="1">IF(AND($B$183=1,LEN($J$185)&gt;0),$J$185*1000,HLOOKUP(INDIRECT(ADDRESS(2,COLUMN())),OFFSET($BN$2,0,0,ROW()-1,60),ROW()-1,FALSE))</f>
        <v>17934.924999999999</v>
      </c>
      <c r="K83">
        <f ca="1">IF(AND($B$183=1,LEN($K$185)&gt;0),$K$185*1000,HLOOKUP(INDIRECT(ADDRESS(2,COLUMN())),OFFSET($BN$2,0,0,ROW()-1,60),ROW()-1,FALSE))</f>
        <v>16110.17</v>
      </c>
      <c r="L83">
        <f ca="1">IF(AND($B$183=1,LEN($L$185)&gt;0),$L$185*1000,HLOOKUP(INDIRECT(ADDRESS(2,COLUMN())),OFFSET($BN$2,0,0,ROW()-1,60),ROW()-1,FALSE))</f>
        <v>19380.153999999999</v>
      </c>
      <c r="M83">
        <f ca="1">IF(AND($B$183=1,LEN($M$185)&gt;0),$M$185*1000,HLOOKUP(INDIRECT(ADDRESS(2,COLUMN())),OFFSET($BN$2,0,0,ROW()-1,60),ROW()-1,FALSE))</f>
        <v>19647.813999999998</v>
      </c>
      <c r="N83">
        <f ca="1">IF(AND($B$183=1,LEN($N$185)&gt;0),$N$185*1000,HLOOKUP(INDIRECT(ADDRESS(2,COLUMN())),OFFSET($BN$2,0,0,ROW()-1,60),ROW()-1,FALSE))</f>
        <v>16287.177</v>
      </c>
      <c r="O83">
        <f ca="1">IF(AND($B$183=1,LEN($O$185)&gt;0),$O$185*1000,HLOOKUP(INDIRECT(ADDRESS(2,COLUMN())),OFFSET($BN$2,0,0,ROW()-1,60),ROW()-1,FALSE))</f>
        <v>20708.252</v>
      </c>
      <c r="P83">
        <f ca="1">IF(AND($B$183=1,LEN($P$185)&gt;0),$P$185*1000,HLOOKUP(INDIRECT(ADDRESS(2,COLUMN())),OFFSET($BN$2,0,0,ROW()-1,60),ROW()-1,FALSE))</f>
        <v>33386.444000000003</v>
      </c>
      <c r="Q83">
        <f ca="1">IF(AND($B$183=1,LEN($Q$185)&gt;0),$Q$185*1000,HLOOKUP(INDIRECT(ADDRESS(2,COLUMN())),OFFSET($BN$2,0,0,ROW()-1,60),ROW()-1,FALSE))</f>
        <v>26506.894</v>
      </c>
      <c r="R83">
        <f ca="1">IF(AND($B$183=1,LEN($R$185)&gt;0),$R$185*1000,HLOOKUP(INDIRECT(ADDRESS(2,COLUMN())),OFFSET($BN$2,0,0,ROW()-1,60),ROW()-1,FALSE))</f>
        <v>27784.914000000001</v>
      </c>
      <c r="S83">
        <f ca="1">IF(AND($B$183=1,LEN($S$185)&gt;0),$S$185*1000,HLOOKUP(INDIRECT(ADDRESS(2,COLUMN())),OFFSET($BN$2,0,0,ROW()-1,60),ROW()-1,FALSE))</f>
        <v>19673.705000000002</v>
      </c>
      <c r="T83">
        <f ca="1">IF(AND($B$183=1,LEN($T$185)&gt;0),$T$185*1000,HLOOKUP(INDIRECT(ADDRESS(2,COLUMN())),OFFSET($BN$2,0,0,ROW()-1,60),ROW()-1,FALSE))</f>
        <v>20483.649000000001</v>
      </c>
      <c r="U83">
        <f ca="1">IF(AND($B$183=1,LEN($U$185)&gt;0),$U$185*1000,HLOOKUP(INDIRECT(ADDRESS(2,COLUMN())),OFFSET($BN$2,0,0,ROW()-1,60),ROW()-1,FALSE))</f>
        <v>22886.835999999999</v>
      </c>
      <c r="V83">
        <f ca="1">IF(AND($B$183=1,LEN($V$185)&gt;0),$V$185*1000,HLOOKUP(INDIRECT(ADDRESS(2,COLUMN())),OFFSET($BN$2,0,0,ROW()-1,60),ROW()-1,FALSE))</f>
        <v>21096.57</v>
      </c>
      <c r="W83">
        <f ca="1">IF(AND($B$183=1,LEN($W$185)&gt;0),$W$185*1000,HLOOKUP(INDIRECT(ADDRESS(2,COLUMN())),OFFSET($BN$2,0,0,ROW()-1,60),ROW()-1,FALSE))</f>
        <v>21375.949000000001</v>
      </c>
      <c r="X83">
        <f ca="1">IF(AND($B$183=1,LEN($X$185)&gt;0),$X$185*1000,HLOOKUP(INDIRECT(ADDRESS(2,COLUMN())),OFFSET($BN$2,0,0,ROW()-1,60),ROW()-1,FALSE))</f>
        <v>11227.119000000001</v>
      </c>
      <c r="Y83">
        <f ca="1">IF(AND($B$183=1,LEN($Y$185)&gt;0),$Y$185*1000,HLOOKUP(INDIRECT(ADDRESS(2,COLUMN())),OFFSET($BN$2,0,0,ROW()-1,60),ROW()-1,FALSE))</f>
        <v>28832.038</v>
      </c>
      <c r="Z83">
        <f ca="1">IF(AND($B$183=1,LEN($Z$185)&gt;0),$Z$185*1000,HLOOKUP(INDIRECT(ADDRESS(2,COLUMN())),OFFSET($BN$2,0,0,ROW()-1,60),ROW()-1,FALSE))</f>
        <v>19435.814999999999</v>
      </c>
      <c r="AA83">
        <f ca="1">IF(AND($B$183=1,LEN($AA$185)&gt;0),$AA$185*1000,HLOOKUP(INDIRECT(ADDRESS(2,COLUMN())),OFFSET($BN$2,0,0,ROW()-1,60),ROW()-1,FALSE))</f>
        <v>13934.698</v>
      </c>
      <c r="AB83">
        <f ca="1">IF(AND($B$183=1,LEN($AB$185)&gt;0),$AB$185*1000,HLOOKUP(INDIRECT(ADDRESS(2,COLUMN())),OFFSET($BN$2,0,0,ROW()-1,60),ROW()-1,FALSE))</f>
        <v>10207.397000000001</v>
      </c>
      <c r="AC83">
        <f ca="1">IF(AND($B$183=1,LEN($AC$185)&gt;0),$AC$185*1000,HLOOKUP(INDIRECT(ADDRESS(2,COLUMN())),OFFSET($BN$2,0,0,ROW()-1,60),ROW()-1,FALSE))</f>
        <v>11781.742</v>
      </c>
      <c r="AD83">
        <f ca="1">IF(AND($B$183=1,LEN($AD$185)&gt;0),$AD$185*1000,HLOOKUP(INDIRECT(ADDRESS(2,COLUMN())),OFFSET($BN$2,0,0,ROW()-1,60),ROW()-1,FALSE))</f>
        <v>19241.847000000002</v>
      </c>
      <c r="AE83">
        <f ca="1">IF(AND($B$183=1,LEN($AE$185)&gt;0),$AE$185*1000,HLOOKUP(INDIRECT(ADDRESS(2,COLUMN())),OFFSET($BN$2,0,0,ROW()-1,60),ROW()-1,FALSE))</f>
        <v>18534.689999999999</v>
      </c>
      <c r="AF83">
        <f ca="1">IF(AND($B$183=1,LEN($AF$185)&gt;0),$AF$185*1000,HLOOKUP(INDIRECT(ADDRESS(2,COLUMN())),OFFSET($BN$2,0,0,ROW()-1,60),ROW()-1,FALSE))</f>
        <v>35550.381999999998</v>
      </c>
      <c r="AG83">
        <f ca="1">IF(AND($B$183=1,LEN($AG$185)&gt;0),$AG$185*1000,HLOOKUP(INDIRECT(ADDRESS(2,COLUMN())),OFFSET($BN$2,0,0,ROW()-1,60),ROW()-1,FALSE))</f>
        <v>10220.182000000001</v>
      </c>
      <c r="AH83">
        <f ca="1">IF(AND($B$183=1,LEN($AH$185)&gt;0),$AH$185*1000,HLOOKUP(INDIRECT(ADDRESS(2,COLUMN())),OFFSET($BN$2,0,0,ROW()-1,60),ROW()-1,FALSE))</f>
        <v>12031.567999999999</v>
      </c>
      <c r="AI83">
        <f ca="1">IF(AND($B$183=1,LEN($AI$185)&gt;0),$AI$185*1000,HLOOKUP(INDIRECT(ADDRESS(2,COLUMN())),OFFSET($BN$2,0,0,ROW()-1,60),ROW()-1,FALSE))</f>
        <v>11473.981</v>
      </c>
      <c r="AJ83">
        <f ca="1">IF(AND($B$183=1,LEN($AJ$185)&gt;0),$AJ$185*1000,HLOOKUP(INDIRECT(ADDRESS(2,COLUMN())),OFFSET($BN$2,0,0,ROW()-1,60),ROW()-1,FALSE))</f>
        <v>4894.4520000000002</v>
      </c>
      <c r="AK83">
        <f ca="1">IF(AND($B$183=1,LEN($AK$185)&gt;0),$AK$185*1000,HLOOKUP(INDIRECT(ADDRESS(2,COLUMN())),OFFSET($BN$2,0,0,ROW()-1,60),ROW()-1,FALSE))</f>
        <v>3674.6419999999998</v>
      </c>
      <c r="AL83">
        <f ca="1">IF(AND($B$183=1,LEN($AL$185)&gt;0),$AL$185*1000,HLOOKUP(INDIRECT(ADDRESS(2,COLUMN())),OFFSET($BN$2,0,0,ROW()-1,60),ROW()-1,FALSE))</f>
        <v>2231.3470000000002</v>
      </c>
      <c r="AM83">
        <f ca="1">IF(AND($B$183=1,LEN($AM$185)&gt;0),$AM$185*1000,HLOOKUP(INDIRECT(ADDRESS(2,COLUMN())),OFFSET($BN$2,0,0,ROW()-1,60),ROW()-1,FALSE))</f>
        <v>876.23500000000001</v>
      </c>
      <c r="AN83">
        <f ca="1">IF(AND($B$183=1,LEN($AN$185)&gt;0),$AN$185*1000,HLOOKUP(INDIRECT(ADDRESS(2,COLUMN())),OFFSET($BN$2,0,0,ROW()-1,60),ROW()-1,FALSE))</f>
        <v>480.91</v>
      </c>
      <c r="AO83">
        <f ca="1">IF(AND($B$183=1,LEN($AO$185)&gt;0),$AO$185*1000,HLOOKUP(INDIRECT(ADDRESS(2,COLUMN())),OFFSET($BN$2,0,0,ROW()-1,60),ROW()-1,FALSE))</f>
        <v>268.97800000000001</v>
      </c>
      <c r="AP83">
        <f ca="1">IF(AND($B$183=1,LEN($AP$185)&gt;0),$AP$185*1000,HLOOKUP(INDIRECT(ADDRESS(2,COLUMN())),OFFSET($BN$2,0,0,ROW()-1,60),ROW()-1,FALSE))</f>
        <v>1237.1659999999999</v>
      </c>
      <c r="AQ83">
        <f ca="1">IF(AND($B$183=1,LEN($AQ$185)&gt;0),$AQ$185*1000,HLOOKUP(INDIRECT(ADDRESS(2,COLUMN())),OFFSET($BN$2,0,0,ROW()-1,60),ROW()-1,FALSE))</f>
        <v>3775.4749999999999</v>
      </c>
      <c r="AR83">
        <f ca="1">IF(AND($B$183=1,LEN($AR$185)&gt;0),$AR$185*1000,HLOOKUP(INDIRECT(ADDRESS(2,COLUMN())),OFFSET($BN$2,0,0,ROW()-1,60),ROW()-1,FALSE))</f>
        <v>5886.7529999999997</v>
      </c>
      <c r="AS83">
        <f ca="1">IF(AND($B$183=1,LEN($AS$185)&gt;0),$AS$185*1000,HLOOKUP(INDIRECT(ADDRESS(2,COLUMN())),OFFSET($BN$2,0,0,ROW()-1,60),ROW()-1,FALSE))</f>
        <v>4346.99</v>
      </c>
      <c r="AT83">
        <f ca="1">IF(AND($B$183=1,LEN($AT$185)&gt;0),$AT$185*1000,HLOOKUP(INDIRECT(ADDRESS(2,COLUMN())),OFFSET($BN$2,0,0,ROW()-1,60),ROW()-1,FALSE))</f>
        <v>6359.232</v>
      </c>
      <c r="AU83">
        <f ca="1">IF(AND($B$183=1,LEN($AU$185)&gt;0),$AU$185*1000,HLOOKUP(INDIRECT(ADDRESS(2,COLUMN())),OFFSET($BN$2,0,0,ROW()-1,60),ROW()-1,FALSE))</f>
        <v>8828.4920000000002</v>
      </c>
      <c r="AV83">
        <f ca="1">IF(AND($B$183=1,LEN($AV$185)&gt;0),$AV$185*1000,HLOOKUP(INDIRECT(ADDRESS(2,COLUMN())),OFFSET($BN$2,0,0,ROW()-1,60),ROW()-1,FALSE))</f>
        <v>17720.069</v>
      </c>
      <c r="AW83">
        <f ca="1">IF(AND($B$183=1,LEN($AW$185)&gt;0),$AW$185*1000,HLOOKUP(INDIRECT(ADDRESS(2,COLUMN())),OFFSET($BN$2,0,0,ROW()-1,60),ROW()-1,FALSE))</f>
        <v>23318.384999999998</v>
      </c>
      <c r="AX83">
        <f ca="1">IF(AND($B$183=1,LEN($AX$185)&gt;0),$AX$185*1000,HLOOKUP(INDIRECT(ADDRESS(2,COLUMN())),OFFSET($BN$2,0,0,ROW()-1,60),ROW()-1,FALSE))</f>
        <v>20400.796999999999</v>
      </c>
      <c r="AY83">
        <f ca="1">IF(AND($B$183=1,LEN($AY$185)&gt;0),$AY$185*1000,HLOOKUP(INDIRECT(ADDRESS(2,COLUMN())),OFFSET($BN$2,0,0,ROW()-1,60),ROW()-1,FALSE))</f>
        <v>10113.853999999999</v>
      </c>
      <c r="AZ83">
        <f ca="1">IF(AND($B$183=1,LEN($AZ$185)&gt;0),$AZ$185*1000,HLOOKUP(INDIRECT(ADDRESS(2,COLUMN())),OFFSET($BN$2,0,0,ROW()-1,60),ROW()-1,FALSE))</f>
        <v>13677.34</v>
      </c>
      <c r="BA83">
        <f ca="1">IF(AND($B$183=1,LEN($BA$185)&gt;0),$BA$185*1000,HLOOKUP(INDIRECT(ADDRESS(2,COLUMN())),OFFSET($BN$2,0,0,ROW()-1,60),ROW()-1,FALSE))</f>
        <v>12799.601000000001</v>
      </c>
      <c r="BB83">
        <f ca="1">IF(AND($B$183=1,LEN($BB$185)&gt;0),$BB$185*1000,HLOOKUP(INDIRECT(ADDRESS(2,COLUMN())),OFFSET($BN$2,0,0,ROW()-1,60),ROW()-1,FALSE))</f>
        <v>11464.396000000001</v>
      </c>
      <c r="BC83">
        <f ca="1">IF(AND($B$183=1,LEN($BC$185)&gt;0),$BC$185*1000,HLOOKUP(INDIRECT(ADDRESS(2,COLUMN())),OFFSET($BN$2,0,0,ROW()-1,60),ROW()-1,FALSE))</f>
        <v>15142.471</v>
      </c>
      <c r="BD83">
        <f ca="1">IF(AND($B$183=1,LEN($BD$185)&gt;0),$BD$185*1000,HLOOKUP(INDIRECT(ADDRESS(2,COLUMN())),OFFSET($BN$2,0,0,ROW()-1,60),ROW()-1,FALSE))</f>
        <v>17777.991000000002</v>
      </c>
      <c r="BE83">
        <f ca="1">IF(AND($B$183=1,LEN($BE$185)&gt;0),$BE$185*1000,HLOOKUP(INDIRECT(ADDRESS(2,COLUMN())),OFFSET($BN$2,0,0,ROW()-1,60),ROW()-1,FALSE))</f>
        <v>11727.174999999999</v>
      </c>
      <c r="BF83">
        <f ca="1">IF(AND($B$183=1,LEN($BF$185)&gt;0),$BF$185*1000,HLOOKUP(INDIRECT(ADDRESS(2,COLUMN())),OFFSET($BN$2,0,0,ROW()-1,60),ROW()-1,FALSE))</f>
        <v>24310.256000000001</v>
      </c>
      <c r="BG83">
        <f ca="1">IF(AND($B$183=1,LEN($BG$185)&gt;0),$BG$185*1000,HLOOKUP(INDIRECT(ADDRESS(2,COLUMN())),OFFSET($BN$2,0,0,ROW()-1,60),ROW()-1,FALSE))</f>
        <v>12493.241</v>
      </c>
      <c r="BH83">
        <f ca="1">IF(AND($B$183=1,LEN($BH$185)&gt;0),$BH$185*1000,HLOOKUP(INDIRECT(ADDRESS(2,COLUMN())),OFFSET($BN$2,0,0,ROW()-1,60),ROW()-1,FALSE))</f>
        <v>10007.315000000001</v>
      </c>
      <c r="BI83">
        <f ca="1">IF(AND($B$183=1,LEN($BI$185)&gt;0),$BI$185*1000,HLOOKUP(INDIRECT(ADDRESS(2,COLUMN())),OFFSET($BN$2,0,0,ROW()-1,60),ROW()-1,FALSE))</f>
        <v>7521.7529999999997</v>
      </c>
      <c r="BJ83">
        <f ca="1">IF(AND($B$183=1,LEN($BJ$185)&gt;0),$BJ$185*1000,HLOOKUP(INDIRECT(ADDRESS(2,COLUMN())),OFFSET($BN$2,0,0,ROW()-1,60),ROW()-1,FALSE))</f>
        <v>3607.3939999999998</v>
      </c>
      <c r="BK83">
        <f ca="1">IF(AND($B$183=1,LEN($BK$185)&gt;0),$BK$185*1000,HLOOKUP(INDIRECT(ADDRESS(2,COLUMN())),OFFSET($BN$2,0,0,ROW()-1,60),ROW()-1,FALSE))</f>
        <v>311.30099999999999</v>
      </c>
      <c r="BL83">
        <f ca="1">IF(AND($B$183=1,LEN($BL$185)&gt;0),$BL$185*1000,HLOOKUP(INDIRECT(ADDRESS(2,COLUMN())),OFFSET($BN$2,0,0,ROW()-1,60),ROW()-1,FALSE))</f>
        <v>518.47299999999996</v>
      </c>
      <c r="BM83">
        <f ca="1">IF(AND($B$183=1,LEN($BM$185)&gt;0),$BM$185*1000,HLOOKUP(INDIRECT(ADDRESS(2,COLUMN())),OFFSET($BN$2,0,0,ROW()-1,60),ROW()-1,FALSE))</f>
        <v>1771.4</v>
      </c>
      <c r="BN83">
        <f>11170.272</f>
        <v>11170.272000000001</v>
      </c>
      <c r="BO83">
        <f>12353.967</f>
        <v>12353.967000000001</v>
      </c>
      <c r="BP83">
        <f>20178.47</f>
        <v>20178.47</v>
      </c>
      <c r="BQ83">
        <f>9786.295</f>
        <v>9786.2950000000001</v>
      </c>
      <c r="BR83">
        <f>17934.925</f>
        <v>17934.924999999999</v>
      </c>
      <c r="BS83">
        <f>16110.17</f>
        <v>16110.17</v>
      </c>
      <c r="BT83">
        <f>19380.154</f>
        <v>19380.153999999999</v>
      </c>
      <c r="BU83">
        <f>19647.814</f>
        <v>19647.813999999998</v>
      </c>
      <c r="BV83">
        <f>16287.177</f>
        <v>16287.177</v>
      </c>
      <c r="BW83">
        <f>20708.252</f>
        <v>20708.252</v>
      </c>
      <c r="BX83">
        <f>33386.444</f>
        <v>33386.444000000003</v>
      </c>
      <c r="BY83">
        <f>26506.894</f>
        <v>26506.894</v>
      </c>
      <c r="BZ83">
        <f>27784.914</f>
        <v>27784.914000000001</v>
      </c>
      <c r="CA83">
        <f>19673.705</f>
        <v>19673.705000000002</v>
      </c>
      <c r="CB83">
        <f>20483.649</f>
        <v>20483.649000000001</v>
      </c>
      <c r="CC83">
        <f>22886.836</f>
        <v>22886.835999999999</v>
      </c>
      <c r="CD83">
        <f>21096.57</f>
        <v>21096.57</v>
      </c>
      <c r="CE83">
        <f>21375.949</f>
        <v>21375.949000000001</v>
      </c>
      <c r="CF83">
        <f>11227.119</f>
        <v>11227.119000000001</v>
      </c>
      <c r="CG83">
        <f>28832.038</f>
        <v>28832.038</v>
      </c>
      <c r="CH83">
        <f>19435.815</f>
        <v>19435.814999999999</v>
      </c>
      <c r="CI83">
        <f>13934.698</f>
        <v>13934.698</v>
      </c>
      <c r="CJ83">
        <f>10207.397</f>
        <v>10207.397000000001</v>
      </c>
      <c r="CK83">
        <f>11781.742</f>
        <v>11781.742</v>
      </c>
      <c r="CL83">
        <f>19241.847</f>
        <v>19241.847000000002</v>
      </c>
      <c r="CM83">
        <f>18534.69</f>
        <v>18534.689999999999</v>
      </c>
      <c r="CN83">
        <f>35550.382</f>
        <v>35550.381999999998</v>
      </c>
      <c r="CO83">
        <f>10220.182</f>
        <v>10220.182000000001</v>
      </c>
      <c r="CP83">
        <f>12031.568</f>
        <v>12031.567999999999</v>
      </c>
      <c r="CQ83">
        <f>11473.981</f>
        <v>11473.981</v>
      </c>
      <c r="CR83">
        <f>4894.452</f>
        <v>4894.4520000000002</v>
      </c>
      <c r="CS83">
        <f>3674.642</f>
        <v>3674.6419999999998</v>
      </c>
      <c r="CT83">
        <f>2231.347</f>
        <v>2231.3470000000002</v>
      </c>
      <c r="CU83">
        <f>876.235</f>
        <v>876.23500000000001</v>
      </c>
      <c r="CV83">
        <f>480.91</f>
        <v>480.91</v>
      </c>
      <c r="CW83">
        <f>268.978</f>
        <v>268.97800000000001</v>
      </c>
      <c r="CX83">
        <f>1237.166</f>
        <v>1237.1659999999999</v>
      </c>
      <c r="CY83">
        <f>3775.475</f>
        <v>3775.4749999999999</v>
      </c>
      <c r="CZ83">
        <f>5886.753</f>
        <v>5886.7529999999997</v>
      </c>
      <c r="DA83">
        <f>4346.99</f>
        <v>4346.99</v>
      </c>
      <c r="DB83">
        <f>6359.232</f>
        <v>6359.232</v>
      </c>
      <c r="DC83">
        <f>8828.492</f>
        <v>8828.4920000000002</v>
      </c>
      <c r="DD83">
        <f>17720.069</f>
        <v>17720.069</v>
      </c>
      <c r="DE83">
        <f>23318.385</f>
        <v>23318.384999999998</v>
      </c>
      <c r="DF83">
        <f>20400.797</f>
        <v>20400.796999999999</v>
      </c>
      <c r="DG83">
        <f>10113.854</f>
        <v>10113.853999999999</v>
      </c>
      <c r="DH83">
        <f>13677.34</f>
        <v>13677.34</v>
      </c>
      <c r="DI83">
        <f>12799.601</f>
        <v>12799.601000000001</v>
      </c>
      <c r="DJ83">
        <f>11464.396</f>
        <v>11464.396000000001</v>
      </c>
      <c r="DK83">
        <f>15142.471</f>
        <v>15142.471</v>
      </c>
      <c r="DL83">
        <f>17777.991</f>
        <v>17777.991000000002</v>
      </c>
      <c r="DM83">
        <f>11727.175</f>
        <v>11727.174999999999</v>
      </c>
      <c r="DN83">
        <f>24310.256</f>
        <v>24310.256000000001</v>
      </c>
      <c r="DO83">
        <f>12493.241</f>
        <v>12493.241</v>
      </c>
      <c r="DP83">
        <f>10007.315</f>
        <v>10007.315000000001</v>
      </c>
      <c r="DQ83">
        <f>7521.753</f>
        <v>7521.7529999999997</v>
      </c>
      <c r="DR83">
        <f>3607.394</f>
        <v>3607.3939999999998</v>
      </c>
      <c r="DS83">
        <f>311.301</f>
        <v>311.30099999999999</v>
      </c>
      <c r="DT83">
        <f>518.473</f>
        <v>518.47299999999996</v>
      </c>
      <c r="DU83">
        <f>1771.4</f>
        <v>1771.4</v>
      </c>
    </row>
    <row r="84" spans="1:125">
      <c r="A84" t="str">
        <f>"    Office REITs"</f>
        <v xml:space="preserve">    Office REITs</v>
      </c>
      <c r="B84" t="str">
        <f>"RECFTAOF Index"</f>
        <v>RECFTAOF Index</v>
      </c>
      <c r="E84" t="str">
        <f t="shared" si="21"/>
        <v>Expression</v>
      </c>
      <c r="F84">
        <f ca="1">IF(AND($B$183=1,LEN($F$186)&gt;0),$F$186*1000,HLOOKUP(INDIRECT(ADDRESS(2,COLUMN())),OFFSET($BN$2,0,0,ROW()-1,60),ROW()-1,FALSE))</f>
        <v>2918.5450000000001</v>
      </c>
      <c r="G84">
        <f ca="1">IF(AND($B$183=1,LEN($G$186)&gt;0),$G$186*1000,HLOOKUP(INDIRECT(ADDRESS(2,COLUMN())),OFFSET($BN$2,0,0,ROW()-1,60),ROW()-1,FALSE))</f>
        <v>842.91200000000003</v>
      </c>
      <c r="H84">
        <f ca="1">IF(AND($B$183=1,LEN($H$186)&gt;0),$H$186*1000,HLOOKUP(INDIRECT(ADDRESS(2,COLUMN())),OFFSET($BN$2,0,0,ROW()-1,60),ROW()-1,FALSE))</f>
        <v>1459.193</v>
      </c>
      <c r="I84">
        <f ca="1">IF(AND($B$183=1,LEN($I$186)&gt;0),$I$186*1000,HLOOKUP(INDIRECT(ADDRESS(2,COLUMN())),OFFSET($BN$2,0,0,ROW()-1,60),ROW()-1,FALSE))</f>
        <v>1211.7809999999999</v>
      </c>
      <c r="J84">
        <f ca="1">IF(AND($B$183=1,LEN($J$186)&gt;0),$J$186*1000,HLOOKUP(INDIRECT(ADDRESS(2,COLUMN())),OFFSET($BN$2,0,0,ROW()-1,60),ROW()-1,FALSE))</f>
        <v>5052.027</v>
      </c>
      <c r="K84">
        <f ca="1">IF(AND($B$183=1,LEN($K$186)&gt;0),$K$186*1000,HLOOKUP(INDIRECT(ADDRESS(2,COLUMN())),OFFSET($BN$2,0,0,ROW()-1,60),ROW()-1,FALSE))</f>
        <v>2289.7739999999999</v>
      </c>
      <c r="L84">
        <f ca="1">IF(AND($B$183=1,LEN($L$186)&gt;0),$L$186*1000,HLOOKUP(INDIRECT(ADDRESS(2,COLUMN())),OFFSET($BN$2,0,0,ROW()-1,60),ROW()-1,FALSE))</f>
        <v>1889.355</v>
      </c>
      <c r="M84">
        <f ca="1">IF(AND($B$183=1,LEN($M$186)&gt;0),$M$186*1000,HLOOKUP(INDIRECT(ADDRESS(2,COLUMN())),OFFSET($BN$2,0,0,ROW()-1,60),ROW()-1,FALSE))</f>
        <v>1644.2449999999999</v>
      </c>
      <c r="N84">
        <f ca="1">IF(AND($B$183=1,LEN($N$186)&gt;0),$N$186*1000,HLOOKUP(INDIRECT(ADDRESS(2,COLUMN())),OFFSET($BN$2,0,0,ROW()-1,60),ROW()-1,FALSE))</f>
        <v>4085.1080000000002</v>
      </c>
      <c r="O84">
        <f ca="1">IF(AND($B$183=1,LEN($O$186)&gt;0),$O$186*1000,HLOOKUP(INDIRECT(ADDRESS(2,COLUMN())),OFFSET($BN$2,0,0,ROW()-1,60),ROW()-1,FALSE))</f>
        <v>4647.0990000000002</v>
      </c>
      <c r="P84">
        <f ca="1">IF(AND($B$183=1,LEN($P$186)&gt;0),$P$186*1000,HLOOKUP(INDIRECT(ADDRESS(2,COLUMN())),OFFSET($BN$2,0,0,ROW()-1,60),ROW()-1,FALSE))</f>
        <v>4819.5460000000003</v>
      </c>
      <c r="Q84">
        <f ca="1">IF(AND($B$183=1,LEN($Q$186)&gt;0),$Q$186*1000,HLOOKUP(INDIRECT(ADDRESS(2,COLUMN())),OFFSET($BN$2,0,0,ROW()-1,60),ROW()-1,FALSE))</f>
        <v>2023.002</v>
      </c>
      <c r="R84">
        <f ca="1">IF(AND($B$183=1,LEN($R$186)&gt;0),$R$186*1000,HLOOKUP(INDIRECT(ADDRESS(2,COLUMN())),OFFSET($BN$2,0,0,ROW()-1,60),ROW()-1,FALSE))</f>
        <v>2880.2020000000002</v>
      </c>
      <c r="S84">
        <f ca="1">IF(AND($B$183=1,LEN($S$186)&gt;0),$S$186*1000,HLOOKUP(INDIRECT(ADDRESS(2,COLUMN())),OFFSET($BN$2,0,0,ROW()-1,60),ROW()-1,FALSE))</f>
        <v>2523.4279999999999</v>
      </c>
      <c r="T84">
        <f ca="1">IF(AND($B$183=1,LEN($T$186)&gt;0),$T$186*1000,HLOOKUP(INDIRECT(ADDRESS(2,COLUMN())),OFFSET($BN$2,0,0,ROW()-1,60),ROW()-1,FALSE))</f>
        <v>2725.13</v>
      </c>
      <c r="U84">
        <f ca="1">IF(AND($B$183=1,LEN($U$186)&gt;0),$U$186*1000,HLOOKUP(INDIRECT(ADDRESS(2,COLUMN())),OFFSET($BN$2,0,0,ROW()-1,60),ROW()-1,FALSE))</f>
        <v>359.589</v>
      </c>
      <c r="V84">
        <f ca="1">IF(AND($B$183=1,LEN($V$186)&gt;0),$V$186*1000,HLOOKUP(INDIRECT(ADDRESS(2,COLUMN())),OFFSET($BN$2,0,0,ROW()-1,60),ROW()-1,FALSE))</f>
        <v>2900.5320000000002</v>
      </c>
      <c r="W84">
        <f ca="1">IF(AND($B$183=1,LEN($W$186)&gt;0),$W$186*1000,HLOOKUP(INDIRECT(ADDRESS(2,COLUMN())),OFFSET($BN$2,0,0,ROW()-1,60),ROW()-1,FALSE))</f>
        <v>1878.2170000000001</v>
      </c>
      <c r="X84">
        <f ca="1">IF(AND($B$183=1,LEN($X$186)&gt;0),$X$186*1000,HLOOKUP(INDIRECT(ADDRESS(2,COLUMN())),OFFSET($BN$2,0,0,ROW()-1,60),ROW()-1,FALSE))</f>
        <v>1112.4549999999999</v>
      </c>
      <c r="Y84">
        <f ca="1">IF(AND($B$183=1,LEN($Y$186)&gt;0),$Y$186*1000,HLOOKUP(INDIRECT(ADDRESS(2,COLUMN())),OFFSET($BN$2,0,0,ROW()-1,60),ROW()-1,FALSE))</f>
        <v>1409.2380000000001</v>
      </c>
      <c r="Z84">
        <f ca="1">IF(AND($B$183=1,LEN($Z$186)&gt;0),$Z$186*1000,HLOOKUP(INDIRECT(ADDRESS(2,COLUMN())),OFFSET($BN$2,0,0,ROW()-1,60),ROW()-1,FALSE))</f>
        <v>2150.0100000000002</v>
      </c>
      <c r="AA84">
        <f ca="1">IF(AND($B$183=1,LEN($AA$186)&gt;0),$AA$186*1000,HLOOKUP(INDIRECT(ADDRESS(2,COLUMN())),OFFSET($BN$2,0,0,ROW()-1,60),ROW()-1,FALSE))</f>
        <v>2281.6460000000002</v>
      </c>
      <c r="AB84">
        <f ca="1">IF(AND($B$183=1,LEN($AB$186)&gt;0),$AB$186*1000,HLOOKUP(INDIRECT(ADDRESS(2,COLUMN())),OFFSET($BN$2,0,0,ROW()-1,60),ROW()-1,FALSE))</f>
        <v>1089.17</v>
      </c>
      <c r="AC84">
        <f ca="1">IF(AND($B$183=1,LEN($AC$186)&gt;0),$AC$186*1000,HLOOKUP(INDIRECT(ADDRESS(2,COLUMN())),OFFSET($BN$2,0,0,ROW()-1,60),ROW()-1,FALSE))</f>
        <v>2029.66</v>
      </c>
      <c r="AD84">
        <f ca="1">IF(AND($B$183=1,LEN($AD$186)&gt;0),$AD$186*1000,HLOOKUP(INDIRECT(ADDRESS(2,COLUMN())),OFFSET($BN$2,0,0,ROW()-1,60),ROW()-1,FALSE))</f>
        <v>1303.1559999999999</v>
      </c>
      <c r="AE84">
        <f ca="1">IF(AND($B$183=1,LEN($AE$186)&gt;0),$AE$186*1000,HLOOKUP(INDIRECT(ADDRESS(2,COLUMN())),OFFSET($BN$2,0,0,ROW()-1,60),ROW()-1,FALSE))</f>
        <v>1575.3119999999999</v>
      </c>
      <c r="AF84">
        <f ca="1">IF(AND($B$183=1,LEN($AF$186)&gt;0),$AF$186*1000,HLOOKUP(INDIRECT(ADDRESS(2,COLUMN())),OFFSET($BN$2,0,0,ROW()-1,60),ROW()-1,FALSE))</f>
        <v>4069.3710000000001</v>
      </c>
      <c r="AG84">
        <f ca="1">IF(AND($B$183=1,LEN($AG$186)&gt;0),$AG$186*1000,HLOOKUP(INDIRECT(ADDRESS(2,COLUMN())),OFFSET($BN$2,0,0,ROW()-1,60),ROW()-1,FALSE))</f>
        <v>1966.163</v>
      </c>
      <c r="AH84">
        <f ca="1">IF(AND($B$183=1,LEN($AH$186)&gt;0),$AH$186*1000,HLOOKUP(INDIRECT(ADDRESS(2,COLUMN())),OFFSET($BN$2,0,0,ROW()-1,60),ROW()-1,FALSE))</f>
        <v>3916.9070000000002</v>
      </c>
      <c r="AI84">
        <f ca="1">IF(AND($B$183=1,LEN($AI$186)&gt;0),$AI$186*1000,HLOOKUP(INDIRECT(ADDRESS(2,COLUMN())),OFFSET($BN$2,0,0,ROW()-1,60),ROW()-1,FALSE))</f>
        <v>1623.4929999999999</v>
      </c>
      <c r="AJ84">
        <f ca="1">IF(AND($B$183=1,LEN($AJ$186)&gt;0),$AJ$186*1000,HLOOKUP(INDIRECT(ADDRESS(2,COLUMN())),OFFSET($BN$2,0,0,ROW()-1,60),ROW()-1,FALSE))</f>
        <v>1361.095</v>
      </c>
      <c r="AK84">
        <f ca="1">IF(AND($B$183=1,LEN($AK$186)&gt;0),$AK$186*1000,HLOOKUP(INDIRECT(ADDRESS(2,COLUMN())),OFFSET($BN$2,0,0,ROW()-1,60),ROW()-1,FALSE))</f>
        <v>290.19799999999998</v>
      </c>
      <c r="AL84">
        <f ca="1">IF(AND($B$183=1,LEN($AL$186)&gt;0),$AL$186*1000,HLOOKUP(INDIRECT(ADDRESS(2,COLUMN())),OFFSET($BN$2,0,0,ROW()-1,60),ROW()-1,FALSE))</f>
        <v>474.51900000000001</v>
      </c>
      <c r="AM84">
        <f ca="1">IF(AND($B$183=1,LEN($AM$186)&gt;0),$AM$186*1000,HLOOKUP(INDIRECT(ADDRESS(2,COLUMN())),OFFSET($BN$2,0,0,ROW()-1,60),ROW()-1,FALSE))</f>
        <v>298.8</v>
      </c>
      <c r="AN84">
        <f ca="1">IF(AND($B$183=1,LEN($AN$186)&gt;0),$AN$186*1000,HLOOKUP(INDIRECT(ADDRESS(2,COLUMN())),OFFSET($BN$2,0,0,ROW()-1,60),ROW()-1,FALSE))</f>
        <v>232.53399999999999</v>
      </c>
      <c r="AO84">
        <f ca="1">IF(AND($B$183=1,LEN($AO$186)&gt;0),$AO$186*1000,HLOOKUP(INDIRECT(ADDRESS(2,COLUMN())),OFFSET($BN$2,0,0,ROW()-1,60),ROW()-1,FALSE))</f>
        <v>57.5</v>
      </c>
      <c r="AP84">
        <f ca="1">IF(AND($B$183=1,LEN($AP$186)&gt;0),$AP$186*1000,HLOOKUP(INDIRECT(ADDRESS(2,COLUMN())),OFFSET($BN$2,0,0,ROW()-1,60),ROW()-1,FALSE))</f>
        <v>195.709</v>
      </c>
      <c r="AQ84">
        <f ca="1">IF(AND($B$183=1,LEN($AQ$186)&gt;0),$AQ$186*1000,HLOOKUP(INDIRECT(ADDRESS(2,COLUMN())),OFFSET($BN$2,0,0,ROW()-1,60),ROW()-1,FALSE))</f>
        <v>1169.9369999999999</v>
      </c>
      <c r="AR84">
        <f ca="1">IF(AND($B$183=1,LEN($AR$186)&gt;0),$AR$186*1000,HLOOKUP(INDIRECT(ADDRESS(2,COLUMN())),OFFSET($BN$2,0,0,ROW()-1,60),ROW()-1,FALSE))</f>
        <v>1838.43</v>
      </c>
      <c r="AS84">
        <f ca="1">IF(AND($B$183=1,LEN($AS$186)&gt;0),$AS$186*1000,HLOOKUP(INDIRECT(ADDRESS(2,COLUMN())),OFFSET($BN$2,0,0,ROW()-1,60),ROW()-1,FALSE))</f>
        <v>1061.577</v>
      </c>
      <c r="AT84">
        <f ca="1">IF(AND($B$183=1,LEN($AT$186)&gt;0),$AT$186*1000,HLOOKUP(INDIRECT(ADDRESS(2,COLUMN())),OFFSET($BN$2,0,0,ROW()-1,60),ROW()-1,FALSE))</f>
        <v>2330.6889999999999</v>
      </c>
      <c r="AU84">
        <f ca="1">IF(AND($B$183=1,LEN($AU$186)&gt;0),$AU$186*1000,HLOOKUP(INDIRECT(ADDRESS(2,COLUMN())),OFFSET($BN$2,0,0,ROW()-1,60),ROW()-1,FALSE))</f>
        <v>1868.7249999999999</v>
      </c>
      <c r="AV84">
        <f ca="1">IF(AND($B$183=1,LEN($AV$186)&gt;0),$AV$186*1000,HLOOKUP(INDIRECT(ADDRESS(2,COLUMN())),OFFSET($BN$2,0,0,ROW()-1,60),ROW()-1,FALSE))</f>
        <v>2322.9659999999999</v>
      </c>
      <c r="AW84">
        <f ca="1">IF(AND($B$183=1,LEN($AW$186)&gt;0),$AW$186*1000,HLOOKUP(INDIRECT(ADDRESS(2,COLUMN())),OFFSET($BN$2,0,0,ROW()-1,60),ROW()-1,FALSE))</f>
        <v>5955.0950000000003</v>
      </c>
      <c r="AX84">
        <f ca="1">IF(AND($B$183=1,LEN($AX$186)&gt;0),$AX$186*1000,HLOOKUP(INDIRECT(ADDRESS(2,COLUMN())),OFFSET($BN$2,0,0,ROW()-1,60),ROW()-1,FALSE))</f>
        <v>2811.4290000000001</v>
      </c>
      <c r="AY84">
        <f ca="1">IF(AND($B$183=1,LEN($AY$186)&gt;0),$AY$186*1000,HLOOKUP(INDIRECT(ADDRESS(2,COLUMN())),OFFSET($BN$2,0,0,ROW()-1,60),ROW()-1,FALSE))</f>
        <v>2565.348</v>
      </c>
      <c r="AZ84">
        <f ca="1">IF(AND($B$183=1,LEN($AZ$186)&gt;0),$AZ$186*1000,HLOOKUP(INDIRECT(ADDRESS(2,COLUMN())),OFFSET($BN$2,0,0,ROW()-1,60),ROW()-1,FALSE))</f>
        <v>3066.607</v>
      </c>
      <c r="BA84">
        <f ca="1">IF(AND($B$183=1,LEN($BA$186)&gt;0),$BA$186*1000,HLOOKUP(INDIRECT(ADDRESS(2,COLUMN())),OFFSET($BN$2,0,0,ROW()-1,60),ROW()-1,FALSE))</f>
        <v>3693.2629999999999</v>
      </c>
      <c r="BB84">
        <f ca="1">IF(AND($B$183=1,LEN($BB$186)&gt;0),$BB$186*1000,HLOOKUP(INDIRECT(ADDRESS(2,COLUMN())),OFFSET($BN$2,0,0,ROW()-1,60),ROW()-1,FALSE))</f>
        <v>2030.799</v>
      </c>
      <c r="BC84">
        <f ca="1">IF(AND($B$183=1,LEN($BC$186)&gt;0),$BC$186*1000,HLOOKUP(INDIRECT(ADDRESS(2,COLUMN())),OFFSET($BN$2,0,0,ROW()-1,60),ROW()-1,FALSE))</f>
        <v>2273.8200000000002</v>
      </c>
      <c r="BD84">
        <f ca="1">IF(AND($B$183=1,LEN($BD$186)&gt;0),$BD$186*1000,HLOOKUP(INDIRECT(ADDRESS(2,COLUMN())),OFFSET($BN$2,0,0,ROW()-1,60),ROW()-1,FALSE))</f>
        <v>3399.627</v>
      </c>
      <c r="BE84">
        <f ca="1">IF(AND($B$183=1,LEN($BE$186)&gt;0),$BE$186*1000,HLOOKUP(INDIRECT(ADDRESS(2,COLUMN())),OFFSET($BN$2,0,0,ROW()-1,60),ROW()-1,FALSE))</f>
        <v>1417.1510000000001</v>
      </c>
      <c r="BF84">
        <f ca="1">IF(AND($B$183=1,LEN($BF$186)&gt;0),$BF$186*1000,HLOOKUP(INDIRECT(ADDRESS(2,COLUMN())),OFFSET($BN$2,0,0,ROW()-1,60),ROW()-1,FALSE))</f>
        <v>2003.7280000000001</v>
      </c>
      <c r="BG84">
        <f ca="1">IF(AND($B$183=1,LEN($BG$186)&gt;0),$BG$186*1000,HLOOKUP(INDIRECT(ADDRESS(2,COLUMN())),OFFSET($BN$2,0,0,ROW()-1,60),ROW()-1,FALSE))</f>
        <v>3671.43</v>
      </c>
      <c r="BH84">
        <f ca="1">IF(AND($B$183=1,LEN($BH$186)&gt;0),$BH$186*1000,HLOOKUP(INDIRECT(ADDRESS(2,COLUMN())),OFFSET($BN$2,0,0,ROW()-1,60),ROW()-1,FALSE))</f>
        <v>1186.768</v>
      </c>
      <c r="BI84">
        <f ca="1">IF(AND($B$183=1,LEN($BI$186)&gt;0),$BI$186*1000,HLOOKUP(INDIRECT(ADDRESS(2,COLUMN())),OFFSET($BN$2,0,0,ROW()-1,60),ROW()-1,FALSE))</f>
        <v>715.27099999999996</v>
      </c>
      <c r="BJ84">
        <f ca="1">IF(AND($B$183=1,LEN($BJ$186)&gt;0),$BJ$186*1000,HLOOKUP(INDIRECT(ADDRESS(2,COLUMN())),OFFSET($BN$2,0,0,ROW()-1,60),ROW()-1,FALSE))</f>
        <v>1847.087</v>
      </c>
      <c r="BK84">
        <f ca="1">IF(AND($B$183=1,LEN($BK$186)&gt;0),$BK$186*1000,HLOOKUP(INDIRECT(ADDRESS(2,COLUMN())),OFFSET($BN$2,0,0,ROW()-1,60),ROW()-1,FALSE))</f>
        <v>189.02099999999999</v>
      </c>
      <c r="BL84">
        <f ca="1">IF(AND($B$183=1,LEN($BL$186)&gt;0),$BL$186*1000,HLOOKUP(INDIRECT(ADDRESS(2,COLUMN())),OFFSET($BN$2,0,0,ROW()-1,60),ROW()-1,FALSE))</f>
        <v>18.273</v>
      </c>
      <c r="BM84">
        <f ca="1">IF(AND($B$183=1,LEN($BM$186)&gt;0),$BM$186*1000,HLOOKUP(INDIRECT(ADDRESS(2,COLUMN())),OFFSET($BN$2,0,0,ROW()-1,60),ROW()-1,FALSE))</f>
        <v>370.9</v>
      </c>
      <c r="BN84">
        <f>2918.545</f>
        <v>2918.5450000000001</v>
      </c>
      <c r="BO84">
        <f>842.912</f>
        <v>842.91200000000003</v>
      </c>
      <c r="BP84">
        <f>1459.193</f>
        <v>1459.193</v>
      </c>
      <c r="BQ84">
        <f>1211.781</f>
        <v>1211.7809999999999</v>
      </c>
      <c r="BR84">
        <f>5052.027</f>
        <v>5052.027</v>
      </c>
      <c r="BS84">
        <f>2289.774</f>
        <v>2289.7739999999999</v>
      </c>
      <c r="BT84">
        <f>1889.355</f>
        <v>1889.355</v>
      </c>
      <c r="BU84">
        <f>1644.245</f>
        <v>1644.2449999999999</v>
      </c>
      <c r="BV84">
        <f>4085.108</f>
        <v>4085.1080000000002</v>
      </c>
      <c r="BW84">
        <f>4647.099</f>
        <v>4647.0990000000002</v>
      </c>
      <c r="BX84">
        <f>4819.546</f>
        <v>4819.5460000000003</v>
      </c>
      <c r="BY84">
        <f>2023.002</f>
        <v>2023.002</v>
      </c>
      <c r="BZ84">
        <f>2880.202</f>
        <v>2880.2020000000002</v>
      </c>
      <c r="CA84">
        <f>2523.428</f>
        <v>2523.4279999999999</v>
      </c>
      <c r="CB84">
        <f>2725.13</f>
        <v>2725.13</v>
      </c>
      <c r="CC84">
        <f>359.589</f>
        <v>359.589</v>
      </c>
      <c r="CD84">
        <f>2900.532</f>
        <v>2900.5320000000002</v>
      </c>
      <c r="CE84">
        <f>1878.217</f>
        <v>1878.2170000000001</v>
      </c>
      <c r="CF84">
        <f>1112.455</f>
        <v>1112.4549999999999</v>
      </c>
      <c r="CG84">
        <f>1409.238</f>
        <v>1409.2380000000001</v>
      </c>
      <c r="CH84">
        <f>2150.01</f>
        <v>2150.0100000000002</v>
      </c>
      <c r="CI84">
        <f>2281.646</f>
        <v>2281.6460000000002</v>
      </c>
      <c r="CJ84">
        <f>1089.17</f>
        <v>1089.17</v>
      </c>
      <c r="CK84">
        <f>2029.66</f>
        <v>2029.66</v>
      </c>
      <c r="CL84">
        <f>1303.156</f>
        <v>1303.1559999999999</v>
      </c>
      <c r="CM84">
        <f>1575.312</f>
        <v>1575.3119999999999</v>
      </c>
      <c r="CN84">
        <f>4069.371</f>
        <v>4069.3710000000001</v>
      </c>
      <c r="CO84">
        <f>1966.163</f>
        <v>1966.163</v>
      </c>
      <c r="CP84">
        <f>3916.907</f>
        <v>3916.9070000000002</v>
      </c>
      <c r="CQ84">
        <f>1623.493</f>
        <v>1623.4929999999999</v>
      </c>
      <c r="CR84">
        <f>1361.095</f>
        <v>1361.095</v>
      </c>
      <c r="CS84">
        <f>290.198</f>
        <v>290.19799999999998</v>
      </c>
      <c r="CT84">
        <f>474.519</f>
        <v>474.51900000000001</v>
      </c>
      <c r="CU84">
        <f>298.8</f>
        <v>298.8</v>
      </c>
      <c r="CV84">
        <f>232.534</f>
        <v>232.53399999999999</v>
      </c>
      <c r="CW84">
        <f>57.5</f>
        <v>57.5</v>
      </c>
      <c r="CX84">
        <f>195.709</f>
        <v>195.709</v>
      </c>
      <c r="CY84">
        <f>1169.937</f>
        <v>1169.9369999999999</v>
      </c>
      <c r="CZ84">
        <f>1838.43</f>
        <v>1838.43</v>
      </c>
      <c r="DA84">
        <f>1061.577</f>
        <v>1061.577</v>
      </c>
      <c r="DB84">
        <f>2330.689</f>
        <v>2330.6889999999999</v>
      </c>
      <c r="DC84">
        <f>1868.725</f>
        <v>1868.7249999999999</v>
      </c>
      <c r="DD84">
        <f>2322.966</f>
        <v>2322.9659999999999</v>
      </c>
      <c r="DE84">
        <f>5955.095</f>
        <v>5955.0950000000003</v>
      </c>
      <c r="DF84">
        <f>2811.429</f>
        <v>2811.4290000000001</v>
      </c>
      <c r="DG84">
        <f>2565.348</f>
        <v>2565.348</v>
      </c>
      <c r="DH84">
        <f>3066.607</f>
        <v>3066.607</v>
      </c>
      <c r="DI84">
        <f>3693.263</f>
        <v>3693.2629999999999</v>
      </c>
      <c r="DJ84">
        <f>2030.799</f>
        <v>2030.799</v>
      </c>
      <c r="DK84">
        <f>2273.82</f>
        <v>2273.8200000000002</v>
      </c>
      <c r="DL84">
        <f>3399.627</f>
        <v>3399.627</v>
      </c>
      <c r="DM84">
        <f>1417.151</f>
        <v>1417.1510000000001</v>
      </c>
      <c r="DN84">
        <f>2003.728</f>
        <v>2003.7280000000001</v>
      </c>
      <c r="DO84">
        <f>3671.43</f>
        <v>3671.43</v>
      </c>
      <c r="DP84">
        <f>1186.768</f>
        <v>1186.768</v>
      </c>
      <c r="DQ84">
        <f>715.271</f>
        <v>715.27099999999996</v>
      </c>
      <c r="DR84">
        <f>1847.087</f>
        <v>1847.087</v>
      </c>
      <c r="DS84">
        <f>189.021</f>
        <v>189.02099999999999</v>
      </c>
      <c r="DT84">
        <f>18.273</f>
        <v>18.273</v>
      </c>
      <c r="DU84">
        <f>370.9</f>
        <v>370.9</v>
      </c>
    </row>
    <row r="85" spans="1:125">
      <c r="A85" t="str">
        <f>"    Industrial REITs"</f>
        <v xml:space="preserve">    Industrial REITs</v>
      </c>
      <c r="B85" t="str">
        <f>"RECFTAIN Index"</f>
        <v>RECFTAIN Index</v>
      </c>
      <c r="E85" t="str">
        <f t="shared" si="21"/>
        <v>Expression</v>
      </c>
      <c r="F85">
        <f ca="1">IF(AND($B$183=1,LEN($F$187)&gt;0),$F$187*1000,HLOOKUP(INDIRECT(ADDRESS(2,COLUMN())),OFFSET($BN$2,0,0,ROW()-1,60),ROW()-1,FALSE))</f>
        <v>1248.002</v>
      </c>
      <c r="G85">
        <f ca="1">IF(AND($B$183=1,LEN($G$187)&gt;0),$G$187*1000,HLOOKUP(INDIRECT(ADDRESS(2,COLUMN())),OFFSET($BN$2,0,0,ROW()-1,60),ROW()-1,FALSE))</f>
        <v>1230.4259999999999</v>
      </c>
      <c r="H85">
        <f ca="1">IF(AND($B$183=1,LEN($H$187)&gt;0),$H$187*1000,HLOOKUP(INDIRECT(ADDRESS(2,COLUMN())),OFFSET($BN$2,0,0,ROW()-1,60),ROW()-1,FALSE))</f>
        <v>1104.2829999999999</v>
      </c>
      <c r="I85">
        <f ca="1">IF(AND($B$183=1,LEN($I$187)&gt;0),$I$187*1000,HLOOKUP(INDIRECT(ADDRESS(2,COLUMN())),OFFSET($BN$2,0,0,ROW()-1,60),ROW()-1,FALSE))</f>
        <v>456.57100000000003</v>
      </c>
      <c r="J85">
        <f ca="1">IF(AND($B$183=1,LEN($J$187)&gt;0),$J$187*1000,HLOOKUP(INDIRECT(ADDRESS(2,COLUMN())),OFFSET($BN$2,0,0,ROW()-1,60),ROW()-1,FALSE))</f>
        <v>843.21799999999996</v>
      </c>
      <c r="K85">
        <f ca="1">IF(AND($B$183=1,LEN($K$187)&gt;0),$K$187*1000,HLOOKUP(INDIRECT(ADDRESS(2,COLUMN())),OFFSET($BN$2,0,0,ROW()-1,60),ROW()-1,FALSE))</f>
        <v>494.06400000000002</v>
      </c>
      <c r="L85">
        <f ca="1">IF(AND($B$183=1,LEN($L$187)&gt;0),$L$187*1000,HLOOKUP(INDIRECT(ADDRESS(2,COLUMN())),OFFSET($BN$2,0,0,ROW()-1,60),ROW()-1,FALSE))</f>
        <v>535.07399999999996</v>
      </c>
      <c r="M85">
        <f ca="1">IF(AND($B$183=1,LEN($M$187)&gt;0),$M$187*1000,HLOOKUP(INDIRECT(ADDRESS(2,COLUMN())),OFFSET($BN$2,0,0,ROW()-1,60),ROW()-1,FALSE))</f>
        <v>185.18100000000001</v>
      </c>
      <c r="N85">
        <f ca="1">IF(AND($B$183=1,LEN($N$187)&gt;0),$N$187*1000,HLOOKUP(INDIRECT(ADDRESS(2,COLUMN())),OFFSET($BN$2,0,0,ROW()-1,60),ROW()-1,FALSE))</f>
        <v>1103.277</v>
      </c>
      <c r="O85">
        <f ca="1">IF(AND($B$183=1,LEN($O$187)&gt;0),$O$187*1000,HLOOKUP(INDIRECT(ADDRESS(2,COLUMN())),OFFSET($BN$2,0,0,ROW()-1,60),ROW()-1,FALSE))</f>
        <v>721.71900000000005</v>
      </c>
      <c r="P85">
        <f ca="1">IF(AND($B$183=1,LEN($P$187)&gt;0),$P$187*1000,HLOOKUP(INDIRECT(ADDRESS(2,COLUMN())),OFFSET($BN$2,0,0,ROW()-1,60),ROW()-1,FALSE))</f>
        <v>6296.9939999999997</v>
      </c>
      <c r="Q85">
        <f ca="1">IF(AND($B$183=1,LEN($Q$187)&gt;0),$Q$187*1000,HLOOKUP(INDIRECT(ADDRESS(2,COLUMN())),OFFSET($BN$2,0,0,ROW()-1,60),ROW()-1,FALSE))</f>
        <v>612.98500000000001</v>
      </c>
      <c r="R85">
        <f ca="1">IF(AND($B$183=1,LEN($R$187)&gt;0),$R$187*1000,HLOOKUP(INDIRECT(ADDRESS(2,COLUMN())),OFFSET($BN$2,0,0,ROW()-1,60),ROW()-1,FALSE))</f>
        <v>917.46400000000006</v>
      </c>
      <c r="S85">
        <f ca="1">IF(AND($B$183=1,LEN($S$187)&gt;0),$S$187*1000,HLOOKUP(INDIRECT(ADDRESS(2,COLUMN())),OFFSET($BN$2,0,0,ROW()-1,60),ROW()-1,FALSE))</f>
        <v>1456.0509999999999</v>
      </c>
      <c r="T85">
        <f ca="1">IF(AND($B$183=1,LEN($T$187)&gt;0),$T$187*1000,HLOOKUP(INDIRECT(ADDRESS(2,COLUMN())),OFFSET($BN$2,0,0,ROW()-1,60),ROW()-1,FALSE))</f>
        <v>838.41200000000003</v>
      </c>
      <c r="U85">
        <f ca="1">IF(AND($B$183=1,LEN($U$187)&gt;0),$U$187*1000,HLOOKUP(INDIRECT(ADDRESS(2,COLUMN())),OFFSET($BN$2,0,0,ROW()-1,60),ROW()-1,FALSE))</f>
        <v>594.15499999999997</v>
      </c>
      <c r="V85">
        <f ca="1">IF(AND($B$183=1,LEN($V$187)&gt;0),$V$187*1000,HLOOKUP(INDIRECT(ADDRESS(2,COLUMN())),OFFSET($BN$2,0,0,ROW()-1,60),ROW()-1,FALSE))</f>
        <v>2615.4090000000001</v>
      </c>
      <c r="W85">
        <f ca="1">IF(AND($B$183=1,LEN($W$187)&gt;0),$W$187*1000,HLOOKUP(INDIRECT(ADDRESS(2,COLUMN())),OFFSET($BN$2,0,0,ROW()-1,60),ROW()-1,FALSE))</f>
        <v>894.61300000000006</v>
      </c>
      <c r="X85">
        <f ca="1">IF(AND($B$183=1,LEN($X$187)&gt;0),$X$187*1000,HLOOKUP(INDIRECT(ADDRESS(2,COLUMN())),OFFSET($BN$2,0,0,ROW()-1,60),ROW()-1,FALSE))</f>
        <v>1104.9639999999999</v>
      </c>
      <c r="Y85">
        <f ca="1">IF(AND($B$183=1,LEN($Y$187)&gt;0),$Y$187*1000,HLOOKUP(INDIRECT(ADDRESS(2,COLUMN())),OFFSET($BN$2,0,0,ROW()-1,60),ROW()-1,FALSE))</f>
        <v>159.01900000000001</v>
      </c>
      <c r="Z85">
        <f ca="1">IF(AND($B$183=1,LEN($Z$187)&gt;0),$Z$187*1000,HLOOKUP(INDIRECT(ADDRESS(2,COLUMN())),OFFSET($BN$2,0,0,ROW()-1,60),ROW()-1,FALSE))</f>
        <v>1534.7159999999999</v>
      </c>
      <c r="AA85">
        <f ca="1">IF(AND($B$183=1,LEN($AA$187)&gt;0),$AA$187*1000,HLOOKUP(INDIRECT(ADDRESS(2,COLUMN())),OFFSET($BN$2,0,0,ROW()-1,60),ROW()-1,FALSE))</f>
        <v>486.68700000000001</v>
      </c>
      <c r="AB85">
        <f ca="1">IF(AND($B$183=1,LEN($AB$187)&gt;0),$AB$187*1000,HLOOKUP(INDIRECT(ADDRESS(2,COLUMN())),OFFSET($BN$2,0,0,ROW()-1,60),ROW()-1,FALSE))</f>
        <v>476.416</v>
      </c>
      <c r="AC85">
        <f ca="1">IF(AND($B$183=1,LEN($AC$187)&gt;0),$AC$187*1000,HLOOKUP(INDIRECT(ADDRESS(2,COLUMN())),OFFSET($BN$2,0,0,ROW()-1,60),ROW()-1,FALSE))</f>
        <v>326.97199999999998</v>
      </c>
      <c r="AD85">
        <f ca="1">IF(AND($B$183=1,LEN($AD$187)&gt;0),$AD$187*1000,HLOOKUP(INDIRECT(ADDRESS(2,COLUMN())),OFFSET($BN$2,0,0,ROW()-1,60),ROW()-1,FALSE))</f>
        <v>1563.617</v>
      </c>
      <c r="AE85">
        <f ca="1">IF(AND($B$183=1,LEN($AE$187)&gt;0),$AE$187*1000,HLOOKUP(INDIRECT(ADDRESS(2,COLUMN())),OFFSET($BN$2,0,0,ROW()-1,60),ROW()-1,FALSE))</f>
        <v>562.05999999999995</v>
      </c>
      <c r="AF85">
        <f ca="1">IF(AND($B$183=1,LEN($AF$187)&gt;0),$AF$187*1000,HLOOKUP(INDIRECT(ADDRESS(2,COLUMN())),OFFSET($BN$2,0,0,ROW()-1,60),ROW()-1,FALSE))</f>
        <v>13002.709000000001</v>
      </c>
      <c r="AG85">
        <f ca="1">IF(AND($B$183=1,LEN($AG$187)&gt;0),$AG$187*1000,HLOOKUP(INDIRECT(ADDRESS(2,COLUMN())),OFFSET($BN$2,0,0,ROW()-1,60),ROW()-1,FALSE))</f>
        <v>348.26299999999998</v>
      </c>
      <c r="AH85">
        <f ca="1">IF(AND($B$183=1,LEN($AH$187)&gt;0),$AH$187*1000,HLOOKUP(INDIRECT(ADDRESS(2,COLUMN())),OFFSET($BN$2,0,0,ROW()-1,60),ROW()-1,FALSE))</f>
        <v>1161.8710000000001</v>
      </c>
      <c r="AI85">
        <f ca="1">IF(AND($B$183=1,LEN($AI$187)&gt;0),$AI$187*1000,HLOOKUP(INDIRECT(ADDRESS(2,COLUMN())),OFFSET($BN$2,0,0,ROW()-1,60),ROW()-1,FALSE))</f>
        <v>802.15899999999999</v>
      </c>
      <c r="AJ85">
        <f ca="1">IF(AND($B$183=1,LEN($AJ$187)&gt;0),$AJ$187*1000,HLOOKUP(INDIRECT(ADDRESS(2,COLUMN())),OFFSET($BN$2,0,0,ROW()-1,60),ROW()-1,FALSE))</f>
        <v>319.274</v>
      </c>
      <c r="AK85">
        <f ca="1">IF(AND($B$183=1,LEN($AK$187)&gt;0),$AK$187*1000,HLOOKUP(INDIRECT(ADDRESS(2,COLUMN())),OFFSET($BN$2,0,0,ROW()-1,60),ROW()-1,FALSE))</f>
        <v>155.33600000000001</v>
      </c>
      <c r="AL85">
        <f ca="1">IF(AND($B$183=1,LEN($AL$187)&gt;0),$AL$187*1000,HLOOKUP(INDIRECT(ADDRESS(2,COLUMN())),OFFSET($BN$2,0,0,ROW()-1,60),ROW()-1,FALSE))</f>
        <v>77.44</v>
      </c>
      <c r="AM85">
        <f ca="1">IF(AND($B$183=1,LEN($AM$187)&gt;0),$AM$187*1000,HLOOKUP(INDIRECT(ADDRESS(2,COLUMN())),OFFSET($BN$2,0,0,ROW()-1,60),ROW()-1,FALSE))</f>
        <v>25.663</v>
      </c>
      <c r="AN85">
        <f ca="1">IF(AND($B$183=1,LEN($AN$187)&gt;0),$AN$187*1000,HLOOKUP(INDIRECT(ADDRESS(2,COLUMN())),OFFSET($BN$2,0,0,ROW()-1,60),ROW()-1,FALSE))</f>
        <v>28.12</v>
      </c>
      <c r="AO85">
        <f ca="1">IF(AND($B$183=1,LEN($AO$187)&gt;0),$AO$187*1000,HLOOKUP(INDIRECT(ADDRESS(2,COLUMN())),OFFSET($BN$2,0,0,ROW()-1,60),ROW()-1,FALSE))</f>
        <v>0</v>
      </c>
      <c r="AP85">
        <f ca="1">IF(AND($B$183=1,LEN($AP$187)&gt;0),$AP$187*1000,HLOOKUP(INDIRECT(ADDRESS(2,COLUMN())),OFFSET($BN$2,0,0,ROW()-1,60),ROW()-1,FALSE))</f>
        <v>182.096</v>
      </c>
      <c r="AQ85">
        <f ca="1">IF(AND($B$183=1,LEN($AQ$187)&gt;0),$AQ$187*1000,HLOOKUP(INDIRECT(ADDRESS(2,COLUMN())),OFFSET($BN$2,0,0,ROW()-1,60),ROW()-1,FALSE))</f>
        <v>605.11099999999999</v>
      </c>
      <c r="AR85">
        <f ca="1">IF(AND($B$183=1,LEN($AR$187)&gt;0),$AR$187*1000,HLOOKUP(INDIRECT(ADDRESS(2,COLUMN())),OFFSET($BN$2,0,0,ROW()-1,60),ROW()-1,FALSE))</f>
        <v>596.31100000000004</v>
      </c>
      <c r="AS85">
        <f ca="1">IF(AND($B$183=1,LEN($AS$187)&gt;0),$AS$187*1000,HLOOKUP(INDIRECT(ADDRESS(2,COLUMN())),OFFSET($BN$2,0,0,ROW()-1,60),ROW()-1,FALSE))</f>
        <v>699.73800000000006</v>
      </c>
      <c r="AT85">
        <f ca="1">IF(AND($B$183=1,LEN($AT$187)&gt;0),$AT$187*1000,HLOOKUP(INDIRECT(ADDRESS(2,COLUMN())),OFFSET($BN$2,0,0,ROW()-1,60),ROW()-1,FALSE))</f>
        <v>1644.308</v>
      </c>
      <c r="AU85">
        <f ca="1">IF(AND($B$183=1,LEN($AU$187)&gt;0),$AU$187*1000,HLOOKUP(INDIRECT(ADDRESS(2,COLUMN())),OFFSET($BN$2,0,0,ROW()-1,60),ROW()-1,FALSE))</f>
        <v>3333.1419999999998</v>
      </c>
      <c r="AV85">
        <f ca="1">IF(AND($B$183=1,LEN($AV$187)&gt;0),$AV$187*1000,HLOOKUP(INDIRECT(ADDRESS(2,COLUMN())),OFFSET($BN$2,0,0,ROW()-1,60),ROW()-1,FALSE))</f>
        <v>1183.076</v>
      </c>
      <c r="AW85">
        <f ca="1">IF(AND($B$183=1,LEN($AW$187)&gt;0),$AW$187*1000,HLOOKUP(INDIRECT(ADDRESS(2,COLUMN())),OFFSET($BN$2,0,0,ROW()-1,60),ROW()-1,FALSE))</f>
        <v>1369.6179999999999</v>
      </c>
      <c r="AX85">
        <f ca="1">IF(AND($B$183=1,LEN($AX$187)&gt;0),$AX$187*1000,HLOOKUP(INDIRECT(ADDRESS(2,COLUMN())),OFFSET($BN$2,0,0,ROW()-1,60),ROW()-1,FALSE))</f>
        <v>979.31100000000004</v>
      </c>
      <c r="AY85">
        <f ca="1">IF(AND($B$183=1,LEN($AY$187)&gt;0),$AY$187*1000,HLOOKUP(INDIRECT(ADDRESS(2,COLUMN())),OFFSET($BN$2,0,0,ROW()-1,60),ROW()-1,FALSE))</f>
        <v>830.88400000000001</v>
      </c>
      <c r="AZ85">
        <f ca="1">IF(AND($B$183=1,LEN($AZ$187)&gt;0),$AZ$187*1000,HLOOKUP(INDIRECT(ADDRESS(2,COLUMN())),OFFSET($BN$2,0,0,ROW()-1,60),ROW()-1,FALSE))</f>
        <v>883.61699999999996</v>
      </c>
      <c r="BA85">
        <f ca="1">IF(AND($B$183=1,LEN($BA$187)&gt;0),$BA$187*1000,HLOOKUP(INDIRECT(ADDRESS(2,COLUMN())),OFFSET($BN$2,0,0,ROW()-1,60),ROW()-1,FALSE))</f>
        <v>1084.8789999999999</v>
      </c>
      <c r="BB85">
        <f ca="1">IF(AND($B$183=1,LEN($BB$187)&gt;0),$BB$187*1000,HLOOKUP(INDIRECT(ADDRESS(2,COLUMN())),OFFSET($BN$2,0,0,ROW()-1,60),ROW()-1,FALSE))</f>
        <v>1018.784</v>
      </c>
      <c r="BC85">
        <f ca="1">IF(AND($B$183=1,LEN($BC$187)&gt;0),$BC$187*1000,HLOOKUP(INDIRECT(ADDRESS(2,COLUMN())),OFFSET($BN$2,0,0,ROW()-1,60),ROW()-1,FALSE))</f>
        <v>4531.0510000000004</v>
      </c>
      <c r="BD85">
        <f ca="1">IF(AND($B$183=1,LEN($BD$187)&gt;0),$BD$187*1000,HLOOKUP(INDIRECT(ADDRESS(2,COLUMN())),OFFSET($BN$2,0,0,ROW()-1,60),ROW()-1,FALSE))</f>
        <v>760.39400000000001</v>
      </c>
      <c r="BE85">
        <f ca="1">IF(AND($B$183=1,LEN($BE$187)&gt;0),$BE$187*1000,HLOOKUP(INDIRECT(ADDRESS(2,COLUMN())),OFFSET($BN$2,0,0,ROW()-1,60),ROW()-1,FALSE))</f>
        <v>378.64299999999997</v>
      </c>
      <c r="BF85">
        <f ca="1">IF(AND($B$183=1,LEN($BF$187)&gt;0),$BF$187*1000,HLOOKUP(INDIRECT(ADDRESS(2,COLUMN())),OFFSET($BN$2,0,0,ROW()-1,60),ROW()-1,FALSE))</f>
        <v>606.60599999999999</v>
      </c>
      <c r="BG85">
        <f ca="1">IF(AND($B$183=1,LEN($BG$187)&gt;0),$BG$187*1000,HLOOKUP(INDIRECT(ADDRESS(2,COLUMN())),OFFSET($BN$2,0,0,ROW()-1,60),ROW()-1,FALSE))</f>
        <v>2757.7469999999998</v>
      </c>
      <c r="BH85">
        <f ca="1">IF(AND($B$183=1,LEN($BH$187)&gt;0),$BH$187*1000,HLOOKUP(INDIRECT(ADDRESS(2,COLUMN())),OFFSET($BN$2,0,0,ROW()-1,60),ROW()-1,FALSE))</f>
        <v>583.91499999999996</v>
      </c>
      <c r="BI85">
        <f ca="1">IF(AND($B$183=1,LEN($BI$187)&gt;0),$BI$187*1000,HLOOKUP(INDIRECT(ADDRESS(2,COLUMN())),OFFSET($BN$2,0,0,ROW()-1,60),ROW()-1,FALSE))</f>
        <v>497.69099999999997</v>
      </c>
      <c r="BJ85">
        <f ca="1">IF(AND($B$183=1,LEN($BJ$187)&gt;0),$BJ$187*1000,HLOOKUP(INDIRECT(ADDRESS(2,COLUMN())),OFFSET($BN$2,0,0,ROW()-1,60),ROW()-1,FALSE))</f>
        <v>141.202</v>
      </c>
      <c r="BK85">
        <f ca="1">IF(AND($B$183=1,LEN($BK$187)&gt;0),$BK$187*1000,HLOOKUP(INDIRECT(ADDRESS(2,COLUMN())),OFFSET($BN$2,0,0,ROW()-1,60),ROW()-1,FALSE))</f>
        <v>30.1</v>
      </c>
      <c r="BL85">
        <f ca="1">IF(AND($B$183=1,LEN($BL$187)&gt;0),$BL$187*1000,HLOOKUP(INDIRECT(ADDRESS(2,COLUMN())),OFFSET($BN$2,0,0,ROW()-1,60),ROW()-1,FALSE))</f>
        <v>110.6</v>
      </c>
      <c r="BM85">
        <f ca="1">IF(AND($B$183=1,LEN($BM$187)&gt;0),$BM$187*1000,HLOOKUP(INDIRECT(ADDRESS(2,COLUMN())),OFFSET($BN$2,0,0,ROW()-1,60),ROW()-1,FALSE))</f>
        <v>20.399999999999999</v>
      </c>
      <c r="BN85">
        <f>1248.002</f>
        <v>1248.002</v>
      </c>
      <c r="BO85">
        <f>1230.426</f>
        <v>1230.4259999999999</v>
      </c>
      <c r="BP85">
        <f>1104.283</f>
        <v>1104.2829999999999</v>
      </c>
      <c r="BQ85">
        <f>456.571</f>
        <v>456.57100000000003</v>
      </c>
      <c r="BR85">
        <f>843.218</f>
        <v>843.21799999999996</v>
      </c>
      <c r="BS85">
        <f>494.064</f>
        <v>494.06400000000002</v>
      </c>
      <c r="BT85">
        <f>535.074</f>
        <v>535.07399999999996</v>
      </c>
      <c r="BU85">
        <f>185.181</f>
        <v>185.18100000000001</v>
      </c>
      <c r="BV85">
        <f>1103.277</f>
        <v>1103.277</v>
      </c>
      <c r="BW85">
        <f>721.719</f>
        <v>721.71900000000005</v>
      </c>
      <c r="BX85">
        <f>6296.994</f>
        <v>6296.9939999999997</v>
      </c>
      <c r="BY85">
        <f>612.985</f>
        <v>612.98500000000001</v>
      </c>
      <c r="BZ85">
        <f>917.464</f>
        <v>917.46400000000006</v>
      </c>
      <c r="CA85">
        <f>1456.051</f>
        <v>1456.0509999999999</v>
      </c>
      <c r="CB85">
        <f>838.412</f>
        <v>838.41200000000003</v>
      </c>
      <c r="CC85">
        <f>594.155</f>
        <v>594.15499999999997</v>
      </c>
      <c r="CD85">
        <f>2615.409</f>
        <v>2615.4090000000001</v>
      </c>
      <c r="CE85">
        <f>894.613</f>
        <v>894.61300000000006</v>
      </c>
      <c r="CF85">
        <f>1104.964</f>
        <v>1104.9639999999999</v>
      </c>
      <c r="CG85">
        <f>159.019</f>
        <v>159.01900000000001</v>
      </c>
      <c r="CH85">
        <f>1534.716</f>
        <v>1534.7159999999999</v>
      </c>
      <c r="CI85">
        <f>486.687</f>
        <v>486.68700000000001</v>
      </c>
      <c r="CJ85">
        <f>476.416</f>
        <v>476.416</v>
      </c>
      <c r="CK85">
        <f>326.972</f>
        <v>326.97199999999998</v>
      </c>
      <c r="CL85">
        <f>1563.617</f>
        <v>1563.617</v>
      </c>
      <c r="CM85">
        <f>562.06</f>
        <v>562.05999999999995</v>
      </c>
      <c r="CN85">
        <f>13002.709</f>
        <v>13002.709000000001</v>
      </c>
      <c r="CO85">
        <f>348.263</f>
        <v>348.26299999999998</v>
      </c>
      <c r="CP85">
        <f>1161.871</f>
        <v>1161.8710000000001</v>
      </c>
      <c r="CQ85">
        <f>802.159</f>
        <v>802.15899999999999</v>
      </c>
      <c r="CR85">
        <f>319.274</f>
        <v>319.274</v>
      </c>
      <c r="CS85">
        <f>155.336</f>
        <v>155.33600000000001</v>
      </c>
      <c r="CT85">
        <f>77.44</f>
        <v>77.44</v>
      </c>
      <c r="CU85">
        <f>25.663</f>
        <v>25.663</v>
      </c>
      <c r="CV85">
        <f>28.12</f>
        <v>28.12</v>
      </c>
      <c r="CW85">
        <f>0</f>
        <v>0</v>
      </c>
      <c r="CX85">
        <f>182.096</f>
        <v>182.096</v>
      </c>
      <c r="CY85">
        <f>605.111</f>
        <v>605.11099999999999</v>
      </c>
      <c r="CZ85">
        <f>596.311</f>
        <v>596.31100000000004</v>
      </c>
      <c r="DA85">
        <f>699.738</f>
        <v>699.73800000000006</v>
      </c>
      <c r="DB85">
        <f>1644.308</f>
        <v>1644.308</v>
      </c>
      <c r="DC85">
        <f>3333.142</f>
        <v>3333.1419999999998</v>
      </c>
      <c r="DD85">
        <f>1183.076</f>
        <v>1183.076</v>
      </c>
      <c r="DE85">
        <f>1369.618</f>
        <v>1369.6179999999999</v>
      </c>
      <c r="DF85">
        <f>979.311</f>
        <v>979.31100000000004</v>
      </c>
      <c r="DG85">
        <f>830.884</f>
        <v>830.88400000000001</v>
      </c>
      <c r="DH85">
        <f>883.617</f>
        <v>883.61699999999996</v>
      </c>
      <c r="DI85">
        <f>1084.879</f>
        <v>1084.8789999999999</v>
      </c>
      <c r="DJ85">
        <f>1018.784</f>
        <v>1018.784</v>
      </c>
      <c r="DK85">
        <f>4531.051</f>
        <v>4531.0510000000004</v>
      </c>
      <c r="DL85">
        <f>760.394</f>
        <v>760.39400000000001</v>
      </c>
      <c r="DM85">
        <f>378.643</f>
        <v>378.64299999999997</v>
      </c>
      <c r="DN85">
        <f>606.606</f>
        <v>606.60599999999999</v>
      </c>
      <c r="DO85">
        <f>2757.747</f>
        <v>2757.7469999999998</v>
      </c>
      <c r="DP85">
        <f>583.915</f>
        <v>583.91499999999996</v>
      </c>
      <c r="DQ85">
        <f>497.691</f>
        <v>497.69099999999997</v>
      </c>
      <c r="DR85">
        <f>141.202</f>
        <v>141.202</v>
      </c>
      <c r="DS85">
        <f>30.1</f>
        <v>30.1</v>
      </c>
      <c r="DT85">
        <f>110.6</f>
        <v>110.6</v>
      </c>
      <c r="DU85">
        <f>20.4</f>
        <v>20.399999999999999</v>
      </c>
    </row>
    <row r="86" spans="1:125">
      <c r="A86" t="str">
        <f>"    Retail REITs"</f>
        <v xml:space="preserve">    Retail REITs</v>
      </c>
      <c r="B86" t="str">
        <f>"RECFTART Index"</f>
        <v>RECFTART Index</v>
      </c>
      <c r="E86" t="str">
        <f t="shared" si="21"/>
        <v>Expression</v>
      </c>
      <c r="F86">
        <f ca="1">IF(AND($B$183=1,LEN($F$188)&gt;0),$F$188*1000,HLOOKUP(INDIRECT(ADDRESS(2,COLUMN())),OFFSET($BN$2,0,0,ROW()-1,60),ROW()-1,FALSE))</f>
        <v>2012.8409999999999</v>
      </c>
      <c r="G86">
        <f ca="1">IF(AND($B$183=1,LEN($G$188)&gt;0),$G$188*1000,HLOOKUP(INDIRECT(ADDRESS(2,COLUMN())),OFFSET($BN$2,0,0,ROW()-1,60),ROW()-1,FALSE))</f>
        <v>2199.203</v>
      </c>
      <c r="H86">
        <f ca="1">IF(AND($B$183=1,LEN($H$188)&gt;0),$H$188*1000,HLOOKUP(INDIRECT(ADDRESS(2,COLUMN())),OFFSET($BN$2,0,0,ROW()-1,60),ROW()-1,FALSE))</f>
        <v>1903.471</v>
      </c>
      <c r="I86">
        <f ca="1">IF(AND($B$183=1,LEN($I$188)&gt;0),$I$188*1000,HLOOKUP(INDIRECT(ADDRESS(2,COLUMN())),OFFSET($BN$2,0,0,ROW()-1,60),ROW()-1,FALSE))</f>
        <v>2280.4479999999999</v>
      </c>
      <c r="J86">
        <f ca="1">IF(AND($B$183=1,LEN($J$188)&gt;0),$J$188*1000,HLOOKUP(INDIRECT(ADDRESS(2,COLUMN())),OFFSET($BN$2,0,0,ROW()-1,60),ROW()-1,FALSE))</f>
        <v>3097.7359999999999</v>
      </c>
      <c r="K86">
        <f ca="1">IF(AND($B$183=1,LEN($K$188)&gt;0),$K$188*1000,HLOOKUP(INDIRECT(ADDRESS(2,COLUMN())),OFFSET($BN$2,0,0,ROW()-1,60),ROW()-1,FALSE))</f>
        <v>2404.2869999999998</v>
      </c>
      <c r="L86">
        <f ca="1">IF(AND($B$183=1,LEN($L$188)&gt;0),$L$188*1000,HLOOKUP(INDIRECT(ADDRESS(2,COLUMN())),OFFSET($BN$2,0,0,ROW()-1,60),ROW()-1,FALSE))</f>
        <v>3834.4490000000001</v>
      </c>
      <c r="M86">
        <f ca="1">IF(AND($B$183=1,LEN($M$188)&gt;0),$M$188*1000,HLOOKUP(INDIRECT(ADDRESS(2,COLUMN())),OFFSET($BN$2,0,0,ROW()-1,60),ROW()-1,FALSE))</f>
        <v>2964.4380000000001</v>
      </c>
      <c r="N86">
        <f ca="1">IF(AND($B$183=1,LEN($N$188)&gt;0),$N$188*1000,HLOOKUP(INDIRECT(ADDRESS(2,COLUMN())),OFFSET($BN$2,0,0,ROW()-1,60),ROW()-1,FALSE))</f>
        <v>2334.3249999999998</v>
      </c>
      <c r="O86">
        <f ca="1">IF(AND($B$183=1,LEN($O$188)&gt;0),$O$188*1000,HLOOKUP(INDIRECT(ADDRESS(2,COLUMN())),OFFSET($BN$2,0,0,ROW()-1,60),ROW()-1,FALSE))</f>
        <v>4343.5789999999997</v>
      </c>
      <c r="P86">
        <f ca="1">IF(AND($B$183=1,LEN($P$188)&gt;0),$P$188*1000,HLOOKUP(INDIRECT(ADDRESS(2,COLUMN())),OFFSET($BN$2,0,0,ROW()-1,60),ROW()-1,FALSE))</f>
        <v>4497.3950000000004</v>
      </c>
      <c r="Q86">
        <f ca="1">IF(AND($B$183=1,LEN($Q$188)&gt;0),$Q$188*1000,HLOOKUP(INDIRECT(ADDRESS(2,COLUMN())),OFFSET($BN$2,0,0,ROW()-1,60),ROW()-1,FALSE))</f>
        <v>8202.9709999999995</v>
      </c>
      <c r="R86">
        <f ca="1">IF(AND($B$183=1,LEN($R$188)&gt;0),$R$188*1000,HLOOKUP(INDIRECT(ADDRESS(2,COLUMN())),OFFSET($BN$2,0,0,ROW()-1,60),ROW()-1,FALSE))</f>
        <v>6428.8670000000002</v>
      </c>
      <c r="S86">
        <f ca="1">IF(AND($B$183=1,LEN($S$188)&gt;0),$S$188*1000,HLOOKUP(INDIRECT(ADDRESS(2,COLUMN())),OFFSET($BN$2,0,0,ROW()-1,60),ROW()-1,FALSE))</f>
        <v>8739.5290000000005</v>
      </c>
      <c r="T86">
        <f ca="1">IF(AND($B$183=1,LEN($T$188)&gt;0),$T$188*1000,HLOOKUP(INDIRECT(ADDRESS(2,COLUMN())),OFFSET($BN$2,0,0,ROW()-1,60),ROW()-1,FALSE))</f>
        <v>4015.9279999999999</v>
      </c>
      <c r="U86">
        <f ca="1">IF(AND($B$183=1,LEN($U$188)&gt;0),$U$188*1000,HLOOKUP(INDIRECT(ADDRESS(2,COLUMN())),OFFSET($BN$2,0,0,ROW()-1,60),ROW()-1,FALSE))</f>
        <v>15203.627</v>
      </c>
      <c r="V86">
        <f ca="1">IF(AND($B$183=1,LEN($V$188)&gt;0),$V$188*1000,HLOOKUP(INDIRECT(ADDRESS(2,COLUMN())),OFFSET($BN$2,0,0,ROW()-1,60),ROW()-1,FALSE))</f>
        <v>6474.8190000000004</v>
      </c>
      <c r="W86">
        <f ca="1">IF(AND($B$183=1,LEN($W$188)&gt;0),$W$188*1000,HLOOKUP(INDIRECT(ADDRESS(2,COLUMN())),OFFSET($BN$2,0,0,ROW()-1,60),ROW()-1,FALSE))</f>
        <v>9653.9050000000007</v>
      </c>
      <c r="X86">
        <f ca="1">IF(AND($B$183=1,LEN($X$188)&gt;0),$X$188*1000,HLOOKUP(INDIRECT(ADDRESS(2,COLUMN())),OFFSET($BN$2,0,0,ROW()-1,60),ROW()-1,FALSE))</f>
        <v>3891.52</v>
      </c>
      <c r="Y86">
        <f ca="1">IF(AND($B$183=1,LEN($Y$188)&gt;0),$Y$188*1000,HLOOKUP(INDIRECT(ADDRESS(2,COLUMN())),OFFSET($BN$2,0,0,ROW()-1,60),ROW()-1,FALSE))</f>
        <v>6992.991</v>
      </c>
      <c r="Z86">
        <f ca="1">IF(AND($B$183=1,LEN($Z$188)&gt;0),$Z$188*1000,HLOOKUP(INDIRECT(ADDRESS(2,COLUMN())),OFFSET($BN$2,0,0,ROW()-1,60),ROW()-1,FALSE))</f>
        <v>4318.1220000000003</v>
      </c>
      <c r="AA86">
        <f ca="1">IF(AND($B$183=1,LEN($AA$188)&gt;0),$AA$188*1000,HLOOKUP(INDIRECT(ADDRESS(2,COLUMN())),OFFSET($BN$2,0,0,ROW()-1,60),ROW()-1,FALSE))</f>
        <v>1511.192</v>
      </c>
      <c r="AB86">
        <f ca="1">IF(AND($B$183=1,LEN($AB$188)&gt;0),$AB$188*1000,HLOOKUP(INDIRECT(ADDRESS(2,COLUMN())),OFFSET($BN$2,0,0,ROW()-1,60),ROW()-1,FALSE))</f>
        <v>3663.373</v>
      </c>
      <c r="AC86">
        <f ca="1">IF(AND($B$183=1,LEN($AC$188)&gt;0),$AC$188*1000,HLOOKUP(INDIRECT(ADDRESS(2,COLUMN())),OFFSET($BN$2,0,0,ROW()-1,60),ROW()-1,FALSE))</f>
        <v>4841.5950000000003</v>
      </c>
      <c r="AD86">
        <f ca="1">IF(AND($B$183=1,LEN($AD$188)&gt;0),$AD$188*1000,HLOOKUP(INDIRECT(ADDRESS(2,COLUMN())),OFFSET($BN$2,0,0,ROW()-1,60),ROW()-1,FALSE))</f>
        <v>4814.9949999999999</v>
      </c>
      <c r="AE86">
        <f ca="1">IF(AND($B$183=1,LEN($AE$188)&gt;0),$AE$188*1000,HLOOKUP(INDIRECT(ADDRESS(2,COLUMN())),OFFSET($BN$2,0,0,ROW()-1,60),ROW()-1,FALSE))</f>
        <v>2391.768</v>
      </c>
      <c r="AF86">
        <f ca="1">IF(AND($B$183=1,LEN($AF$188)&gt;0),$AF$188*1000,HLOOKUP(INDIRECT(ADDRESS(2,COLUMN())),OFFSET($BN$2,0,0,ROW()-1,60),ROW()-1,FALSE))</f>
        <v>1198.662</v>
      </c>
      <c r="AG86">
        <f ca="1">IF(AND($B$183=1,LEN($AG$188)&gt;0),$AG$188*1000,HLOOKUP(INDIRECT(ADDRESS(2,COLUMN())),OFFSET($BN$2,0,0,ROW()-1,60),ROW()-1,FALSE))</f>
        <v>1676.9269999999999</v>
      </c>
      <c r="AH86">
        <f ca="1">IF(AND($B$183=1,LEN($AH$188)&gt;0),$AH$188*1000,HLOOKUP(INDIRECT(ADDRESS(2,COLUMN())),OFFSET($BN$2,0,0,ROW()-1,60),ROW()-1,FALSE))</f>
        <v>1876.068</v>
      </c>
      <c r="AI86">
        <f ca="1">IF(AND($B$183=1,LEN($AI$188)&gt;0),$AI$188*1000,HLOOKUP(INDIRECT(ADDRESS(2,COLUMN())),OFFSET($BN$2,0,0,ROW()-1,60),ROW()-1,FALSE))</f>
        <v>2975.2860000000001</v>
      </c>
      <c r="AJ86">
        <f ca="1">IF(AND($B$183=1,LEN($AJ$188)&gt;0),$AJ$188*1000,HLOOKUP(INDIRECT(ADDRESS(2,COLUMN())),OFFSET($BN$2,0,0,ROW()-1,60),ROW()-1,FALSE))</f>
        <v>675.38800000000003</v>
      </c>
      <c r="AK86">
        <f ca="1">IF(AND($B$183=1,LEN($AK$188)&gt;0),$AK$188*1000,HLOOKUP(INDIRECT(ADDRESS(2,COLUMN())),OFFSET($BN$2,0,0,ROW()-1,60),ROW()-1,FALSE))</f>
        <v>418.38</v>
      </c>
      <c r="AL86">
        <f ca="1">IF(AND($B$183=1,LEN($AL$188)&gt;0),$AL$188*1000,HLOOKUP(INDIRECT(ADDRESS(2,COLUMN())),OFFSET($BN$2,0,0,ROW()-1,60),ROW()-1,FALSE))</f>
        <v>187.571</v>
      </c>
      <c r="AM86">
        <f ca="1">IF(AND($B$183=1,LEN($AM$188)&gt;0),$AM$188*1000,HLOOKUP(INDIRECT(ADDRESS(2,COLUMN())),OFFSET($BN$2,0,0,ROW()-1,60),ROW()-1,FALSE))</f>
        <v>87.268000000000001</v>
      </c>
      <c r="AN86">
        <f ca="1">IF(AND($B$183=1,LEN($AN$188)&gt;0),$AN$188*1000,HLOOKUP(INDIRECT(ADDRESS(2,COLUMN())),OFFSET($BN$2,0,0,ROW()-1,60),ROW()-1,FALSE))</f>
        <v>0</v>
      </c>
      <c r="AO86">
        <f ca="1">IF(AND($B$183=1,LEN($AO$188)&gt;0),$AO$188*1000,HLOOKUP(INDIRECT(ADDRESS(2,COLUMN())),OFFSET($BN$2,0,0,ROW()-1,60),ROW()-1,FALSE))</f>
        <v>152.6</v>
      </c>
      <c r="AP86">
        <f ca="1">IF(AND($B$183=1,LEN($AP$188)&gt;0),$AP$188*1000,HLOOKUP(INDIRECT(ADDRESS(2,COLUMN())),OFFSET($BN$2,0,0,ROW()-1,60),ROW()-1,FALSE))</f>
        <v>93.994</v>
      </c>
      <c r="AQ86">
        <f ca="1">IF(AND($B$183=1,LEN($AQ$188)&gt;0),$AQ$188*1000,HLOOKUP(INDIRECT(ADDRESS(2,COLUMN())),OFFSET($BN$2,0,0,ROW()-1,60),ROW()-1,FALSE))</f>
        <v>592.952</v>
      </c>
      <c r="AR86">
        <f ca="1">IF(AND($B$183=1,LEN($AR$188)&gt;0),$AR$188*1000,HLOOKUP(INDIRECT(ADDRESS(2,COLUMN())),OFFSET($BN$2,0,0,ROW()-1,60),ROW()-1,FALSE))</f>
        <v>496.92</v>
      </c>
      <c r="AS86">
        <f ca="1">IF(AND($B$183=1,LEN($AS$188)&gt;0),$AS$188*1000,HLOOKUP(INDIRECT(ADDRESS(2,COLUMN())),OFFSET($BN$2,0,0,ROW()-1,60),ROW()-1,FALSE))</f>
        <v>1312.02</v>
      </c>
      <c r="AT86">
        <f ca="1">IF(AND($B$183=1,LEN($AT$188)&gt;0),$AT$188*1000,HLOOKUP(INDIRECT(ADDRESS(2,COLUMN())),OFFSET($BN$2,0,0,ROW()-1,60),ROW()-1,FALSE))</f>
        <v>1072.1690000000001</v>
      </c>
      <c r="AU86">
        <f ca="1">IF(AND($B$183=1,LEN($AU$188)&gt;0),$AU$188*1000,HLOOKUP(INDIRECT(ADDRESS(2,COLUMN())),OFFSET($BN$2,0,0,ROW()-1,60),ROW()-1,FALSE))</f>
        <v>1641.549</v>
      </c>
      <c r="AV86">
        <f ca="1">IF(AND($B$183=1,LEN($AV$188)&gt;0),$AV$188*1000,HLOOKUP(INDIRECT(ADDRESS(2,COLUMN())),OFFSET($BN$2,0,0,ROW()-1,60),ROW()-1,FALSE))</f>
        <v>3516.232</v>
      </c>
      <c r="AW86">
        <f ca="1">IF(AND($B$183=1,LEN($AW$188)&gt;0),$AW$188*1000,HLOOKUP(INDIRECT(ADDRESS(2,COLUMN())),OFFSET($BN$2,0,0,ROW()-1,60),ROW()-1,FALSE))</f>
        <v>8399.9809999999998</v>
      </c>
      <c r="AX86">
        <f ca="1">IF(AND($B$183=1,LEN($AX$188)&gt;0),$AX$188*1000,HLOOKUP(INDIRECT(ADDRESS(2,COLUMN())),OFFSET($BN$2,0,0,ROW()-1,60),ROW()-1,FALSE))</f>
        <v>6146.5079999999998</v>
      </c>
      <c r="AY86">
        <f ca="1">IF(AND($B$183=1,LEN($AY$188)&gt;0),$AY$188*1000,HLOOKUP(INDIRECT(ADDRESS(2,COLUMN())),OFFSET($BN$2,0,0,ROW()-1,60),ROW()-1,FALSE))</f>
        <v>1902.64</v>
      </c>
      <c r="AZ86">
        <f ca="1">IF(AND($B$183=1,LEN($AZ$188)&gt;0),$AZ$188*1000,HLOOKUP(INDIRECT(ADDRESS(2,COLUMN())),OFFSET($BN$2,0,0,ROW()-1,60),ROW()-1,FALSE))</f>
        <v>1403.7660000000001</v>
      </c>
      <c r="BA86">
        <f ca="1">IF(AND($B$183=1,LEN($BA$188)&gt;0),$BA$188*1000,HLOOKUP(INDIRECT(ADDRESS(2,COLUMN())),OFFSET($BN$2,0,0,ROW()-1,60),ROW()-1,FALSE))</f>
        <v>2274.3649999999998</v>
      </c>
      <c r="BB86">
        <f ca="1">IF(AND($B$183=1,LEN($BB$188)&gt;0),$BB$188*1000,HLOOKUP(INDIRECT(ADDRESS(2,COLUMN())),OFFSET($BN$2,0,0,ROW()-1,60),ROW()-1,FALSE))</f>
        <v>2632.1680000000001</v>
      </c>
      <c r="BC86">
        <f ca="1">IF(AND($B$183=1,LEN($BC$188)&gt;0),$BC$188*1000,HLOOKUP(INDIRECT(ADDRESS(2,COLUMN())),OFFSET($BN$2,0,0,ROW()-1,60),ROW()-1,FALSE))</f>
        <v>1676.9069999999999</v>
      </c>
      <c r="BD86">
        <f ca="1">IF(AND($B$183=1,LEN($BD$188)&gt;0),$BD$188*1000,HLOOKUP(INDIRECT(ADDRESS(2,COLUMN())),OFFSET($BN$2,0,0,ROW()-1,60),ROW()-1,FALSE))</f>
        <v>6323.3180000000002</v>
      </c>
      <c r="BE86">
        <f ca="1">IF(AND($B$183=1,LEN($BE$188)&gt;0),$BE$188*1000,HLOOKUP(INDIRECT(ADDRESS(2,COLUMN())),OFFSET($BN$2,0,0,ROW()-1,60),ROW()-1,FALSE))</f>
        <v>4542.1270000000004</v>
      </c>
      <c r="BF86">
        <f ca="1">IF(AND($B$183=1,LEN($BF$188)&gt;0),$BF$188*1000,HLOOKUP(INDIRECT(ADDRESS(2,COLUMN())),OFFSET($BN$2,0,0,ROW()-1,60),ROW()-1,FALSE))</f>
        <v>16917.915000000001</v>
      </c>
      <c r="BG86">
        <f ca="1">IF(AND($B$183=1,LEN($BG$188)&gt;0),$BG$188*1000,HLOOKUP(INDIRECT(ADDRESS(2,COLUMN())),OFFSET($BN$2,0,0,ROW()-1,60),ROW()-1,FALSE))</f>
        <v>1624.646</v>
      </c>
      <c r="BH86">
        <f ca="1">IF(AND($B$183=1,LEN($BH$188)&gt;0),$BH$188*1000,HLOOKUP(INDIRECT(ADDRESS(2,COLUMN())),OFFSET($BN$2,0,0,ROW()-1,60),ROW()-1,FALSE))</f>
        <v>5481.723</v>
      </c>
      <c r="BI86">
        <f ca="1">IF(AND($B$183=1,LEN($BI$188)&gt;0),$BI$188*1000,HLOOKUP(INDIRECT(ADDRESS(2,COLUMN())),OFFSET($BN$2,0,0,ROW()-1,60),ROW()-1,FALSE))</f>
        <v>2037.856</v>
      </c>
      <c r="BJ86">
        <f ca="1">IF(AND($B$183=1,LEN($BJ$188)&gt;0),$BJ$188*1000,HLOOKUP(INDIRECT(ADDRESS(2,COLUMN())),OFFSET($BN$2,0,0,ROW()-1,60),ROW()-1,FALSE))</f>
        <v>957.85199999999998</v>
      </c>
      <c r="BK86">
        <f ca="1">IF(AND($B$183=1,LEN($BK$188)&gt;0),$BK$188*1000,HLOOKUP(INDIRECT(ADDRESS(2,COLUMN())),OFFSET($BN$2,0,0,ROW()-1,60),ROW()-1,FALSE))</f>
        <v>4.8</v>
      </c>
      <c r="BL86">
        <f ca="1">IF(AND($B$183=1,LEN($BL$188)&gt;0),$BL$188*1000,HLOOKUP(INDIRECT(ADDRESS(2,COLUMN())),OFFSET($BN$2,0,0,ROW()-1,60),ROW()-1,FALSE))</f>
        <v>298.60000000000002</v>
      </c>
      <c r="BM86">
        <f ca="1">IF(AND($B$183=1,LEN($BM$188)&gt;0),$BM$188*1000,HLOOKUP(INDIRECT(ADDRESS(2,COLUMN())),OFFSET($BN$2,0,0,ROW()-1,60),ROW()-1,FALSE))</f>
        <v>1297.0999999999999</v>
      </c>
      <c r="BN86">
        <f>2012.841</f>
        <v>2012.8409999999999</v>
      </c>
      <c r="BO86">
        <f>2199.203</f>
        <v>2199.203</v>
      </c>
      <c r="BP86">
        <f>1903.471</f>
        <v>1903.471</v>
      </c>
      <c r="BQ86">
        <f>2280.448</f>
        <v>2280.4479999999999</v>
      </c>
      <c r="BR86">
        <f>3097.736</f>
        <v>3097.7359999999999</v>
      </c>
      <c r="BS86">
        <f>2404.287</f>
        <v>2404.2869999999998</v>
      </c>
      <c r="BT86">
        <f>3834.449</f>
        <v>3834.4490000000001</v>
      </c>
      <c r="BU86">
        <f>2964.438</f>
        <v>2964.4380000000001</v>
      </c>
      <c r="BV86">
        <f>2334.325</f>
        <v>2334.3249999999998</v>
      </c>
      <c r="BW86">
        <f>4343.579</f>
        <v>4343.5789999999997</v>
      </c>
      <c r="BX86">
        <f>4497.395</f>
        <v>4497.3950000000004</v>
      </c>
      <c r="BY86">
        <f>8202.971</f>
        <v>8202.9709999999995</v>
      </c>
      <c r="BZ86">
        <f>6428.867</f>
        <v>6428.8670000000002</v>
      </c>
      <c r="CA86">
        <f>8739.529</f>
        <v>8739.5290000000005</v>
      </c>
      <c r="CB86">
        <f>4015.928</f>
        <v>4015.9279999999999</v>
      </c>
      <c r="CC86">
        <f>15203.627</f>
        <v>15203.627</v>
      </c>
      <c r="CD86">
        <f>6474.819</f>
        <v>6474.8190000000004</v>
      </c>
      <c r="CE86">
        <f>9653.905</f>
        <v>9653.9050000000007</v>
      </c>
      <c r="CF86">
        <f>3891.52</f>
        <v>3891.52</v>
      </c>
      <c r="CG86">
        <f>6992.991</f>
        <v>6992.991</v>
      </c>
      <c r="CH86">
        <f>4318.122</f>
        <v>4318.1220000000003</v>
      </c>
      <c r="CI86">
        <f>1511.192</f>
        <v>1511.192</v>
      </c>
      <c r="CJ86">
        <f>3663.373</f>
        <v>3663.373</v>
      </c>
      <c r="CK86">
        <f>4841.595</f>
        <v>4841.5950000000003</v>
      </c>
      <c r="CL86">
        <f>4814.995</f>
        <v>4814.9949999999999</v>
      </c>
      <c r="CM86">
        <f>2391.768</f>
        <v>2391.768</v>
      </c>
      <c r="CN86">
        <f>1198.662</f>
        <v>1198.662</v>
      </c>
      <c r="CO86">
        <f>1676.927</f>
        <v>1676.9269999999999</v>
      </c>
      <c r="CP86">
        <f>1876.068</f>
        <v>1876.068</v>
      </c>
      <c r="CQ86">
        <f>2975.286</f>
        <v>2975.2860000000001</v>
      </c>
      <c r="CR86">
        <f>675.388</f>
        <v>675.38800000000003</v>
      </c>
      <c r="CS86">
        <f>418.38</f>
        <v>418.38</v>
      </c>
      <c r="CT86">
        <f>187.571</f>
        <v>187.571</v>
      </c>
      <c r="CU86">
        <f>87.268</f>
        <v>87.268000000000001</v>
      </c>
      <c r="CV86">
        <f>0</f>
        <v>0</v>
      </c>
      <c r="CW86">
        <f>152.6</f>
        <v>152.6</v>
      </c>
      <c r="CX86">
        <f>93.994</f>
        <v>93.994</v>
      </c>
      <c r="CY86">
        <f>592.952</f>
        <v>592.952</v>
      </c>
      <c r="CZ86">
        <f>496.92</f>
        <v>496.92</v>
      </c>
      <c r="DA86">
        <f>1312.02</f>
        <v>1312.02</v>
      </c>
      <c r="DB86">
        <f>1072.169</f>
        <v>1072.1690000000001</v>
      </c>
      <c r="DC86">
        <f>1641.549</f>
        <v>1641.549</v>
      </c>
      <c r="DD86">
        <f>3516.232</f>
        <v>3516.232</v>
      </c>
      <c r="DE86">
        <f>8399.981</f>
        <v>8399.9809999999998</v>
      </c>
      <c r="DF86">
        <f>6146.508</f>
        <v>6146.5079999999998</v>
      </c>
      <c r="DG86">
        <f>1902.64</f>
        <v>1902.64</v>
      </c>
      <c r="DH86">
        <f>1403.766</f>
        <v>1403.7660000000001</v>
      </c>
      <c r="DI86">
        <f>2274.365</f>
        <v>2274.3649999999998</v>
      </c>
      <c r="DJ86">
        <f>2632.168</f>
        <v>2632.1680000000001</v>
      </c>
      <c r="DK86">
        <f>1676.907</f>
        <v>1676.9069999999999</v>
      </c>
      <c r="DL86">
        <f>6323.318</f>
        <v>6323.3180000000002</v>
      </c>
      <c r="DM86">
        <f>4542.127</f>
        <v>4542.1270000000004</v>
      </c>
      <c r="DN86">
        <f>16917.915</f>
        <v>16917.915000000001</v>
      </c>
      <c r="DO86">
        <f>1624.646</f>
        <v>1624.646</v>
      </c>
      <c r="DP86">
        <f>5481.723</f>
        <v>5481.723</v>
      </c>
      <c r="DQ86">
        <f>2037.856</f>
        <v>2037.856</v>
      </c>
      <c r="DR86">
        <f>957.852</f>
        <v>957.85199999999998</v>
      </c>
      <c r="DS86">
        <f>4.8</f>
        <v>4.8</v>
      </c>
      <c r="DT86">
        <f>298.6</f>
        <v>298.60000000000002</v>
      </c>
      <c r="DU86">
        <f>1297.1</f>
        <v>1297.0999999999999</v>
      </c>
    </row>
    <row r="87" spans="1:125">
      <c r="A87" t="str">
        <f>"    Shopping Center REITs"</f>
        <v xml:space="preserve">    Shopping Center REITs</v>
      </c>
      <c r="B87" t="str">
        <f>"RECFTASC Index"</f>
        <v>RECFTASC Index</v>
      </c>
      <c r="E87" t="str">
        <f t="shared" si="21"/>
        <v>Expression</v>
      </c>
      <c r="F87">
        <f ca="1">IF(AND($B$183=1,LEN($F$189)&gt;0),$F$189*1000,HLOOKUP(INDIRECT(ADDRESS(2,COLUMN())),OFFSET($BN$2,0,0,ROW()-1,60),ROW()-1,FALSE))</f>
        <v>645.40300000000002</v>
      </c>
      <c r="G87">
        <f ca="1">IF(AND($B$183=1,LEN($G$189)&gt;0),$G$189*1000,HLOOKUP(INDIRECT(ADDRESS(2,COLUMN())),OFFSET($BN$2,0,0,ROW()-1,60),ROW()-1,FALSE))</f>
        <v>757.23500000000001</v>
      </c>
      <c r="H87">
        <f ca="1">IF(AND($B$183=1,LEN($H$189)&gt;0),$H$189*1000,HLOOKUP(INDIRECT(ADDRESS(2,COLUMN())),OFFSET($BN$2,0,0,ROW()-1,60),ROW()-1,FALSE))</f>
        <v>579.70100000000002</v>
      </c>
      <c r="I87">
        <f ca="1">IF(AND($B$183=1,LEN($I$189)&gt;0),$I$189*1000,HLOOKUP(INDIRECT(ADDRESS(2,COLUMN())),OFFSET($BN$2,0,0,ROW()-1,60),ROW()-1,FALSE))</f>
        <v>1011.46</v>
      </c>
      <c r="J87">
        <f ca="1">IF(AND($B$183=1,LEN($J$189)&gt;0),$J$189*1000,HLOOKUP(INDIRECT(ADDRESS(2,COLUMN())),OFFSET($BN$2,0,0,ROW()-1,60),ROW()-1,FALSE))</f>
        <v>1074.057</v>
      </c>
      <c r="K87">
        <f ca="1">IF(AND($B$183=1,LEN($K$189)&gt;0),$K$189*1000,HLOOKUP(INDIRECT(ADDRESS(2,COLUMN())),OFFSET($BN$2,0,0,ROW()-1,60),ROW()-1,FALSE))</f>
        <v>1264.896</v>
      </c>
      <c r="L87">
        <f ca="1">IF(AND($B$183=1,LEN($L$189)&gt;0),$L$189*1000,HLOOKUP(INDIRECT(ADDRESS(2,COLUMN())),OFFSET($BN$2,0,0,ROW()-1,60),ROW()-1,FALSE))</f>
        <v>1336.038</v>
      </c>
      <c r="M87">
        <f ca="1">IF(AND($B$183=1,LEN($M$189)&gt;0),$M$189*1000,HLOOKUP(INDIRECT(ADDRESS(2,COLUMN())),OFFSET($BN$2,0,0,ROW()-1,60),ROW()-1,FALSE))</f>
        <v>693.81600000000003</v>
      </c>
      <c r="N87">
        <f ca="1">IF(AND($B$183=1,LEN($N$189)&gt;0),$N$189*1000,HLOOKUP(INDIRECT(ADDRESS(2,COLUMN())),OFFSET($BN$2,0,0,ROW()-1,60),ROW()-1,FALSE))</f>
        <v>1260.5419999999999</v>
      </c>
      <c r="O87">
        <f ca="1">IF(AND($B$183=1,LEN($O$189)&gt;0),$O$189*1000,HLOOKUP(INDIRECT(ADDRESS(2,COLUMN())),OFFSET($BN$2,0,0,ROW()-1,60),ROW()-1,FALSE))</f>
        <v>801.18299999999999</v>
      </c>
      <c r="P87">
        <f ca="1">IF(AND($B$183=1,LEN($P$189)&gt;0),$P$189*1000,HLOOKUP(INDIRECT(ADDRESS(2,COLUMN())),OFFSET($BN$2,0,0,ROW()-1,60),ROW()-1,FALSE))</f>
        <v>961.01900000000001</v>
      </c>
      <c r="Q87">
        <f ca="1">IF(AND($B$183=1,LEN($Q$189)&gt;0),$Q$189*1000,HLOOKUP(INDIRECT(ADDRESS(2,COLUMN())),OFFSET($BN$2,0,0,ROW()-1,60),ROW()-1,FALSE))</f>
        <v>2103.5100000000002</v>
      </c>
      <c r="R87">
        <f ca="1">IF(AND($B$183=1,LEN($R$189)&gt;0),$R$189*1000,HLOOKUP(INDIRECT(ADDRESS(2,COLUMN())),OFFSET($BN$2,0,0,ROW()-1,60),ROW()-1,FALSE))</f>
        <v>3160.8330000000001</v>
      </c>
      <c r="S87">
        <f ca="1">IF(AND($B$183=1,LEN($S$189)&gt;0),$S$189*1000,HLOOKUP(INDIRECT(ADDRESS(2,COLUMN())),OFFSET($BN$2,0,0,ROW()-1,60),ROW()-1,FALSE))</f>
        <v>3581.8429999999998</v>
      </c>
      <c r="T87">
        <f ca="1">IF(AND($B$183=1,LEN($T$189)&gt;0),$T$189*1000,HLOOKUP(INDIRECT(ADDRESS(2,COLUMN())),OFFSET($BN$2,0,0,ROW()-1,60),ROW()-1,FALSE))</f>
        <v>1598.598</v>
      </c>
      <c r="U87">
        <f ca="1">IF(AND($B$183=1,LEN($U$189)&gt;0),$U$189*1000,HLOOKUP(INDIRECT(ADDRESS(2,COLUMN())),OFFSET($BN$2,0,0,ROW()-1,60),ROW()-1,FALSE))</f>
        <v>1106.7370000000001</v>
      </c>
      <c r="V87">
        <f ca="1">IF(AND($B$183=1,LEN($V$189)&gt;0),$V$189*1000,HLOOKUP(INDIRECT(ADDRESS(2,COLUMN())),OFFSET($BN$2,0,0,ROW()-1,60),ROW()-1,FALSE))</f>
        <v>3240.6190000000001</v>
      </c>
      <c r="W87">
        <f ca="1">IF(AND($B$183=1,LEN($W$189)&gt;0),$W$189*1000,HLOOKUP(INDIRECT(ADDRESS(2,COLUMN())),OFFSET($BN$2,0,0,ROW()-1,60),ROW()-1,FALSE))</f>
        <v>1205.6780000000001</v>
      </c>
      <c r="X87">
        <f ca="1">IF(AND($B$183=1,LEN($X$189)&gt;0),$X$189*1000,HLOOKUP(INDIRECT(ADDRESS(2,COLUMN())),OFFSET($BN$2,0,0,ROW()-1,60),ROW()-1,FALSE))</f>
        <v>947.50099999999998</v>
      </c>
      <c r="Y87">
        <f ca="1">IF(AND($B$183=1,LEN($Y$189)&gt;0),$Y$189*1000,HLOOKUP(INDIRECT(ADDRESS(2,COLUMN())),OFFSET($BN$2,0,0,ROW()-1,60),ROW()-1,FALSE))</f>
        <v>1075.222</v>
      </c>
      <c r="Z87">
        <f ca="1">IF(AND($B$183=1,LEN($Z$189)&gt;0),$Z$189*1000,HLOOKUP(INDIRECT(ADDRESS(2,COLUMN())),OFFSET($BN$2,0,0,ROW()-1,60),ROW()-1,FALSE))</f>
        <v>1843.694</v>
      </c>
      <c r="AA87">
        <f ca="1">IF(AND($B$183=1,LEN($AA$189)&gt;0),$AA$189*1000,HLOOKUP(INDIRECT(ADDRESS(2,COLUMN())),OFFSET($BN$2,0,0,ROW()-1,60),ROW()-1,FALSE))</f>
        <v>780.97799999999995</v>
      </c>
      <c r="AB87">
        <f ca="1">IF(AND($B$183=1,LEN($AB$189)&gt;0),$AB$189*1000,HLOOKUP(INDIRECT(ADDRESS(2,COLUMN())),OFFSET($BN$2,0,0,ROW()-1,60),ROW()-1,FALSE))</f>
        <v>2259.942</v>
      </c>
      <c r="AC87">
        <f ca="1">IF(AND($B$183=1,LEN($AC$189)&gt;0),$AC$189*1000,HLOOKUP(INDIRECT(ADDRESS(2,COLUMN())),OFFSET($BN$2,0,0,ROW()-1,60),ROW()-1,FALSE))</f>
        <v>883.25199999999995</v>
      </c>
      <c r="AD87">
        <f ca="1">IF(AND($B$183=1,LEN($AD$189)&gt;0),$AD$189*1000,HLOOKUP(INDIRECT(ADDRESS(2,COLUMN())),OFFSET($BN$2,0,0,ROW()-1,60),ROW()-1,FALSE))</f>
        <v>1590.999</v>
      </c>
      <c r="AE87">
        <f ca="1">IF(AND($B$183=1,LEN($AE$189)&gt;0),$AE$189*1000,HLOOKUP(INDIRECT(ADDRESS(2,COLUMN())),OFFSET($BN$2,0,0,ROW()-1,60),ROW()-1,FALSE))</f>
        <v>1102.79</v>
      </c>
      <c r="AF87">
        <f ca="1">IF(AND($B$183=1,LEN($AF$189)&gt;0),$AF$189*1000,HLOOKUP(INDIRECT(ADDRESS(2,COLUMN())),OFFSET($BN$2,0,0,ROW()-1,60),ROW()-1,FALSE))</f>
        <v>674.79100000000005</v>
      </c>
      <c r="AG87">
        <f ca="1">IF(AND($B$183=1,LEN($AG$189)&gt;0),$AG$189*1000,HLOOKUP(INDIRECT(ADDRESS(2,COLUMN())),OFFSET($BN$2,0,0,ROW()-1,60),ROW()-1,FALSE))</f>
        <v>1083.1410000000001</v>
      </c>
      <c r="AH87">
        <f ca="1">IF(AND($B$183=1,LEN($AH$189)&gt;0),$AH$189*1000,HLOOKUP(INDIRECT(ADDRESS(2,COLUMN())),OFFSET($BN$2,0,0,ROW()-1,60),ROW()-1,FALSE))</f>
        <v>969.5</v>
      </c>
      <c r="AI87">
        <f ca="1">IF(AND($B$183=1,LEN($AI$189)&gt;0),$AI$189*1000,HLOOKUP(INDIRECT(ADDRESS(2,COLUMN())),OFFSET($BN$2,0,0,ROW()-1,60),ROW()-1,FALSE))</f>
        <v>566.81600000000003</v>
      </c>
      <c r="AJ87">
        <f ca="1">IF(AND($B$183=1,LEN($AJ$189)&gt;0),$AJ$189*1000,HLOOKUP(INDIRECT(ADDRESS(2,COLUMN())),OFFSET($BN$2,0,0,ROW()-1,60),ROW()-1,FALSE))</f>
        <v>235.63</v>
      </c>
      <c r="AK87">
        <f ca="1">IF(AND($B$183=1,LEN($AK$189)&gt;0),$AK$189*1000,HLOOKUP(INDIRECT(ADDRESS(2,COLUMN())),OFFSET($BN$2,0,0,ROW()-1,60),ROW()-1,FALSE))</f>
        <v>378.30399999999997</v>
      </c>
      <c r="AL87">
        <f ca="1">IF(AND($B$183=1,LEN($AL$189)&gt;0),$AL$189*1000,HLOOKUP(INDIRECT(ADDRESS(2,COLUMN())),OFFSET($BN$2,0,0,ROW()-1,60),ROW()-1,FALSE))</f>
        <v>134.565</v>
      </c>
      <c r="AM87">
        <f ca="1">IF(AND($B$183=1,LEN($AM$189)&gt;0),$AM$189*1000,HLOOKUP(INDIRECT(ADDRESS(2,COLUMN())),OFFSET($BN$2,0,0,ROW()-1,60),ROW()-1,FALSE))</f>
        <v>17.884</v>
      </c>
      <c r="AN87">
        <f ca="1">IF(AND($B$183=1,LEN($AN$189)&gt;0),$AN$189*1000,HLOOKUP(INDIRECT(ADDRESS(2,COLUMN())),OFFSET($BN$2,0,0,ROW()-1,60),ROW()-1,FALSE))</f>
        <v>0</v>
      </c>
      <c r="AO87">
        <f ca="1">IF(AND($B$183=1,LEN($AO$189)&gt;0),$AO$189*1000,HLOOKUP(INDIRECT(ADDRESS(2,COLUMN())),OFFSET($BN$2,0,0,ROW()-1,60),ROW()-1,FALSE))</f>
        <v>151.30000000000001</v>
      </c>
      <c r="AP87">
        <f ca="1">IF(AND($B$183=1,LEN($AP$189)&gt;0),$AP$189*1000,HLOOKUP(INDIRECT(ADDRESS(2,COLUMN())),OFFSET($BN$2,0,0,ROW()-1,60),ROW()-1,FALSE))</f>
        <v>55.692</v>
      </c>
      <c r="AQ87">
        <f ca="1">IF(AND($B$183=1,LEN($AQ$189)&gt;0),$AQ$189*1000,HLOOKUP(INDIRECT(ADDRESS(2,COLUMN())),OFFSET($BN$2,0,0,ROW()-1,60),ROW()-1,FALSE))</f>
        <v>524.44200000000001</v>
      </c>
      <c r="AR87">
        <f ca="1">IF(AND($B$183=1,LEN($AR$189)&gt;0),$AR$189*1000,HLOOKUP(INDIRECT(ADDRESS(2,COLUMN())),OFFSET($BN$2,0,0,ROW()-1,60),ROW()-1,FALSE))</f>
        <v>390.97300000000001</v>
      </c>
      <c r="AS87">
        <f ca="1">IF(AND($B$183=1,LEN($AS$189)&gt;0),$AS$189*1000,HLOOKUP(INDIRECT(ADDRESS(2,COLUMN())),OFFSET($BN$2,0,0,ROW()-1,60),ROW()-1,FALSE))</f>
        <v>291.07100000000003</v>
      </c>
      <c r="AT87">
        <f ca="1">IF(AND($B$183=1,LEN($AT$189)&gt;0),$AT$189*1000,HLOOKUP(INDIRECT(ADDRESS(2,COLUMN())),OFFSET($BN$2,0,0,ROW()-1,60),ROW()-1,FALSE))</f>
        <v>695.26300000000003</v>
      </c>
      <c r="AU87">
        <f ca="1">IF(AND($B$183=1,LEN($AU$189)&gt;0),$AU$189*1000,HLOOKUP(INDIRECT(ADDRESS(2,COLUMN())),OFFSET($BN$2,0,0,ROW()-1,60),ROW()-1,FALSE))</f>
        <v>1181.941</v>
      </c>
      <c r="AV87">
        <f ca="1">IF(AND($B$183=1,LEN($AV$189)&gt;0),$AV$189*1000,HLOOKUP(INDIRECT(ADDRESS(2,COLUMN())),OFFSET($BN$2,0,0,ROW()-1,60),ROW()-1,FALSE))</f>
        <v>3140.1689999999999</v>
      </c>
      <c r="AW87">
        <f ca="1">IF(AND($B$183=1,LEN($AW$189)&gt;0),$AW$189*1000,HLOOKUP(INDIRECT(ADDRESS(2,COLUMN())),OFFSET($BN$2,0,0,ROW()-1,60),ROW()-1,FALSE))</f>
        <v>8178.5379999999996</v>
      </c>
      <c r="AX87">
        <f ca="1">IF(AND($B$183=1,LEN($AX$189)&gt;0),$AX$189*1000,HLOOKUP(INDIRECT(ADDRESS(2,COLUMN())),OFFSET($BN$2,0,0,ROW()-1,60),ROW()-1,FALSE))</f>
        <v>4983.3230000000003</v>
      </c>
      <c r="AY87">
        <f ca="1">IF(AND($B$183=1,LEN($AY$189)&gt;0),$AY$189*1000,HLOOKUP(INDIRECT(ADDRESS(2,COLUMN())),OFFSET($BN$2,0,0,ROW()-1,60),ROW()-1,FALSE))</f>
        <v>1664.797</v>
      </c>
      <c r="AZ87">
        <f ca="1">IF(AND($B$183=1,LEN($AZ$189)&gt;0),$AZ$189*1000,HLOOKUP(INDIRECT(ADDRESS(2,COLUMN())),OFFSET($BN$2,0,0,ROW()-1,60),ROW()-1,FALSE))</f>
        <v>1244.2249999999999</v>
      </c>
      <c r="BA87">
        <f ca="1">IF(AND($B$183=1,LEN($BA$189)&gt;0),$BA$189*1000,HLOOKUP(INDIRECT(ADDRESS(2,COLUMN())),OFFSET($BN$2,0,0,ROW()-1,60),ROW()-1,FALSE))</f>
        <v>1825.5840000000001</v>
      </c>
      <c r="BB87">
        <f ca="1">IF(AND($B$183=1,LEN($BB$189)&gt;0),$BB$189*1000,HLOOKUP(INDIRECT(ADDRESS(2,COLUMN())),OFFSET($BN$2,0,0,ROW()-1,60),ROW()-1,FALSE))</f>
        <v>1227.6600000000001</v>
      </c>
      <c r="BC87">
        <f ca="1">IF(AND($B$183=1,LEN($BC$189)&gt;0),$BC$189*1000,HLOOKUP(INDIRECT(ADDRESS(2,COLUMN())),OFFSET($BN$2,0,0,ROW()-1,60),ROW()-1,FALSE))</f>
        <v>1206.846</v>
      </c>
      <c r="BD87">
        <f ca="1">IF(AND($B$183=1,LEN($BD$189)&gt;0),$BD$189*1000,HLOOKUP(INDIRECT(ADDRESS(2,COLUMN())),OFFSET($BN$2,0,0,ROW()-1,60),ROW()-1,FALSE))</f>
        <v>3746.96</v>
      </c>
      <c r="BE87">
        <f ca="1">IF(AND($B$183=1,LEN($BE$189)&gt;0),$BE$189*1000,HLOOKUP(INDIRECT(ADDRESS(2,COLUMN())),OFFSET($BN$2,0,0,ROW()-1,60),ROW()-1,FALSE))</f>
        <v>2321.5070000000001</v>
      </c>
      <c r="BF87">
        <f ca="1">IF(AND($B$183=1,LEN($BF$189)&gt;0),$BF$189*1000,HLOOKUP(INDIRECT(ADDRESS(2,COLUMN())),OFFSET($BN$2,0,0,ROW()-1,60),ROW()-1,FALSE))</f>
        <v>1937.644</v>
      </c>
      <c r="BG87">
        <f ca="1">IF(AND($B$183=1,LEN($BG$189)&gt;0),$BG$189*1000,HLOOKUP(INDIRECT(ADDRESS(2,COLUMN())),OFFSET($BN$2,0,0,ROW()-1,60),ROW()-1,FALSE))</f>
        <v>863.95799999999997</v>
      </c>
      <c r="BH87">
        <f ca="1">IF(AND($B$183=1,LEN($BH$189)&gt;0),$BH$189*1000,HLOOKUP(INDIRECT(ADDRESS(2,COLUMN())),OFFSET($BN$2,0,0,ROW()-1,60),ROW()-1,FALSE))</f>
        <v>3688.6689999999999</v>
      </c>
      <c r="BI87">
        <f ca="1">IF(AND($B$183=1,LEN($BI$189)&gt;0),$BI$189*1000,HLOOKUP(INDIRECT(ADDRESS(2,COLUMN())),OFFSET($BN$2,0,0,ROW()-1,60),ROW()-1,FALSE))</f>
        <v>1169.2460000000001</v>
      </c>
      <c r="BJ87">
        <f ca="1">IF(AND($B$183=1,LEN($BJ$189)&gt;0),$BJ$189*1000,HLOOKUP(INDIRECT(ADDRESS(2,COLUMN())),OFFSET($BN$2,0,0,ROW()-1,60),ROW()-1,FALSE))</f>
        <v>954.15200000000004</v>
      </c>
      <c r="BK87">
        <f ca="1">IF(AND($B$183=1,LEN($BK$189)&gt;0),$BK$189*1000,HLOOKUP(INDIRECT(ADDRESS(2,COLUMN())),OFFSET($BN$2,0,0,ROW()-1,60),ROW()-1,FALSE))</f>
        <v>0</v>
      </c>
      <c r="BL87">
        <f ca="1">IF(AND($B$183=1,LEN($BL$189)&gt;0),$BL$189*1000,HLOOKUP(INDIRECT(ADDRESS(2,COLUMN())),OFFSET($BN$2,0,0,ROW()-1,60),ROW()-1,FALSE))</f>
        <v>298.60000000000002</v>
      </c>
      <c r="BM87">
        <f ca="1">IF(AND($B$183=1,LEN($BM$189)&gt;0),$BM$189*1000,HLOOKUP(INDIRECT(ADDRESS(2,COLUMN())),OFFSET($BN$2,0,0,ROW()-1,60),ROW()-1,FALSE))</f>
        <v>1297.0999999999999</v>
      </c>
      <c r="BN87">
        <f>645.403</f>
        <v>645.40300000000002</v>
      </c>
      <c r="BO87">
        <f>757.235</f>
        <v>757.23500000000001</v>
      </c>
      <c r="BP87">
        <f>579.701</f>
        <v>579.70100000000002</v>
      </c>
      <c r="BQ87">
        <f>1011.46</f>
        <v>1011.46</v>
      </c>
      <c r="BR87">
        <f>1074.057</f>
        <v>1074.057</v>
      </c>
      <c r="BS87">
        <f>1264.896</f>
        <v>1264.896</v>
      </c>
      <c r="BT87">
        <f>1336.038</f>
        <v>1336.038</v>
      </c>
      <c r="BU87">
        <f>693.816</f>
        <v>693.81600000000003</v>
      </c>
      <c r="BV87">
        <f>1260.542</f>
        <v>1260.5419999999999</v>
      </c>
      <c r="BW87">
        <f>801.183</f>
        <v>801.18299999999999</v>
      </c>
      <c r="BX87">
        <f>961.019</f>
        <v>961.01900000000001</v>
      </c>
      <c r="BY87">
        <f>2103.51</f>
        <v>2103.5100000000002</v>
      </c>
      <c r="BZ87">
        <f>3160.833</f>
        <v>3160.8330000000001</v>
      </c>
      <c r="CA87">
        <f>3581.843</f>
        <v>3581.8429999999998</v>
      </c>
      <c r="CB87">
        <f>1598.598</f>
        <v>1598.598</v>
      </c>
      <c r="CC87">
        <f>1106.737</f>
        <v>1106.7370000000001</v>
      </c>
      <c r="CD87">
        <f>3240.619</f>
        <v>3240.6190000000001</v>
      </c>
      <c r="CE87">
        <f>1205.678</f>
        <v>1205.6780000000001</v>
      </c>
      <c r="CF87">
        <f>947.501</f>
        <v>947.50099999999998</v>
      </c>
      <c r="CG87">
        <f>1075.222</f>
        <v>1075.222</v>
      </c>
      <c r="CH87">
        <f>1843.694</f>
        <v>1843.694</v>
      </c>
      <c r="CI87">
        <f>780.978</f>
        <v>780.97799999999995</v>
      </c>
      <c r="CJ87">
        <f>2259.942</f>
        <v>2259.942</v>
      </c>
      <c r="CK87">
        <f>883.252</f>
        <v>883.25199999999995</v>
      </c>
      <c r="CL87">
        <f>1590.999</f>
        <v>1590.999</v>
      </c>
      <c r="CM87">
        <f>1102.79</f>
        <v>1102.79</v>
      </c>
      <c r="CN87">
        <f>674.791</f>
        <v>674.79100000000005</v>
      </c>
      <c r="CO87">
        <f>1083.141</f>
        <v>1083.1410000000001</v>
      </c>
      <c r="CP87">
        <f>969.5</f>
        <v>969.5</v>
      </c>
      <c r="CQ87">
        <f>566.816</f>
        <v>566.81600000000003</v>
      </c>
      <c r="CR87">
        <f>235.63</f>
        <v>235.63</v>
      </c>
      <c r="CS87">
        <f>378.304</f>
        <v>378.30399999999997</v>
      </c>
      <c r="CT87">
        <f>134.565</f>
        <v>134.565</v>
      </c>
      <c r="CU87">
        <f>17.884</f>
        <v>17.884</v>
      </c>
      <c r="CV87">
        <f>0</f>
        <v>0</v>
      </c>
      <c r="CW87">
        <f>151.3</f>
        <v>151.30000000000001</v>
      </c>
      <c r="CX87">
        <f>55.692</f>
        <v>55.692</v>
      </c>
      <c r="CY87">
        <f>524.442</f>
        <v>524.44200000000001</v>
      </c>
      <c r="CZ87">
        <f>390.973</f>
        <v>390.97300000000001</v>
      </c>
      <c r="DA87">
        <f>291.071</f>
        <v>291.07100000000003</v>
      </c>
      <c r="DB87">
        <f>695.263</f>
        <v>695.26300000000003</v>
      </c>
      <c r="DC87">
        <f>1181.941</f>
        <v>1181.941</v>
      </c>
      <c r="DD87">
        <f>3140.169</f>
        <v>3140.1689999999999</v>
      </c>
      <c r="DE87">
        <f>8178.538</f>
        <v>8178.5379999999996</v>
      </c>
      <c r="DF87">
        <f>4983.323</f>
        <v>4983.3230000000003</v>
      </c>
      <c r="DG87">
        <f>1664.797</f>
        <v>1664.797</v>
      </c>
      <c r="DH87">
        <f>1244.225</f>
        <v>1244.2249999999999</v>
      </c>
      <c r="DI87">
        <f>1825.584</f>
        <v>1825.5840000000001</v>
      </c>
      <c r="DJ87">
        <f>1227.66</f>
        <v>1227.6600000000001</v>
      </c>
      <c r="DK87">
        <f>1206.846</f>
        <v>1206.846</v>
      </c>
      <c r="DL87">
        <f>3746.96</f>
        <v>3746.96</v>
      </c>
      <c r="DM87">
        <f>2321.507</f>
        <v>2321.5070000000001</v>
      </c>
      <c r="DN87">
        <f>1937.644</f>
        <v>1937.644</v>
      </c>
      <c r="DO87">
        <f>863.958</f>
        <v>863.95799999999997</v>
      </c>
      <c r="DP87">
        <f>3688.669</f>
        <v>3688.6689999999999</v>
      </c>
      <c r="DQ87">
        <f>1169.246</f>
        <v>1169.2460000000001</v>
      </c>
      <c r="DR87">
        <f>954.152</f>
        <v>954.15200000000004</v>
      </c>
      <c r="DS87">
        <f>0</f>
        <v>0</v>
      </c>
      <c r="DT87">
        <f>298.6</f>
        <v>298.60000000000002</v>
      </c>
      <c r="DU87">
        <f>1297.1</f>
        <v>1297.0999999999999</v>
      </c>
    </row>
    <row r="88" spans="1:125">
      <c r="A88" t="str">
        <f>"    Regional Mall REITs"</f>
        <v xml:space="preserve">    Regional Mall REITs</v>
      </c>
      <c r="B88" t="str">
        <f>"RECFTARM Index"</f>
        <v>RECFTARM Index</v>
      </c>
      <c r="E88" t="str">
        <f t="shared" si="21"/>
        <v>Expression</v>
      </c>
      <c r="F88">
        <f ca="1">IF(AND($B$183=1,LEN($F$190)&gt;0),$F$190*1000,HLOOKUP(INDIRECT(ADDRESS(2,COLUMN())),OFFSET($BN$2,0,0,ROW()-1,60),ROW()-1,FALSE))</f>
        <v>55</v>
      </c>
      <c r="G88">
        <f ca="1">IF(AND($B$183=1,LEN($G$190)&gt;0),$G$190*1000,HLOOKUP(INDIRECT(ADDRESS(2,COLUMN())),OFFSET($BN$2,0,0,ROW()-1,60),ROW()-1,FALSE))</f>
        <v>430.2</v>
      </c>
      <c r="H88">
        <f ca="1">IF(AND($B$183=1,LEN($H$190)&gt;0),$H$190*1000,HLOOKUP(INDIRECT(ADDRESS(2,COLUMN())),OFFSET($BN$2,0,0,ROW()-1,60),ROW()-1,FALSE))</f>
        <v>237.5</v>
      </c>
      <c r="I88">
        <f ca="1">IF(AND($B$183=1,LEN($I$190)&gt;0),$I$190*1000,HLOOKUP(INDIRECT(ADDRESS(2,COLUMN())),OFFSET($BN$2,0,0,ROW()-1,60),ROW()-1,FALSE))</f>
        <v>149.79900000000001</v>
      </c>
      <c r="J88">
        <f ca="1">IF(AND($B$183=1,LEN($J$190)&gt;0),$J$190*1000,HLOOKUP(INDIRECT(ADDRESS(2,COLUMN())),OFFSET($BN$2,0,0,ROW()-1,60),ROW()-1,FALSE))</f>
        <v>291.89999999999998</v>
      </c>
      <c r="K88">
        <f ca="1">IF(AND($B$183=1,LEN($K$190)&gt;0),$K$190*1000,HLOOKUP(INDIRECT(ADDRESS(2,COLUMN())),OFFSET($BN$2,0,0,ROW()-1,60),ROW()-1,FALSE))</f>
        <v>80</v>
      </c>
      <c r="L88">
        <f ca="1">IF(AND($B$183=1,LEN($L$190)&gt;0),$L$190*1000,HLOOKUP(INDIRECT(ADDRESS(2,COLUMN())),OFFSET($BN$2,0,0,ROW()-1,60),ROW()-1,FALSE))</f>
        <v>1181.5</v>
      </c>
      <c r="M88">
        <f ca="1">IF(AND($B$183=1,LEN($M$190)&gt;0),$M$190*1000,HLOOKUP(INDIRECT(ADDRESS(2,COLUMN())),OFFSET($BN$2,0,0,ROW()-1,60),ROW()-1,FALSE))</f>
        <v>1451.567</v>
      </c>
      <c r="N88">
        <f ca="1">IF(AND($B$183=1,LEN($N$190)&gt;0),$N$190*1000,HLOOKUP(INDIRECT(ADDRESS(2,COLUMN())),OFFSET($BN$2,0,0,ROW()-1,60),ROW()-1,FALSE))</f>
        <v>210</v>
      </c>
      <c r="O88">
        <f ca="1">IF(AND($B$183=1,LEN($O$190)&gt;0),$O$190*1000,HLOOKUP(INDIRECT(ADDRESS(2,COLUMN())),OFFSET($BN$2,0,0,ROW()-1,60),ROW()-1,FALSE))</f>
        <v>0</v>
      </c>
      <c r="P88">
        <f ca="1">IF(AND($B$183=1,LEN($P$190)&gt;0),$P$190*1000,HLOOKUP(INDIRECT(ADDRESS(2,COLUMN())),OFFSET($BN$2,0,0,ROW()-1,60),ROW()-1,FALSE))</f>
        <v>1718.518</v>
      </c>
      <c r="Q88">
        <f ca="1">IF(AND($B$183=1,LEN($Q$190)&gt;0),$Q$190*1000,HLOOKUP(INDIRECT(ADDRESS(2,COLUMN())),OFFSET($BN$2,0,0,ROW()-1,60),ROW()-1,FALSE))</f>
        <v>5126.8540000000003</v>
      </c>
      <c r="R88">
        <f ca="1">IF(AND($B$183=1,LEN($R$190)&gt;0),$R$190*1000,HLOOKUP(INDIRECT(ADDRESS(2,COLUMN())),OFFSET($BN$2,0,0,ROW()-1,60),ROW()-1,FALSE))</f>
        <v>2238.6729999999998</v>
      </c>
      <c r="S88">
        <f ca="1">IF(AND($B$183=1,LEN($S$190)&gt;0),$S$190*1000,HLOOKUP(INDIRECT(ADDRESS(2,COLUMN())),OFFSET($BN$2,0,0,ROW()-1,60),ROW()-1,FALSE))</f>
        <v>2097.4499999999998</v>
      </c>
      <c r="T88">
        <f ca="1">IF(AND($B$183=1,LEN($T$190)&gt;0),$T$190*1000,HLOOKUP(INDIRECT(ADDRESS(2,COLUMN())),OFFSET($BN$2,0,0,ROW()-1,60),ROW()-1,FALSE))</f>
        <v>876.35</v>
      </c>
      <c r="U88">
        <f ca="1">IF(AND($B$183=1,LEN($U$190)&gt;0),$U$190*1000,HLOOKUP(INDIRECT(ADDRESS(2,COLUMN())),OFFSET($BN$2,0,0,ROW()-1,60),ROW()-1,FALSE))</f>
        <v>81.709999999999994</v>
      </c>
      <c r="V88">
        <f ca="1">IF(AND($B$183=1,LEN($V$190)&gt;0),$V$190*1000,HLOOKUP(INDIRECT(ADDRESS(2,COLUMN())),OFFSET($BN$2,0,0,ROW()-1,60),ROW()-1,FALSE))</f>
        <v>659.8</v>
      </c>
      <c r="W88">
        <f ca="1">IF(AND($B$183=1,LEN($W$190)&gt;0),$W$190*1000,HLOOKUP(INDIRECT(ADDRESS(2,COLUMN())),OFFSET($BN$2,0,0,ROW()-1,60),ROW()-1,FALSE))</f>
        <v>130.43899999999999</v>
      </c>
      <c r="X88">
        <f ca="1">IF(AND($B$183=1,LEN($X$190)&gt;0),$X$190*1000,HLOOKUP(INDIRECT(ADDRESS(2,COLUMN())),OFFSET($BN$2,0,0,ROW()-1,60),ROW()-1,FALSE))</f>
        <v>470.56299999999999</v>
      </c>
      <c r="Y88">
        <f ca="1">IF(AND($B$183=1,LEN($Y$190)&gt;0),$Y$190*1000,HLOOKUP(INDIRECT(ADDRESS(2,COLUMN())),OFFSET($BN$2,0,0,ROW()-1,60),ROW()-1,FALSE))</f>
        <v>665.45</v>
      </c>
      <c r="Z88">
        <f ca="1">IF(AND($B$183=1,LEN($Z$190)&gt;0),$Z$190*1000,HLOOKUP(INDIRECT(ADDRESS(2,COLUMN())),OFFSET($BN$2,0,0,ROW()-1,60),ROW()-1,FALSE))</f>
        <v>1657.8530000000001</v>
      </c>
      <c r="AA88">
        <f ca="1">IF(AND($B$183=1,LEN($AA$190)&gt;0),$AA$190*1000,HLOOKUP(INDIRECT(ADDRESS(2,COLUMN())),OFFSET($BN$2,0,0,ROW()-1,60),ROW()-1,FALSE))</f>
        <v>10</v>
      </c>
      <c r="AB88">
        <f ca="1">IF(AND($B$183=1,LEN($AB$190)&gt;0),$AB$190*1000,HLOOKUP(INDIRECT(ADDRESS(2,COLUMN())),OFFSET($BN$2,0,0,ROW()-1,60),ROW()-1,FALSE))</f>
        <v>1055.097</v>
      </c>
      <c r="AC88">
        <f ca="1">IF(AND($B$183=1,LEN($AC$190)&gt;0),$AC$190*1000,HLOOKUP(INDIRECT(ADDRESS(2,COLUMN())),OFFSET($BN$2,0,0,ROW()-1,60),ROW()-1,FALSE))</f>
        <v>3733.1309999999999</v>
      </c>
      <c r="AD88">
        <f ca="1">IF(AND($B$183=1,LEN($AD$190)&gt;0),$AD$190*1000,HLOOKUP(INDIRECT(ADDRESS(2,COLUMN())),OFFSET($BN$2,0,0,ROW()-1,60),ROW()-1,FALSE))</f>
        <v>2687.962</v>
      </c>
      <c r="AE88">
        <f ca="1">IF(AND($B$183=1,LEN($AE$190)&gt;0),$AE$190*1000,HLOOKUP(INDIRECT(ADDRESS(2,COLUMN())),OFFSET($BN$2,0,0,ROW()-1,60),ROW()-1,FALSE))</f>
        <v>475.27199999999999</v>
      </c>
      <c r="AF88">
        <f ca="1">IF(AND($B$183=1,LEN($AF$190)&gt;0),$AF$190*1000,HLOOKUP(INDIRECT(ADDRESS(2,COLUMN())),OFFSET($BN$2,0,0,ROW()-1,60),ROW()-1,FALSE))</f>
        <v>254.82900000000001</v>
      </c>
      <c r="AG88">
        <f ca="1">IF(AND($B$183=1,LEN($AG$190)&gt;0),$AG$190*1000,HLOOKUP(INDIRECT(ADDRESS(2,COLUMN())),OFFSET($BN$2,0,0,ROW()-1,60),ROW()-1,FALSE))</f>
        <v>186.92500000000001</v>
      </c>
      <c r="AH88">
        <f ca="1">IF(AND($B$183=1,LEN($AH$190)&gt;0),$AH$190*1000,HLOOKUP(INDIRECT(ADDRESS(2,COLUMN())),OFFSET($BN$2,0,0,ROW()-1,60),ROW()-1,FALSE))</f>
        <v>245</v>
      </c>
      <c r="AI88">
        <f ca="1">IF(AND($B$183=1,LEN($AI$190)&gt;0),$AI$190*1000,HLOOKUP(INDIRECT(ADDRESS(2,COLUMN())),OFFSET($BN$2,0,0,ROW()-1,60),ROW()-1,FALSE))</f>
        <v>2300</v>
      </c>
      <c r="AJ88">
        <f ca="1">IF(AND($B$183=1,LEN($AJ$190)&gt;0),$AJ$190*1000,HLOOKUP(INDIRECT(ADDRESS(2,COLUMN())),OFFSET($BN$2,0,0,ROW()-1,60),ROW()-1,FALSE))</f>
        <v>385</v>
      </c>
      <c r="AK88">
        <f ca="1">IF(AND($B$183=1,LEN($AK$190)&gt;0),$AK$190*1000,HLOOKUP(INDIRECT(ADDRESS(2,COLUMN())),OFFSET($BN$2,0,0,ROW()-1,60),ROW()-1,FALSE))</f>
        <v>0</v>
      </c>
      <c r="AL88">
        <f ca="1">IF(AND($B$183=1,LEN($AL$190)&gt;0),$AL$190*1000,HLOOKUP(INDIRECT(ADDRESS(2,COLUMN())),OFFSET($BN$2,0,0,ROW()-1,60),ROW()-1,FALSE))</f>
        <v>0</v>
      </c>
      <c r="AM88">
        <f ca="1">IF(AND($B$183=1,LEN($AM$190)&gt;0),$AM$190*1000,HLOOKUP(INDIRECT(ADDRESS(2,COLUMN())),OFFSET($BN$2,0,0,ROW()-1,60),ROW()-1,FALSE))</f>
        <v>0</v>
      </c>
      <c r="AN88">
        <f ca="1">IF(AND($B$183=1,LEN($AN$190)&gt;0),$AN$190*1000,HLOOKUP(INDIRECT(ADDRESS(2,COLUMN())),OFFSET($BN$2,0,0,ROW()-1,60),ROW()-1,FALSE))</f>
        <v>0</v>
      </c>
      <c r="AO88">
        <f ca="1">IF(AND($B$183=1,LEN($AO$190)&gt;0),$AO$190*1000,HLOOKUP(INDIRECT(ADDRESS(2,COLUMN())),OFFSET($BN$2,0,0,ROW()-1,60),ROW()-1,FALSE))</f>
        <v>0</v>
      </c>
      <c r="AP88">
        <f ca="1">IF(AND($B$183=1,LEN($AP$190)&gt;0),$AP$190*1000,HLOOKUP(INDIRECT(ADDRESS(2,COLUMN())),OFFSET($BN$2,0,0,ROW()-1,60),ROW()-1,FALSE))</f>
        <v>0</v>
      </c>
      <c r="AQ88">
        <f ca="1">IF(AND($B$183=1,LEN($AQ$190)&gt;0),$AQ$190*1000,HLOOKUP(INDIRECT(ADDRESS(2,COLUMN())),OFFSET($BN$2,0,0,ROW()-1,60),ROW()-1,FALSE))</f>
        <v>0</v>
      </c>
      <c r="AR88">
        <f ca="1">IF(AND($B$183=1,LEN($AR$190)&gt;0),$AR$190*1000,HLOOKUP(INDIRECT(ADDRESS(2,COLUMN())),OFFSET($BN$2,0,0,ROW()-1,60),ROW()-1,FALSE))</f>
        <v>0</v>
      </c>
      <c r="AS88">
        <f ca="1">IF(AND($B$183=1,LEN($AS$190)&gt;0),$AS$190*1000,HLOOKUP(INDIRECT(ADDRESS(2,COLUMN())),OFFSET($BN$2,0,0,ROW()-1,60),ROW()-1,FALSE))</f>
        <v>609.63900000000001</v>
      </c>
      <c r="AT88">
        <f ca="1">IF(AND($B$183=1,LEN($AT$190)&gt;0),$AT$190*1000,HLOOKUP(INDIRECT(ADDRESS(2,COLUMN())),OFFSET($BN$2,0,0,ROW()-1,60),ROW()-1,FALSE))</f>
        <v>62.018999999999998</v>
      </c>
      <c r="AU88">
        <f ca="1">IF(AND($B$183=1,LEN($AU$190)&gt;0),$AU$190*1000,HLOOKUP(INDIRECT(ADDRESS(2,COLUMN())),OFFSET($BN$2,0,0,ROW()-1,60),ROW()-1,FALSE))</f>
        <v>0</v>
      </c>
      <c r="AV88">
        <f ca="1">IF(AND($B$183=1,LEN($AV$190)&gt;0),$AV$190*1000,HLOOKUP(INDIRECT(ADDRESS(2,COLUMN())),OFFSET($BN$2,0,0,ROW()-1,60),ROW()-1,FALSE))</f>
        <v>0</v>
      </c>
      <c r="AW88">
        <f ca="1">IF(AND($B$183=1,LEN($AW$190)&gt;0),$AW$190*1000,HLOOKUP(INDIRECT(ADDRESS(2,COLUMN())),OFFSET($BN$2,0,0,ROW()-1,60),ROW()-1,FALSE))</f>
        <v>10.125</v>
      </c>
      <c r="AX88">
        <f ca="1">IF(AND($B$183=1,LEN($AX$190)&gt;0),$AX$190*1000,HLOOKUP(INDIRECT(ADDRESS(2,COLUMN())),OFFSET($BN$2,0,0,ROW()-1,60),ROW()-1,FALSE))</f>
        <v>498.66300000000001</v>
      </c>
      <c r="AY88">
        <f ca="1">IF(AND($B$183=1,LEN($AY$190)&gt;0),$AY$190*1000,HLOOKUP(INDIRECT(ADDRESS(2,COLUMN())),OFFSET($BN$2,0,0,ROW()-1,60),ROW()-1,FALSE))</f>
        <v>0</v>
      </c>
      <c r="AZ88">
        <f ca="1">IF(AND($B$183=1,LEN($AZ$190)&gt;0),$AZ$190*1000,HLOOKUP(INDIRECT(ADDRESS(2,COLUMN())),OFFSET($BN$2,0,0,ROW()-1,60),ROW()-1,FALSE))</f>
        <v>0</v>
      </c>
      <c r="BA88">
        <f ca="1">IF(AND($B$183=1,LEN($BA$190)&gt;0),$BA$190*1000,HLOOKUP(INDIRECT(ADDRESS(2,COLUMN())),OFFSET($BN$2,0,0,ROW()-1,60),ROW()-1,FALSE))</f>
        <v>311.3</v>
      </c>
      <c r="BB88">
        <f ca="1">IF(AND($B$183=1,LEN($BB$190)&gt;0),$BB$190*1000,HLOOKUP(INDIRECT(ADDRESS(2,COLUMN())),OFFSET($BN$2,0,0,ROW()-1,60),ROW()-1,FALSE))</f>
        <v>986.40599999999995</v>
      </c>
      <c r="BC88">
        <f ca="1">IF(AND($B$183=1,LEN($BC$190)&gt;0),$BC$190*1000,HLOOKUP(INDIRECT(ADDRESS(2,COLUMN())),OFFSET($BN$2,0,0,ROW()-1,60),ROW()-1,FALSE))</f>
        <v>175.20400000000001</v>
      </c>
      <c r="BD88">
        <f ca="1">IF(AND($B$183=1,LEN($BD$190)&gt;0),$BD$190*1000,HLOOKUP(INDIRECT(ADDRESS(2,COLUMN())),OFFSET($BN$2,0,0,ROW()-1,60),ROW()-1,FALSE))</f>
        <v>2413.6959999999999</v>
      </c>
      <c r="BE88">
        <f ca="1">IF(AND($B$183=1,LEN($BE$190)&gt;0),$BE$190*1000,HLOOKUP(INDIRECT(ADDRESS(2,COLUMN())),OFFSET($BN$2,0,0,ROW()-1,60),ROW()-1,FALSE))</f>
        <v>2061.3670000000002</v>
      </c>
      <c r="BF88">
        <f ca="1">IF(AND($B$183=1,LEN($BF$190)&gt;0),$BF$190*1000,HLOOKUP(INDIRECT(ADDRESS(2,COLUMN())),OFFSET($BN$2,0,0,ROW()-1,60),ROW()-1,FALSE))</f>
        <v>14835.782999999999</v>
      </c>
      <c r="BG88">
        <f ca="1">IF(AND($B$183=1,LEN($BG$190)&gt;0),$BG$190*1000,HLOOKUP(INDIRECT(ADDRESS(2,COLUMN())),OFFSET($BN$2,0,0,ROW()-1,60),ROW()-1,FALSE))</f>
        <v>694.92100000000005</v>
      </c>
      <c r="BH88">
        <f ca="1">IF(AND($B$183=1,LEN($BH$190)&gt;0),$BH$190*1000,HLOOKUP(INDIRECT(ADDRESS(2,COLUMN())),OFFSET($BN$2,0,0,ROW()-1,60),ROW()-1,FALSE))</f>
        <v>1746.0940000000001</v>
      </c>
      <c r="BI88">
        <f ca="1">IF(AND($B$183=1,LEN($BI$190)&gt;0),$BI$190*1000,HLOOKUP(INDIRECT(ADDRESS(2,COLUMN())),OFFSET($BN$2,0,0,ROW()-1,60),ROW()-1,FALSE))</f>
        <v>735.40700000000004</v>
      </c>
      <c r="BJ88">
        <f ca="1">IF(AND($B$183=1,LEN($BJ$190)&gt;0),$BJ$190*1000,HLOOKUP(INDIRECT(ADDRESS(2,COLUMN())),OFFSET($BN$2,0,0,ROW()-1,60),ROW()-1,FALSE))</f>
        <v>0</v>
      </c>
      <c r="BK88">
        <f ca="1">IF(AND($B$183=1,LEN($BK$190)&gt;0),$BK$190*1000,HLOOKUP(INDIRECT(ADDRESS(2,COLUMN())),OFFSET($BN$2,0,0,ROW()-1,60),ROW()-1,FALSE))</f>
        <v>0</v>
      </c>
      <c r="BL88">
        <f ca="1">IF(AND($B$183=1,LEN($BL$190)&gt;0),$BL$190*1000,HLOOKUP(INDIRECT(ADDRESS(2,COLUMN())),OFFSET($BN$2,0,0,ROW()-1,60),ROW()-1,FALSE))</f>
        <v>0</v>
      </c>
      <c r="BM88">
        <f ca="1">IF(AND($B$183=1,LEN($BM$190)&gt;0),$BM$190*1000,HLOOKUP(INDIRECT(ADDRESS(2,COLUMN())),OFFSET($BN$2,0,0,ROW()-1,60),ROW()-1,FALSE))</f>
        <v>0</v>
      </c>
      <c r="BN88">
        <f>55</f>
        <v>55</v>
      </c>
      <c r="BO88">
        <f>430.2</f>
        <v>430.2</v>
      </c>
      <c r="BP88">
        <f>237.5</f>
        <v>237.5</v>
      </c>
      <c r="BQ88">
        <f>149.799</f>
        <v>149.79900000000001</v>
      </c>
      <c r="BR88">
        <f>291.9</f>
        <v>291.89999999999998</v>
      </c>
      <c r="BS88">
        <f>80</f>
        <v>80</v>
      </c>
      <c r="BT88">
        <f>1181.5</f>
        <v>1181.5</v>
      </c>
      <c r="BU88">
        <f>1451.567</f>
        <v>1451.567</v>
      </c>
      <c r="BV88">
        <f>210</f>
        <v>210</v>
      </c>
      <c r="BW88">
        <f>0</f>
        <v>0</v>
      </c>
      <c r="BX88">
        <f>1718.518</f>
        <v>1718.518</v>
      </c>
      <c r="BY88">
        <f>5126.854</f>
        <v>5126.8540000000003</v>
      </c>
      <c r="BZ88">
        <f>2238.673</f>
        <v>2238.6729999999998</v>
      </c>
      <c r="CA88">
        <f>2097.45</f>
        <v>2097.4499999999998</v>
      </c>
      <c r="CB88">
        <f>876.35</f>
        <v>876.35</v>
      </c>
      <c r="CC88">
        <f>81.71</f>
        <v>81.709999999999994</v>
      </c>
      <c r="CD88">
        <f>659.8</f>
        <v>659.8</v>
      </c>
      <c r="CE88">
        <f>130.439</f>
        <v>130.43899999999999</v>
      </c>
      <c r="CF88">
        <f>470.563</f>
        <v>470.56299999999999</v>
      </c>
      <c r="CG88">
        <f>665.45</f>
        <v>665.45</v>
      </c>
      <c r="CH88">
        <f>1657.853</f>
        <v>1657.8530000000001</v>
      </c>
      <c r="CI88">
        <f>10</f>
        <v>10</v>
      </c>
      <c r="CJ88">
        <f>1055.097</f>
        <v>1055.097</v>
      </c>
      <c r="CK88">
        <f>3733.131</f>
        <v>3733.1309999999999</v>
      </c>
      <c r="CL88">
        <f>2687.962</f>
        <v>2687.962</v>
      </c>
      <c r="CM88">
        <f>475.272</f>
        <v>475.27199999999999</v>
      </c>
      <c r="CN88">
        <f>254.829</f>
        <v>254.82900000000001</v>
      </c>
      <c r="CO88">
        <f>186.925</f>
        <v>186.92500000000001</v>
      </c>
      <c r="CP88">
        <f>245</f>
        <v>245</v>
      </c>
      <c r="CQ88">
        <f>2300</f>
        <v>2300</v>
      </c>
      <c r="CR88">
        <f>385</f>
        <v>385</v>
      </c>
      <c r="CS88">
        <f>0</f>
        <v>0</v>
      </c>
      <c r="CT88">
        <f>0</f>
        <v>0</v>
      </c>
      <c r="CU88">
        <f>0</f>
        <v>0</v>
      </c>
      <c r="CV88">
        <f>0</f>
        <v>0</v>
      </c>
      <c r="CW88">
        <f>0</f>
        <v>0</v>
      </c>
      <c r="CX88">
        <f>0</f>
        <v>0</v>
      </c>
      <c r="CY88">
        <f>0</f>
        <v>0</v>
      </c>
      <c r="CZ88">
        <f>0</f>
        <v>0</v>
      </c>
      <c r="DA88">
        <f>609.639</f>
        <v>609.63900000000001</v>
      </c>
      <c r="DB88">
        <f>62.019</f>
        <v>62.018999999999998</v>
      </c>
      <c r="DC88">
        <f>0</f>
        <v>0</v>
      </c>
      <c r="DD88">
        <f>0</f>
        <v>0</v>
      </c>
      <c r="DE88">
        <f>10.125</f>
        <v>10.125</v>
      </c>
      <c r="DF88">
        <f>498.663</f>
        <v>498.66300000000001</v>
      </c>
      <c r="DG88">
        <f>0</f>
        <v>0</v>
      </c>
      <c r="DH88">
        <f>0</f>
        <v>0</v>
      </c>
      <c r="DI88">
        <f>311.3</f>
        <v>311.3</v>
      </c>
      <c r="DJ88">
        <f>986.406</f>
        <v>986.40599999999995</v>
      </c>
      <c r="DK88">
        <f>175.204</f>
        <v>175.20400000000001</v>
      </c>
      <c r="DL88">
        <f>2413.696</f>
        <v>2413.6959999999999</v>
      </c>
      <c r="DM88">
        <f>2061.367</f>
        <v>2061.3670000000002</v>
      </c>
      <c r="DN88">
        <f>14835.783</f>
        <v>14835.782999999999</v>
      </c>
      <c r="DO88">
        <f>694.921</f>
        <v>694.92100000000005</v>
      </c>
      <c r="DP88">
        <f>1746.094</f>
        <v>1746.0940000000001</v>
      </c>
      <c r="DQ88">
        <f>735.407</f>
        <v>735.40700000000004</v>
      </c>
      <c r="DR88">
        <f>0</f>
        <v>0</v>
      </c>
      <c r="DS88">
        <f>0</f>
        <v>0</v>
      </c>
      <c r="DT88">
        <f>0</f>
        <v>0</v>
      </c>
      <c r="DU88">
        <f>0</f>
        <v>0</v>
      </c>
    </row>
    <row r="89" spans="1:125">
      <c r="A89" t="str">
        <f>"    Free Standing Retail REITs"</f>
        <v xml:space="preserve">    Free Standing Retail REITs</v>
      </c>
      <c r="B89" t="str">
        <f>"RECFTAFS Index"</f>
        <v>RECFTAFS Index</v>
      </c>
      <c r="E89" t="str">
        <f t="shared" si="21"/>
        <v>Expression</v>
      </c>
      <c r="F89">
        <f ca="1">IF(AND($B$183=1,LEN($F$191)&gt;0),$F$191*1000,HLOOKUP(INDIRECT(ADDRESS(2,COLUMN())),OFFSET($BN$2,0,0,ROW()-1,60),ROW()-1,FALSE))</f>
        <v>1312.4380000000001</v>
      </c>
      <c r="G89">
        <f ca="1">IF(AND($B$183=1,LEN($G$191)&gt;0),$G$191*1000,HLOOKUP(INDIRECT(ADDRESS(2,COLUMN())),OFFSET($BN$2,0,0,ROW()-1,60),ROW()-1,FALSE))</f>
        <v>1011.768</v>
      </c>
      <c r="H89">
        <f ca="1">IF(AND($B$183=1,LEN($H$191)&gt;0),$H$191*1000,HLOOKUP(INDIRECT(ADDRESS(2,COLUMN())),OFFSET($BN$2,0,0,ROW()-1,60),ROW()-1,FALSE))</f>
        <v>1086.27</v>
      </c>
      <c r="I89">
        <f ca="1">IF(AND($B$183=1,LEN($I$191)&gt;0),$I$191*1000,HLOOKUP(INDIRECT(ADDRESS(2,COLUMN())),OFFSET($BN$2,0,0,ROW()-1,60),ROW()-1,FALSE))</f>
        <v>1119.1890000000001</v>
      </c>
      <c r="J89">
        <f ca="1">IF(AND($B$183=1,LEN($J$191)&gt;0),$J$191*1000,HLOOKUP(INDIRECT(ADDRESS(2,COLUMN())),OFFSET($BN$2,0,0,ROW()-1,60),ROW()-1,FALSE))</f>
        <v>1731.779</v>
      </c>
      <c r="K89">
        <f ca="1">IF(AND($B$183=1,LEN($K$191)&gt;0),$K$191*1000,HLOOKUP(INDIRECT(ADDRESS(2,COLUMN())),OFFSET($BN$2,0,0,ROW()-1,60),ROW()-1,FALSE))</f>
        <v>1059.3910000000001</v>
      </c>
      <c r="L89">
        <f ca="1">IF(AND($B$183=1,LEN($L$191)&gt;0),$L$191*1000,HLOOKUP(INDIRECT(ADDRESS(2,COLUMN())),OFFSET($BN$2,0,0,ROW()-1,60),ROW()-1,FALSE))</f>
        <v>1316.9110000000001</v>
      </c>
      <c r="M89">
        <f ca="1">IF(AND($B$183=1,LEN($M$191)&gt;0),$M$191*1000,HLOOKUP(INDIRECT(ADDRESS(2,COLUMN())),OFFSET($BN$2,0,0,ROW()-1,60),ROW()-1,FALSE))</f>
        <v>819.05499999999995</v>
      </c>
      <c r="N89">
        <f ca="1">IF(AND($B$183=1,LEN($N$191)&gt;0),$N$191*1000,HLOOKUP(INDIRECT(ADDRESS(2,COLUMN())),OFFSET($BN$2,0,0,ROW()-1,60),ROW()-1,FALSE))</f>
        <v>863.78300000000002</v>
      </c>
      <c r="O89">
        <f ca="1">IF(AND($B$183=1,LEN($O$191)&gt;0),$O$191*1000,HLOOKUP(INDIRECT(ADDRESS(2,COLUMN())),OFFSET($BN$2,0,0,ROW()-1,60),ROW()-1,FALSE))</f>
        <v>3542.3960000000002</v>
      </c>
      <c r="P89">
        <f ca="1">IF(AND($B$183=1,LEN($P$191)&gt;0),$P$191*1000,HLOOKUP(INDIRECT(ADDRESS(2,COLUMN())),OFFSET($BN$2,0,0,ROW()-1,60),ROW()-1,FALSE))</f>
        <v>1817.8579999999999</v>
      </c>
      <c r="Q89">
        <f ca="1">IF(AND($B$183=1,LEN($Q$191)&gt;0),$Q$191*1000,HLOOKUP(INDIRECT(ADDRESS(2,COLUMN())),OFFSET($BN$2,0,0,ROW()-1,60),ROW()-1,FALSE))</f>
        <v>972.60699999999997</v>
      </c>
      <c r="R89">
        <f ca="1">IF(AND($B$183=1,LEN($R$191)&gt;0),$R$191*1000,HLOOKUP(INDIRECT(ADDRESS(2,COLUMN())),OFFSET($BN$2,0,0,ROW()-1,60),ROW()-1,FALSE))</f>
        <v>1029.3610000000001</v>
      </c>
      <c r="S89">
        <f ca="1">IF(AND($B$183=1,LEN($S$191)&gt;0),$S$191*1000,HLOOKUP(INDIRECT(ADDRESS(2,COLUMN())),OFFSET($BN$2,0,0,ROW()-1,60),ROW()-1,FALSE))</f>
        <v>3060.2359999999999</v>
      </c>
      <c r="T89">
        <f ca="1">IF(AND($B$183=1,LEN($T$191)&gt;0),$T$191*1000,HLOOKUP(INDIRECT(ADDRESS(2,COLUMN())),OFFSET($BN$2,0,0,ROW()-1,60),ROW()-1,FALSE))</f>
        <v>1540.98</v>
      </c>
      <c r="U89">
        <f ca="1">IF(AND($B$183=1,LEN($U$191)&gt;0),$U$191*1000,HLOOKUP(INDIRECT(ADDRESS(2,COLUMN())),OFFSET($BN$2,0,0,ROW()-1,60),ROW()-1,FALSE))</f>
        <v>14015.18</v>
      </c>
      <c r="V89">
        <f ca="1">IF(AND($B$183=1,LEN($V$191)&gt;0),$V$191*1000,HLOOKUP(INDIRECT(ADDRESS(2,COLUMN())),OFFSET($BN$2,0,0,ROW()-1,60),ROW()-1,FALSE))</f>
        <v>2574.4</v>
      </c>
      <c r="W89">
        <f ca="1">IF(AND($B$183=1,LEN($W$191)&gt;0),$W$191*1000,HLOOKUP(INDIRECT(ADDRESS(2,COLUMN())),OFFSET($BN$2,0,0,ROW()-1,60),ROW()-1,FALSE))</f>
        <v>8317.7880000000005</v>
      </c>
      <c r="X89">
        <f ca="1">IF(AND($B$183=1,LEN($X$191)&gt;0),$X$191*1000,HLOOKUP(INDIRECT(ADDRESS(2,COLUMN())),OFFSET($BN$2,0,0,ROW()-1,60),ROW()-1,FALSE))</f>
        <v>2473.4560000000001</v>
      </c>
      <c r="Y89">
        <f ca="1">IF(AND($B$183=1,LEN($Y$191)&gt;0),$Y$191*1000,HLOOKUP(INDIRECT(ADDRESS(2,COLUMN())),OFFSET($BN$2,0,0,ROW()-1,60),ROW()-1,FALSE))</f>
        <v>5252.3190000000004</v>
      </c>
      <c r="Z89">
        <f ca="1">IF(AND($B$183=1,LEN($Z$191)&gt;0),$Z$191*1000,HLOOKUP(INDIRECT(ADDRESS(2,COLUMN())),OFFSET($BN$2,0,0,ROW()-1,60),ROW()-1,FALSE))</f>
        <v>816.57500000000005</v>
      </c>
      <c r="AA89">
        <f ca="1">IF(AND($B$183=1,LEN($AA$191)&gt;0),$AA$191*1000,HLOOKUP(INDIRECT(ADDRESS(2,COLUMN())),OFFSET($BN$2,0,0,ROW()-1,60),ROW()-1,FALSE))</f>
        <v>720.21400000000006</v>
      </c>
      <c r="AB89">
        <f ca="1">IF(AND($B$183=1,LEN($AB$191)&gt;0),$AB$191*1000,HLOOKUP(INDIRECT(ADDRESS(2,COLUMN())),OFFSET($BN$2,0,0,ROW()-1,60),ROW()-1,FALSE))</f>
        <v>348.334</v>
      </c>
      <c r="AC89">
        <f ca="1">IF(AND($B$183=1,LEN($AC$191)&gt;0),$AC$191*1000,HLOOKUP(INDIRECT(ADDRESS(2,COLUMN())),OFFSET($BN$2,0,0,ROW()-1,60),ROW()-1,FALSE))</f>
        <v>225.21199999999999</v>
      </c>
      <c r="AD89">
        <f ca="1">IF(AND($B$183=1,LEN($AD$191)&gt;0),$AD$191*1000,HLOOKUP(INDIRECT(ADDRESS(2,COLUMN())),OFFSET($BN$2,0,0,ROW()-1,60),ROW()-1,FALSE))</f>
        <v>536.03300000000002</v>
      </c>
      <c r="AE89">
        <f ca="1">IF(AND($B$183=1,LEN($AE$191)&gt;0),$AE$191*1000,HLOOKUP(INDIRECT(ADDRESS(2,COLUMN())),OFFSET($BN$2,0,0,ROW()-1,60),ROW()-1,FALSE))</f>
        <v>813.70600000000002</v>
      </c>
      <c r="AF89">
        <f ca="1">IF(AND($B$183=1,LEN($AF$191)&gt;0),$AF$191*1000,HLOOKUP(INDIRECT(ADDRESS(2,COLUMN())),OFFSET($BN$2,0,0,ROW()-1,60),ROW()-1,FALSE))</f>
        <v>269.04300000000001</v>
      </c>
      <c r="AG89">
        <f ca="1">IF(AND($B$183=1,LEN($AG$191)&gt;0),$AG$191*1000,HLOOKUP(INDIRECT(ADDRESS(2,COLUMN())),OFFSET($BN$2,0,0,ROW()-1,60),ROW()-1,FALSE))</f>
        <v>406.86099999999999</v>
      </c>
      <c r="AH89">
        <f ca="1">IF(AND($B$183=1,LEN($AH$191)&gt;0),$AH$191*1000,HLOOKUP(INDIRECT(ADDRESS(2,COLUMN())),OFFSET($BN$2,0,0,ROW()-1,60),ROW()-1,FALSE))</f>
        <v>661.56799999999998</v>
      </c>
      <c r="AI89">
        <f ca="1">IF(AND($B$183=1,LEN($AI$191)&gt;0),$AI$191*1000,HLOOKUP(INDIRECT(ADDRESS(2,COLUMN())),OFFSET($BN$2,0,0,ROW()-1,60),ROW()-1,FALSE))</f>
        <v>108.47</v>
      </c>
      <c r="AJ89">
        <f ca="1">IF(AND($B$183=1,LEN($AJ$191)&gt;0),$AJ$191*1000,HLOOKUP(INDIRECT(ADDRESS(2,COLUMN())),OFFSET($BN$2,0,0,ROW()-1,60),ROW()-1,FALSE))</f>
        <v>54.758000000000003</v>
      </c>
      <c r="AK89">
        <f ca="1">IF(AND($B$183=1,LEN($AK$191)&gt;0),$AK$191*1000,HLOOKUP(INDIRECT(ADDRESS(2,COLUMN())),OFFSET($BN$2,0,0,ROW()-1,60),ROW()-1,FALSE))</f>
        <v>40.076000000000001</v>
      </c>
      <c r="AL89">
        <f ca="1">IF(AND($B$183=1,LEN($AL$191)&gt;0),$AL$191*1000,HLOOKUP(INDIRECT(ADDRESS(2,COLUMN())),OFFSET($BN$2,0,0,ROW()-1,60),ROW()-1,FALSE))</f>
        <v>53.006</v>
      </c>
      <c r="AM89">
        <f ca="1">IF(AND($B$183=1,LEN($AM$191)&gt;0),$AM$191*1000,HLOOKUP(INDIRECT(ADDRESS(2,COLUMN())),OFFSET($BN$2,0,0,ROW()-1,60),ROW()-1,FALSE))</f>
        <v>69.384</v>
      </c>
      <c r="AN89">
        <f ca="1">IF(AND($B$183=1,LEN($AN$191)&gt;0),$AN$191*1000,HLOOKUP(INDIRECT(ADDRESS(2,COLUMN())),OFFSET($BN$2,0,0,ROW()-1,60),ROW()-1,FALSE))</f>
        <v>0</v>
      </c>
      <c r="AO89">
        <f ca="1">IF(AND($B$183=1,LEN($AO$191)&gt;0),$AO$191*1000,HLOOKUP(INDIRECT(ADDRESS(2,COLUMN())),OFFSET($BN$2,0,0,ROW()-1,60),ROW()-1,FALSE))</f>
        <v>1.3</v>
      </c>
      <c r="AP89">
        <f ca="1">IF(AND($B$183=1,LEN($AP$191)&gt;0),$AP$191*1000,HLOOKUP(INDIRECT(ADDRESS(2,COLUMN())),OFFSET($BN$2,0,0,ROW()-1,60),ROW()-1,FALSE))</f>
        <v>38.302</v>
      </c>
      <c r="AQ89">
        <f ca="1">IF(AND($B$183=1,LEN($AQ$191)&gt;0),$AQ$191*1000,HLOOKUP(INDIRECT(ADDRESS(2,COLUMN())),OFFSET($BN$2,0,0,ROW()-1,60),ROW()-1,FALSE))</f>
        <v>68.510000000000005</v>
      </c>
      <c r="AR89">
        <f ca="1">IF(AND($B$183=1,LEN($AR$191)&gt;0),$AR$191*1000,HLOOKUP(INDIRECT(ADDRESS(2,COLUMN())),OFFSET($BN$2,0,0,ROW()-1,60),ROW()-1,FALSE))</f>
        <v>105.947</v>
      </c>
      <c r="AS89">
        <f ca="1">IF(AND($B$183=1,LEN($AS$191)&gt;0),$AS$191*1000,HLOOKUP(INDIRECT(ADDRESS(2,COLUMN())),OFFSET($BN$2,0,0,ROW()-1,60),ROW()-1,FALSE))</f>
        <v>411.31</v>
      </c>
      <c r="AT89">
        <f ca="1">IF(AND($B$183=1,LEN($AT$191)&gt;0),$AT$191*1000,HLOOKUP(INDIRECT(ADDRESS(2,COLUMN())),OFFSET($BN$2,0,0,ROW()-1,60),ROW()-1,FALSE))</f>
        <v>314.887</v>
      </c>
      <c r="AU89">
        <f ca="1">IF(AND($B$183=1,LEN($AU$191)&gt;0),$AU$191*1000,HLOOKUP(INDIRECT(ADDRESS(2,COLUMN())),OFFSET($BN$2,0,0,ROW()-1,60),ROW()-1,FALSE))</f>
        <v>459.608</v>
      </c>
      <c r="AV89">
        <f ca="1">IF(AND($B$183=1,LEN($AV$191)&gt;0),$AV$191*1000,HLOOKUP(INDIRECT(ADDRESS(2,COLUMN())),OFFSET($BN$2,0,0,ROW()-1,60),ROW()-1,FALSE))</f>
        <v>376.06299999999999</v>
      </c>
      <c r="AW89">
        <f ca="1">IF(AND($B$183=1,LEN($AW$191)&gt;0),$AW$191*1000,HLOOKUP(INDIRECT(ADDRESS(2,COLUMN())),OFFSET($BN$2,0,0,ROW()-1,60),ROW()-1,FALSE))</f>
        <v>211.31800000000001</v>
      </c>
      <c r="AX89">
        <f ca="1">IF(AND($B$183=1,LEN($AX$191)&gt;0),$AX$191*1000,HLOOKUP(INDIRECT(ADDRESS(2,COLUMN())),OFFSET($BN$2,0,0,ROW()-1,60),ROW()-1,FALSE))</f>
        <v>664.52200000000005</v>
      </c>
      <c r="AY89">
        <f ca="1">IF(AND($B$183=1,LEN($AY$191)&gt;0),$AY$191*1000,HLOOKUP(INDIRECT(ADDRESS(2,COLUMN())),OFFSET($BN$2,0,0,ROW()-1,60),ROW()-1,FALSE))</f>
        <v>237.84299999999999</v>
      </c>
      <c r="AZ89">
        <f ca="1">IF(AND($B$183=1,LEN($AZ$191)&gt;0),$AZ$191*1000,HLOOKUP(INDIRECT(ADDRESS(2,COLUMN())),OFFSET($BN$2,0,0,ROW()-1,60),ROW()-1,FALSE))</f>
        <v>159.541</v>
      </c>
      <c r="BA89">
        <f ca="1">IF(AND($B$183=1,LEN($BA$191)&gt;0),$BA$191*1000,HLOOKUP(INDIRECT(ADDRESS(2,COLUMN())),OFFSET($BN$2,0,0,ROW()-1,60),ROW()-1,FALSE))</f>
        <v>137.48099999999999</v>
      </c>
      <c r="BB89">
        <f ca="1">IF(AND($B$183=1,LEN($BB$191)&gt;0),$BB$191*1000,HLOOKUP(INDIRECT(ADDRESS(2,COLUMN())),OFFSET($BN$2,0,0,ROW()-1,60),ROW()-1,FALSE))</f>
        <v>418.10199999999998</v>
      </c>
      <c r="BC89">
        <f ca="1">IF(AND($B$183=1,LEN($BC$191)&gt;0),$BC$191*1000,HLOOKUP(INDIRECT(ADDRESS(2,COLUMN())),OFFSET($BN$2,0,0,ROW()-1,60),ROW()-1,FALSE))</f>
        <v>294.85700000000003</v>
      </c>
      <c r="BD89">
        <f ca="1">IF(AND($B$183=1,LEN($BD$191)&gt;0),$BD$191*1000,HLOOKUP(INDIRECT(ADDRESS(2,COLUMN())),OFFSET($BN$2,0,0,ROW()-1,60),ROW()-1,FALSE))</f>
        <v>162.66200000000001</v>
      </c>
      <c r="BE89">
        <f ca="1">IF(AND($B$183=1,LEN($BE$191)&gt;0),$BE$191*1000,HLOOKUP(INDIRECT(ADDRESS(2,COLUMN())),OFFSET($BN$2,0,0,ROW()-1,60),ROW()-1,FALSE))</f>
        <v>159.25299999999999</v>
      </c>
      <c r="BF89">
        <f ca="1">IF(AND($B$183=1,LEN($BF$191)&gt;0),$BF$191*1000,HLOOKUP(INDIRECT(ADDRESS(2,COLUMN())),OFFSET($BN$2,0,0,ROW()-1,60),ROW()-1,FALSE))</f>
        <v>144.488</v>
      </c>
      <c r="BG89">
        <f ca="1">IF(AND($B$183=1,LEN($BG$191)&gt;0),$BG$191*1000,HLOOKUP(INDIRECT(ADDRESS(2,COLUMN())),OFFSET($BN$2,0,0,ROW()-1,60),ROW()-1,FALSE))</f>
        <v>65.766999999999996</v>
      </c>
      <c r="BH89">
        <f ca="1">IF(AND($B$183=1,LEN($BH$191)&gt;0),$BH$191*1000,HLOOKUP(INDIRECT(ADDRESS(2,COLUMN())),OFFSET($BN$2,0,0,ROW()-1,60),ROW()-1,FALSE))</f>
        <v>46.96</v>
      </c>
      <c r="BI89">
        <f ca="1">IF(AND($B$183=1,LEN($BI$191)&gt;0),$BI$191*1000,HLOOKUP(INDIRECT(ADDRESS(2,COLUMN())),OFFSET($BN$2,0,0,ROW()-1,60),ROW()-1,FALSE))</f>
        <v>133.203</v>
      </c>
      <c r="BJ89">
        <f ca="1">IF(AND($B$183=1,LEN($BJ$191)&gt;0),$BJ$191*1000,HLOOKUP(INDIRECT(ADDRESS(2,COLUMN())),OFFSET($BN$2,0,0,ROW()-1,60),ROW()-1,FALSE))</f>
        <v>3.7</v>
      </c>
      <c r="BK89">
        <f ca="1">IF(AND($B$183=1,LEN($BK$191)&gt;0),$BK$191*1000,HLOOKUP(INDIRECT(ADDRESS(2,COLUMN())),OFFSET($BN$2,0,0,ROW()-1,60),ROW()-1,FALSE))</f>
        <v>4.8</v>
      </c>
      <c r="BL89">
        <f ca="1">IF(AND($B$183=1,LEN($BL$191)&gt;0),$BL$191*1000,HLOOKUP(INDIRECT(ADDRESS(2,COLUMN())),OFFSET($BN$2,0,0,ROW()-1,60),ROW()-1,FALSE))</f>
        <v>0</v>
      </c>
      <c r="BM89">
        <f ca="1">IF(AND($B$183=1,LEN($BM$191)&gt;0),$BM$191*1000,HLOOKUP(INDIRECT(ADDRESS(2,COLUMN())),OFFSET($BN$2,0,0,ROW()-1,60),ROW()-1,FALSE))</f>
        <v>0</v>
      </c>
      <c r="BN89">
        <f>1312.438</f>
        <v>1312.4380000000001</v>
      </c>
      <c r="BO89">
        <f>1011.768</f>
        <v>1011.768</v>
      </c>
      <c r="BP89">
        <f>1086.27</f>
        <v>1086.27</v>
      </c>
      <c r="BQ89">
        <f>1119.189</f>
        <v>1119.1890000000001</v>
      </c>
      <c r="BR89">
        <f>1731.779</f>
        <v>1731.779</v>
      </c>
      <c r="BS89">
        <f>1059.391</f>
        <v>1059.3910000000001</v>
      </c>
      <c r="BT89">
        <f>1316.911</f>
        <v>1316.9110000000001</v>
      </c>
      <c r="BU89">
        <f>819.055</f>
        <v>819.05499999999995</v>
      </c>
      <c r="BV89">
        <f>863.783</f>
        <v>863.78300000000002</v>
      </c>
      <c r="BW89">
        <f>3542.396</f>
        <v>3542.3960000000002</v>
      </c>
      <c r="BX89">
        <f>1817.858</f>
        <v>1817.8579999999999</v>
      </c>
      <c r="BY89">
        <f>972.607</f>
        <v>972.60699999999997</v>
      </c>
      <c r="BZ89">
        <f>1029.361</f>
        <v>1029.3610000000001</v>
      </c>
      <c r="CA89">
        <f>3060.236</f>
        <v>3060.2359999999999</v>
      </c>
      <c r="CB89">
        <f>1540.98</f>
        <v>1540.98</v>
      </c>
      <c r="CC89">
        <f>14015.18</f>
        <v>14015.18</v>
      </c>
      <c r="CD89">
        <f>2574.4</f>
        <v>2574.4</v>
      </c>
      <c r="CE89">
        <f>8317.788</f>
        <v>8317.7880000000005</v>
      </c>
      <c r="CF89">
        <f>2473.456</f>
        <v>2473.4560000000001</v>
      </c>
      <c r="CG89">
        <f>5252.319</f>
        <v>5252.3190000000004</v>
      </c>
      <c r="CH89">
        <f>816.575</f>
        <v>816.57500000000005</v>
      </c>
      <c r="CI89">
        <f>720.214</f>
        <v>720.21400000000006</v>
      </c>
      <c r="CJ89">
        <f>348.334</f>
        <v>348.334</v>
      </c>
      <c r="CK89">
        <f>225.212</f>
        <v>225.21199999999999</v>
      </c>
      <c r="CL89">
        <f>536.033</f>
        <v>536.03300000000002</v>
      </c>
      <c r="CM89">
        <f>813.706</f>
        <v>813.70600000000002</v>
      </c>
      <c r="CN89">
        <f>269.043</f>
        <v>269.04300000000001</v>
      </c>
      <c r="CO89">
        <f>406.861</f>
        <v>406.86099999999999</v>
      </c>
      <c r="CP89">
        <f>661.568</f>
        <v>661.56799999999998</v>
      </c>
      <c r="CQ89">
        <f>108.47</f>
        <v>108.47</v>
      </c>
      <c r="CR89">
        <f>54.758</f>
        <v>54.758000000000003</v>
      </c>
      <c r="CS89">
        <f>40.076</f>
        <v>40.076000000000001</v>
      </c>
      <c r="CT89">
        <f>53.006</f>
        <v>53.006</v>
      </c>
      <c r="CU89">
        <f>69.384</f>
        <v>69.384</v>
      </c>
      <c r="CV89">
        <f>0</f>
        <v>0</v>
      </c>
      <c r="CW89">
        <f>1.3</f>
        <v>1.3</v>
      </c>
      <c r="CX89">
        <f>38.302</f>
        <v>38.302</v>
      </c>
      <c r="CY89">
        <f>68.51</f>
        <v>68.510000000000005</v>
      </c>
      <c r="CZ89">
        <f>105.947</f>
        <v>105.947</v>
      </c>
      <c r="DA89">
        <f>411.31</f>
        <v>411.31</v>
      </c>
      <c r="DB89">
        <f>314.887</f>
        <v>314.887</v>
      </c>
      <c r="DC89">
        <f>459.608</f>
        <v>459.608</v>
      </c>
      <c r="DD89">
        <f>376.063</f>
        <v>376.06299999999999</v>
      </c>
      <c r="DE89">
        <f>211.318</f>
        <v>211.31800000000001</v>
      </c>
      <c r="DF89">
        <f>664.522</f>
        <v>664.52200000000005</v>
      </c>
      <c r="DG89">
        <f>237.843</f>
        <v>237.84299999999999</v>
      </c>
      <c r="DH89">
        <f>159.541</f>
        <v>159.541</v>
      </c>
      <c r="DI89">
        <f>137.481</f>
        <v>137.48099999999999</v>
      </c>
      <c r="DJ89">
        <f>418.102</f>
        <v>418.10199999999998</v>
      </c>
      <c r="DK89">
        <f>294.857</f>
        <v>294.85700000000003</v>
      </c>
      <c r="DL89">
        <f>162.662</f>
        <v>162.66200000000001</v>
      </c>
      <c r="DM89">
        <f>159.253</f>
        <v>159.25299999999999</v>
      </c>
      <c r="DN89">
        <f>144.488</f>
        <v>144.488</v>
      </c>
      <c r="DO89">
        <f>65.767</f>
        <v>65.766999999999996</v>
      </c>
      <c r="DP89">
        <f>46.96</f>
        <v>46.96</v>
      </c>
      <c r="DQ89">
        <f>133.203</f>
        <v>133.203</v>
      </c>
      <c r="DR89">
        <f>3.7</f>
        <v>3.7</v>
      </c>
      <c r="DS89">
        <f>4.8</f>
        <v>4.8</v>
      </c>
      <c r="DT89">
        <f>0</f>
        <v>0</v>
      </c>
      <c r="DU89">
        <f>0</f>
        <v>0</v>
      </c>
    </row>
    <row r="90" spans="1:125">
      <c r="A90" t="str">
        <f>"    Residential REITs"</f>
        <v xml:space="preserve">    Residential REITs</v>
      </c>
      <c r="B90" t="str">
        <f>"RECFTARS Index"</f>
        <v>RECFTARS Index</v>
      </c>
      <c r="E90" t="str">
        <f t="shared" si="21"/>
        <v>Expression</v>
      </c>
      <c r="F90">
        <f ca="1">IF(AND($B$183=1,LEN($F$192)&gt;0),$F$192*1000,HLOOKUP(INDIRECT(ADDRESS(2,COLUMN())),OFFSET($BN$2,0,0,ROW()-1,60),ROW()-1,FALSE))</f>
        <v>1099.223</v>
      </c>
      <c r="G90">
        <f ca="1">IF(AND($B$183=1,LEN($G$192)&gt;0),$G$192*1000,HLOOKUP(INDIRECT(ADDRESS(2,COLUMN())),OFFSET($BN$2,0,0,ROW()-1,60),ROW()-1,FALSE))</f>
        <v>1704.75</v>
      </c>
      <c r="H90">
        <f ca="1">IF(AND($B$183=1,LEN($H$192)&gt;0),$H$192*1000,HLOOKUP(INDIRECT(ADDRESS(2,COLUMN())),OFFSET($BN$2,0,0,ROW()-1,60),ROW()-1,FALSE))</f>
        <v>2608.694</v>
      </c>
      <c r="I90">
        <f ca="1">IF(AND($B$183=1,LEN($I$192)&gt;0),$I$192*1000,HLOOKUP(INDIRECT(ADDRESS(2,COLUMN())),OFFSET($BN$2,0,0,ROW()-1,60),ROW()-1,FALSE))</f>
        <v>1204.154</v>
      </c>
      <c r="J90">
        <f ca="1">IF(AND($B$183=1,LEN($J$192)&gt;0),$J$192*1000,HLOOKUP(INDIRECT(ADDRESS(2,COLUMN())),OFFSET($BN$2,0,0,ROW()-1,60),ROW()-1,FALSE))</f>
        <v>1403.12</v>
      </c>
      <c r="K90">
        <f ca="1">IF(AND($B$183=1,LEN($K$192)&gt;0),$K$192*1000,HLOOKUP(INDIRECT(ADDRESS(2,COLUMN())),OFFSET($BN$2,0,0,ROW()-1,60),ROW()-1,FALSE))</f>
        <v>1352.059</v>
      </c>
      <c r="L90">
        <f ca="1">IF(AND($B$183=1,LEN($L$192)&gt;0),$L$192*1000,HLOOKUP(INDIRECT(ADDRESS(2,COLUMN())),OFFSET($BN$2,0,0,ROW()-1,60),ROW()-1,FALSE))</f>
        <v>2412.5160000000001</v>
      </c>
      <c r="M90">
        <f ca="1">IF(AND($B$183=1,LEN($M$192)&gt;0),$M$192*1000,HLOOKUP(INDIRECT(ADDRESS(2,COLUMN())),OFFSET($BN$2,0,0,ROW()-1,60),ROW()-1,FALSE))</f>
        <v>7168.5910000000003</v>
      </c>
      <c r="N90">
        <f ca="1">IF(AND($B$183=1,LEN($N$192)&gt;0),$N$192*1000,HLOOKUP(INDIRECT(ADDRESS(2,COLUMN())),OFFSET($BN$2,0,0,ROW()-1,60),ROW()-1,FALSE))</f>
        <v>1698.027</v>
      </c>
      <c r="O90">
        <f ca="1">IF(AND($B$183=1,LEN($O$192)&gt;0),$O$192*1000,HLOOKUP(INDIRECT(ADDRESS(2,COLUMN())),OFFSET($BN$2,0,0,ROW()-1,60),ROW()-1,FALSE))</f>
        <v>1613.857</v>
      </c>
      <c r="P90">
        <f ca="1">IF(AND($B$183=1,LEN($P$192)&gt;0),$P$192*1000,HLOOKUP(INDIRECT(ADDRESS(2,COLUMN())),OFFSET($BN$2,0,0,ROW()-1,60),ROW()-1,FALSE))</f>
        <v>2017.346</v>
      </c>
      <c r="Q90">
        <f ca="1">IF(AND($B$183=1,LEN($Q$192)&gt;0),$Q$192*1000,HLOOKUP(INDIRECT(ADDRESS(2,COLUMN())),OFFSET($BN$2,0,0,ROW()-1,60),ROW()-1,FALSE))</f>
        <v>1935.0060000000001</v>
      </c>
      <c r="R90">
        <f ca="1">IF(AND($B$183=1,LEN($R$192)&gt;0),$R$192*1000,HLOOKUP(INDIRECT(ADDRESS(2,COLUMN())),OFFSET($BN$2,0,0,ROW()-1,60),ROW()-1,FALSE))</f>
        <v>2496.1750000000002</v>
      </c>
      <c r="S90">
        <f ca="1">IF(AND($B$183=1,LEN($S$192)&gt;0),$S$192*1000,HLOOKUP(INDIRECT(ADDRESS(2,COLUMN())),OFFSET($BN$2,0,0,ROW()-1,60),ROW()-1,FALSE))</f>
        <v>1738.4870000000001</v>
      </c>
      <c r="T90">
        <f ca="1">IF(AND($B$183=1,LEN($T$192)&gt;0),$T$192*1000,HLOOKUP(INDIRECT(ADDRESS(2,COLUMN())),OFFSET($BN$2,0,0,ROW()-1,60),ROW()-1,FALSE))</f>
        <v>6003.2669999999998</v>
      </c>
      <c r="U90">
        <f ca="1">IF(AND($B$183=1,LEN($U$192)&gt;0),$U$192*1000,HLOOKUP(INDIRECT(ADDRESS(2,COLUMN())),OFFSET($BN$2,0,0,ROW()-1,60),ROW()-1,FALSE))</f>
        <v>1513.3979999999999</v>
      </c>
      <c r="V90">
        <f ca="1">IF(AND($B$183=1,LEN($V$192)&gt;0),$V$192*1000,HLOOKUP(INDIRECT(ADDRESS(2,COLUMN())),OFFSET($BN$2,0,0,ROW()-1,60),ROW()-1,FALSE))</f>
        <v>3439.3629999999998</v>
      </c>
      <c r="W90">
        <f ca="1">IF(AND($B$183=1,LEN($W$192)&gt;0),$W$192*1000,HLOOKUP(INDIRECT(ADDRESS(2,COLUMN())),OFFSET($BN$2,0,0,ROW()-1,60),ROW()-1,FALSE))</f>
        <v>1561.931</v>
      </c>
      <c r="X90">
        <f ca="1">IF(AND($B$183=1,LEN($X$192)&gt;0),$X$192*1000,HLOOKUP(INDIRECT(ADDRESS(2,COLUMN())),OFFSET($BN$2,0,0,ROW()-1,60),ROW()-1,FALSE))</f>
        <v>1078.0450000000001</v>
      </c>
      <c r="Y90">
        <f ca="1">IF(AND($B$183=1,LEN($Y$192)&gt;0),$Y$192*1000,HLOOKUP(INDIRECT(ADDRESS(2,COLUMN())),OFFSET($BN$2,0,0,ROW()-1,60),ROW()-1,FALSE))</f>
        <v>16025.226000000001</v>
      </c>
      <c r="Z90">
        <f ca="1">IF(AND($B$183=1,LEN($Z$192)&gt;0),$Z$192*1000,HLOOKUP(INDIRECT(ADDRESS(2,COLUMN())),OFFSET($BN$2,0,0,ROW()-1,60),ROW()-1,FALSE))</f>
        <v>2398.817</v>
      </c>
      <c r="AA90">
        <f ca="1">IF(AND($B$183=1,LEN($AA$192)&gt;0),$AA$192*1000,HLOOKUP(INDIRECT(ADDRESS(2,COLUMN())),OFFSET($BN$2,0,0,ROW()-1,60),ROW()-1,FALSE))</f>
        <v>2075.3629999999998</v>
      </c>
      <c r="AB90">
        <f ca="1">IF(AND($B$183=1,LEN($AB$192)&gt;0),$AB$192*1000,HLOOKUP(INDIRECT(ADDRESS(2,COLUMN())),OFFSET($BN$2,0,0,ROW()-1,60),ROW()-1,FALSE))</f>
        <v>1467.1030000000001</v>
      </c>
      <c r="AC90">
        <f ca="1">IF(AND($B$183=1,LEN($AC$192)&gt;0),$AC$192*1000,HLOOKUP(INDIRECT(ADDRESS(2,COLUMN())),OFFSET($BN$2,0,0,ROW()-1,60),ROW()-1,FALSE))</f>
        <v>2221.1640000000002</v>
      </c>
      <c r="AD90">
        <f ca="1">IF(AND($B$183=1,LEN($AD$192)&gt;0),$AD$192*1000,HLOOKUP(INDIRECT(ADDRESS(2,COLUMN())),OFFSET($BN$2,0,0,ROW()-1,60),ROW()-1,FALSE))</f>
        <v>2531.6190000000001</v>
      </c>
      <c r="AE90">
        <f ca="1">IF(AND($B$183=1,LEN($AE$192)&gt;0),$AE$192*1000,HLOOKUP(INDIRECT(ADDRESS(2,COLUMN())),OFFSET($BN$2,0,0,ROW()-1,60),ROW()-1,FALSE))</f>
        <v>3115.9079999999999</v>
      </c>
      <c r="AF90">
        <f ca="1">IF(AND($B$183=1,LEN($AF$192)&gt;0),$AF$192*1000,HLOOKUP(INDIRECT(ADDRESS(2,COLUMN())),OFFSET($BN$2,0,0,ROW()-1,60),ROW()-1,FALSE))</f>
        <v>2431.2489999999998</v>
      </c>
      <c r="AG90">
        <f ca="1">IF(AND($B$183=1,LEN($AG$192)&gt;0),$AG$192*1000,HLOOKUP(INDIRECT(ADDRESS(2,COLUMN())),OFFSET($BN$2,0,0,ROW()-1,60),ROW()-1,FALSE))</f>
        <v>597.92399999999998</v>
      </c>
      <c r="AH90">
        <f ca="1">IF(AND($B$183=1,LEN($AH$192)&gt;0),$AH$192*1000,HLOOKUP(INDIRECT(ADDRESS(2,COLUMN())),OFFSET($BN$2,0,0,ROW()-1,60),ROW()-1,FALSE))</f>
        <v>1094.7739999999999</v>
      </c>
      <c r="AI90">
        <f ca="1">IF(AND($B$183=1,LEN($AI$192)&gt;0),$AI$192*1000,HLOOKUP(INDIRECT(ADDRESS(2,COLUMN())),OFFSET($BN$2,0,0,ROW()-1,60),ROW()-1,FALSE))</f>
        <v>2454.5</v>
      </c>
      <c r="AJ90">
        <f ca="1">IF(AND($B$183=1,LEN($AJ$192)&gt;0),$AJ$192*1000,HLOOKUP(INDIRECT(ADDRESS(2,COLUMN())),OFFSET($BN$2,0,0,ROW()-1,60),ROW()-1,FALSE))</f>
        <v>521.64</v>
      </c>
      <c r="AK90">
        <f ca="1">IF(AND($B$183=1,LEN($AK$192)&gt;0),$AK$192*1000,HLOOKUP(INDIRECT(ADDRESS(2,COLUMN())),OFFSET($BN$2,0,0,ROW()-1,60),ROW()-1,FALSE))</f>
        <v>854.61199999999997</v>
      </c>
      <c r="AL90">
        <f ca="1">IF(AND($B$183=1,LEN($AL$192)&gt;0),$AL$192*1000,HLOOKUP(INDIRECT(ADDRESS(2,COLUMN())),OFFSET($BN$2,0,0,ROW()-1,60),ROW()-1,FALSE))</f>
        <v>524.23599999999999</v>
      </c>
      <c r="AM90">
        <f ca="1">IF(AND($B$183=1,LEN($AM$192)&gt;0),$AM$192*1000,HLOOKUP(INDIRECT(ADDRESS(2,COLUMN())),OFFSET($BN$2,0,0,ROW()-1,60),ROW()-1,FALSE))</f>
        <v>44.838999999999999</v>
      </c>
      <c r="AN90">
        <f ca="1">IF(AND($B$183=1,LEN($AN$192)&gt;0),$AN$192*1000,HLOOKUP(INDIRECT(ADDRESS(2,COLUMN())),OFFSET($BN$2,0,0,ROW()-1,60),ROW()-1,FALSE))</f>
        <v>50.6</v>
      </c>
      <c r="AO90">
        <f ca="1">IF(AND($B$183=1,LEN($AO$192)&gt;0),$AO$192*1000,HLOOKUP(INDIRECT(ADDRESS(2,COLUMN())),OFFSET($BN$2,0,0,ROW()-1,60),ROW()-1,FALSE))</f>
        <v>0</v>
      </c>
      <c r="AP90">
        <f ca="1">IF(AND($B$183=1,LEN($AP$192)&gt;0),$AP$192*1000,HLOOKUP(INDIRECT(ADDRESS(2,COLUMN())),OFFSET($BN$2,0,0,ROW()-1,60),ROW()-1,FALSE))</f>
        <v>180.80099999999999</v>
      </c>
      <c r="AQ90">
        <f ca="1">IF(AND($B$183=1,LEN($AQ$192)&gt;0),$AQ$192*1000,HLOOKUP(INDIRECT(ADDRESS(2,COLUMN())),OFFSET($BN$2,0,0,ROW()-1,60),ROW()-1,FALSE))</f>
        <v>393.71</v>
      </c>
      <c r="AR90">
        <f ca="1">IF(AND($B$183=1,LEN($AR$192)&gt;0),$AR$192*1000,HLOOKUP(INDIRECT(ADDRESS(2,COLUMN())),OFFSET($BN$2,0,0,ROW()-1,60),ROW()-1,FALSE))</f>
        <v>1617.4</v>
      </c>
      <c r="AS90">
        <f ca="1">IF(AND($B$183=1,LEN($AS$192)&gt;0),$AS$192*1000,HLOOKUP(INDIRECT(ADDRESS(2,COLUMN())),OFFSET($BN$2,0,0,ROW()-1,60),ROW()-1,FALSE))</f>
        <v>652.93799999999999</v>
      </c>
      <c r="AT90">
        <f ca="1">IF(AND($B$183=1,LEN($AT$192)&gt;0),$AT$192*1000,HLOOKUP(INDIRECT(ADDRESS(2,COLUMN())),OFFSET($BN$2,0,0,ROW()-1,60),ROW()-1,FALSE))</f>
        <v>374.14100000000002</v>
      </c>
      <c r="AU90">
        <f ca="1">IF(AND($B$183=1,LEN($AU$192)&gt;0),$AU$192*1000,HLOOKUP(INDIRECT(ADDRESS(2,COLUMN())),OFFSET($BN$2,0,0,ROW()-1,60),ROW()-1,FALSE))</f>
        <v>822.48</v>
      </c>
      <c r="AV90">
        <f ca="1">IF(AND($B$183=1,LEN($AV$192)&gt;0),$AV$192*1000,HLOOKUP(INDIRECT(ADDRESS(2,COLUMN())),OFFSET($BN$2,0,0,ROW()-1,60),ROW()-1,FALSE))</f>
        <v>1799.769</v>
      </c>
      <c r="AW90">
        <f ca="1">IF(AND($B$183=1,LEN($AW$192)&gt;0),$AW$192*1000,HLOOKUP(INDIRECT(ADDRESS(2,COLUMN())),OFFSET($BN$2,0,0,ROW()-1,60),ROW()-1,FALSE))</f>
        <v>1301.96</v>
      </c>
      <c r="AX90">
        <f ca="1">IF(AND($B$183=1,LEN($AX$192)&gt;0),$AX$192*1000,HLOOKUP(INDIRECT(ADDRESS(2,COLUMN())),OFFSET($BN$2,0,0,ROW()-1,60),ROW()-1,FALSE))</f>
        <v>1312.23</v>
      </c>
      <c r="AY90">
        <f ca="1">IF(AND($B$183=1,LEN($AY$192)&gt;0),$AY$192*1000,HLOOKUP(INDIRECT(ADDRESS(2,COLUMN())),OFFSET($BN$2,0,0,ROW()-1,60),ROW()-1,FALSE))</f>
        <v>1892.9659999999999</v>
      </c>
      <c r="AZ90">
        <f ca="1">IF(AND($B$183=1,LEN($AZ$192)&gt;0),$AZ$192*1000,HLOOKUP(INDIRECT(ADDRESS(2,COLUMN())),OFFSET($BN$2,0,0,ROW()-1,60),ROW()-1,FALSE))</f>
        <v>1318.1610000000001</v>
      </c>
      <c r="BA90">
        <f ca="1">IF(AND($B$183=1,LEN($BA$192)&gt;0),$BA$192*1000,HLOOKUP(INDIRECT(ADDRESS(2,COLUMN())),OFFSET($BN$2,0,0,ROW()-1,60),ROW()-1,FALSE))</f>
        <v>1840.8879999999999</v>
      </c>
      <c r="BB90">
        <f ca="1">IF(AND($B$183=1,LEN($BB$192)&gt;0),$BB$192*1000,HLOOKUP(INDIRECT(ADDRESS(2,COLUMN())),OFFSET($BN$2,0,0,ROW()-1,60),ROW()-1,FALSE))</f>
        <v>2350.154</v>
      </c>
      <c r="BC90">
        <f ca="1">IF(AND($B$183=1,LEN($BC$192)&gt;0),$BC$192*1000,HLOOKUP(INDIRECT(ADDRESS(2,COLUMN())),OFFSET($BN$2,0,0,ROW()-1,60),ROW()-1,FALSE))</f>
        <v>3082.886</v>
      </c>
      <c r="BD90">
        <f ca="1">IF(AND($B$183=1,LEN($BD$192)&gt;0),$BD$192*1000,HLOOKUP(INDIRECT(ADDRESS(2,COLUMN())),OFFSET($BN$2,0,0,ROW()-1,60),ROW()-1,FALSE))</f>
        <v>1037.875</v>
      </c>
      <c r="BE90">
        <f ca="1">IF(AND($B$183=1,LEN($BE$192)&gt;0),$BE$192*1000,HLOOKUP(INDIRECT(ADDRESS(2,COLUMN())),OFFSET($BN$2,0,0,ROW()-1,60),ROW()-1,FALSE))</f>
        <v>3336.4259999999999</v>
      </c>
      <c r="BF90">
        <f ca="1">IF(AND($B$183=1,LEN($BF$192)&gt;0),$BF$192*1000,HLOOKUP(INDIRECT(ADDRESS(2,COLUMN())),OFFSET($BN$2,0,0,ROW()-1,60),ROW()-1,FALSE))</f>
        <v>1650.96</v>
      </c>
      <c r="BG90">
        <f ca="1">IF(AND($B$183=1,LEN($BG$192)&gt;0),$BG$192*1000,HLOOKUP(INDIRECT(ADDRESS(2,COLUMN())),OFFSET($BN$2,0,0,ROW()-1,60),ROW()-1,FALSE))</f>
        <v>1558.4359999999999</v>
      </c>
      <c r="BH90">
        <f ca="1">IF(AND($B$183=1,LEN($BH$192)&gt;0),$BH$192*1000,HLOOKUP(INDIRECT(ADDRESS(2,COLUMN())),OFFSET($BN$2,0,0,ROW()-1,60),ROW()-1,FALSE))</f>
        <v>1021.283</v>
      </c>
      <c r="BI90">
        <f ca="1">IF(AND($B$183=1,LEN($BI$192)&gt;0),$BI$192*1000,HLOOKUP(INDIRECT(ADDRESS(2,COLUMN())),OFFSET($BN$2,0,0,ROW()-1,60),ROW()-1,FALSE))</f>
        <v>2156.1060000000002</v>
      </c>
      <c r="BJ90">
        <f ca="1">IF(AND($B$183=1,LEN($BJ$192)&gt;0),$BJ$192*1000,HLOOKUP(INDIRECT(ADDRESS(2,COLUMN())),OFFSET($BN$2,0,0,ROW()-1,60),ROW()-1,FALSE))</f>
        <v>17.399999999999999</v>
      </c>
      <c r="BK90">
        <f ca="1">IF(AND($B$183=1,LEN($BK$192)&gt;0),$BK$192*1000,HLOOKUP(INDIRECT(ADDRESS(2,COLUMN())),OFFSET($BN$2,0,0,ROW()-1,60),ROW()-1,FALSE))</f>
        <v>58.9</v>
      </c>
      <c r="BL90">
        <f ca="1">IF(AND($B$183=1,LEN($BL$192)&gt;0),$BL$192*1000,HLOOKUP(INDIRECT(ADDRESS(2,COLUMN())),OFFSET($BN$2,0,0,ROW()-1,60),ROW()-1,FALSE))</f>
        <v>0</v>
      </c>
      <c r="BM90">
        <f ca="1">IF(AND($B$183=1,LEN($BM$192)&gt;0),$BM$192*1000,HLOOKUP(INDIRECT(ADDRESS(2,COLUMN())),OFFSET($BN$2,0,0,ROW()-1,60),ROW()-1,FALSE))</f>
        <v>0</v>
      </c>
      <c r="BN90">
        <f>1099.223</f>
        <v>1099.223</v>
      </c>
      <c r="BO90">
        <f>1704.75</f>
        <v>1704.75</v>
      </c>
      <c r="BP90">
        <f>2608.694</f>
        <v>2608.694</v>
      </c>
      <c r="BQ90">
        <f>1204.154</f>
        <v>1204.154</v>
      </c>
      <c r="BR90">
        <f>1403.12</f>
        <v>1403.12</v>
      </c>
      <c r="BS90">
        <f>1352.059</f>
        <v>1352.059</v>
      </c>
      <c r="BT90">
        <f>2412.516</f>
        <v>2412.5160000000001</v>
      </c>
      <c r="BU90">
        <f>7168.591</f>
        <v>7168.5910000000003</v>
      </c>
      <c r="BV90">
        <f>1698.027</f>
        <v>1698.027</v>
      </c>
      <c r="BW90">
        <f>1613.857</f>
        <v>1613.857</v>
      </c>
      <c r="BX90">
        <f>2017.346</f>
        <v>2017.346</v>
      </c>
      <c r="BY90">
        <f>1935.006</f>
        <v>1935.0060000000001</v>
      </c>
      <c r="BZ90">
        <f>2496.175</f>
        <v>2496.1750000000002</v>
      </c>
      <c r="CA90">
        <f>1738.487</f>
        <v>1738.4870000000001</v>
      </c>
      <c r="CB90">
        <f>6003.267</f>
        <v>6003.2669999999998</v>
      </c>
      <c r="CC90">
        <f>1513.398</f>
        <v>1513.3979999999999</v>
      </c>
      <c r="CD90">
        <f>3439.363</f>
        <v>3439.3629999999998</v>
      </c>
      <c r="CE90">
        <f>1561.931</f>
        <v>1561.931</v>
      </c>
      <c r="CF90">
        <f>1078.045</f>
        <v>1078.0450000000001</v>
      </c>
      <c r="CG90">
        <f>16025.226</f>
        <v>16025.226000000001</v>
      </c>
      <c r="CH90">
        <f>2398.817</f>
        <v>2398.817</v>
      </c>
      <c r="CI90">
        <f>2075.363</f>
        <v>2075.3629999999998</v>
      </c>
      <c r="CJ90">
        <f>1467.103</f>
        <v>1467.1030000000001</v>
      </c>
      <c r="CK90">
        <f>2221.164</f>
        <v>2221.1640000000002</v>
      </c>
      <c r="CL90">
        <f>2531.619</f>
        <v>2531.6190000000001</v>
      </c>
      <c r="CM90">
        <f>3115.908</f>
        <v>3115.9079999999999</v>
      </c>
      <c r="CN90">
        <f>2431.249</f>
        <v>2431.2489999999998</v>
      </c>
      <c r="CO90">
        <f>597.924</f>
        <v>597.92399999999998</v>
      </c>
      <c r="CP90">
        <f>1094.774</f>
        <v>1094.7739999999999</v>
      </c>
      <c r="CQ90">
        <f>2454.5</f>
        <v>2454.5</v>
      </c>
      <c r="CR90">
        <f>521.64</f>
        <v>521.64</v>
      </c>
      <c r="CS90">
        <f>854.612</f>
        <v>854.61199999999997</v>
      </c>
      <c r="CT90">
        <f>524.236</f>
        <v>524.23599999999999</v>
      </c>
      <c r="CU90">
        <f>44.839</f>
        <v>44.838999999999999</v>
      </c>
      <c r="CV90">
        <f>50.6</f>
        <v>50.6</v>
      </c>
      <c r="CW90">
        <f>0</f>
        <v>0</v>
      </c>
      <c r="CX90">
        <f>180.801</f>
        <v>180.80099999999999</v>
      </c>
      <c r="CY90">
        <f>393.71</f>
        <v>393.71</v>
      </c>
      <c r="CZ90">
        <f>1617.4</f>
        <v>1617.4</v>
      </c>
      <c r="DA90">
        <f>652.938</f>
        <v>652.93799999999999</v>
      </c>
      <c r="DB90">
        <f>374.141</f>
        <v>374.14100000000002</v>
      </c>
      <c r="DC90">
        <f>822.48</f>
        <v>822.48</v>
      </c>
      <c r="DD90">
        <f>1799.769</f>
        <v>1799.769</v>
      </c>
      <c r="DE90">
        <f>1301.96</f>
        <v>1301.96</v>
      </c>
      <c r="DF90">
        <f>1312.23</f>
        <v>1312.23</v>
      </c>
      <c r="DG90">
        <f>1892.966</f>
        <v>1892.9659999999999</v>
      </c>
      <c r="DH90">
        <f>1318.161</f>
        <v>1318.1610000000001</v>
      </c>
      <c r="DI90">
        <f>1840.888</f>
        <v>1840.8879999999999</v>
      </c>
      <c r="DJ90">
        <f>2350.154</f>
        <v>2350.154</v>
      </c>
      <c r="DK90">
        <f>3082.886</f>
        <v>3082.886</v>
      </c>
      <c r="DL90">
        <f>1037.875</f>
        <v>1037.875</v>
      </c>
      <c r="DM90">
        <f>3336.426</f>
        <v>3336.4259999999999</v>
      </c>
      <c r="DN90">
        <f>1650.96</f>
        <v>1650.96</v>
      </c>
      <c r="DO90">
        <f>1558.436</f>
        <v>1558.4359999999999</v>
      </c>
      <c r="DP90">
        <f>1021.283</f>
        <v>1021.283</v>
      </c>
      <c r="DQ90">
        <f>2156.106</f>
        <v>2156.1060000000002</v>
      </c>
      <c r="DR90">
        <f>17.4</f>
        <v>17.399999999999999</v>
      </c>
      <c r="DS90">
        <f>58.9</f>
        <v>58.9</v>
      </c>
      <c r="DT90">
        <f>0</f>
        <v>0</v>
      </c>
      <c r="DU90">
        <f>0</f>
        <v>0</v>
      </c>
    </row>
    <row r="91" spans="1:125">
      <c r="A91" t="str">
        <f>"    Apartment REITs"</f>
        <v xml:space="preserve">    Apartment REITs</v>
      </c>
      <c r="B91" t="str">
        <f>"RECFTAAP Index"</f>
        <v>RECFTAAP Index</v>
      </c>
      <c r="E91" t="str">
        <f t="shared" si="21"/>
        <v>Expression</v>
      </c>
      <c r="F91">
        <f ca="1">IF(AND($B$183=1,LEN($F$193)&gt;0),$F$193*1000,HLOOKUP(INDIRECT(ADDRESS(2,COLUMN())),OFFSET($BN$2,0,0,ROW()-1,60),ROW()-1,FALSE))</f>
        <v>832.351</v>
      </c>
      <c r="G91">
        <f ca="1">IF(AND($B$183=1,LEN($G$193)&gt;0),$G$193*1000,HLOOKUP(INDIRECT(ADDRESS(2,COLUMN())),OFFSET($BN$2,0,0,ROW()-1,60),ROW()-1,FALSE))</f>
        <v>1321.989</v>
      </c>
      <c r="H91">
        <f ca="1">IF(AND($B$183=1,LEN($H$193)&gt;0),$H$193*1000,HLOOKUP(INDIRECT(ADDRESS(2,COLUMN())),OFFSET($BN$2,0,0,ROW()-1,60),ROW()-1,FALSE))</f>
        <v>1405.6859999999999</v>
      </c>
      <c r="I91">
        <f ca="1">IF(AND($B$183=1,LEN($I$193)&gt;0),$I$193*1000,HLOOKUP(INDIRECT(ADDRESS(2,COLUMN())),OFFSET($BN$2,0,0,ROW()-1,60),ROW()-1,FALSE))</f>
        <v>1026.797</v>
      </c>
      <c r="J91">
        <f ca="1">IF(AND($B$183=1,LEN($J$193)&gt;0),$J$193*1000,HLOOKUP(INDIRECT(ADDRESS(2,COLUMN())),OFFSET($BN$2,0,0,ROW()-1,60),ROW()-1,FALSE))</f>
        <v>1129.424</v>
      </c>
      <c r="K91">
        <f ca="1">IF(AND($B$183=1,LEN($K$193)&gt;0),$K$193*1000,HLOOKUP(INDIRECT(ADDRESS(2,COLUMN())),OFFSET($BN$2,0,0,ROW()-1,60),ROW()-1,FALSE))</f>
        <v>1203.722</v>
      </c>
      <c r="L91">
        <f ca="1">IF(AND($B$183=1,LEN($L$193)&gt;0),$L$193*1000,HLOOKUP(INDIRECT(ADDRESS(2,COLUMN())),OFFSET($BN$2,0,0,ROW()-1,60),ROW()-1,FALSE))</f>
        <v>611.57600000000002</v>
      </c>
      <c r="M91">
        <f ca="1">IF(AND($B$183=1,LEN($M$193)&gt;0),$M$193*1000,HLOOKUP(INDIRECT(ADDRESS(2,COLUMN())),OFFSET($BN$2,0,0,ROW()-1,60),ROW()-1,FALSE))</f>
        <v>1051.135</v>
      </c>
      <c r="N91">
        <f ca="1">IF(AND($B$183=1,LEN($N$193)&gt;0),$N$193*1000,HLOOKUP(INDIRECT(ADDRESS(2,COLUMN())),OFFSET($BN$2,0,0,ROW()-1,60),ROW()-1,FALSE))</f>
        <v>1618.74</v>
      </c>
      <c r="O91">
        <f ca="1">IF(AND($B$183=1,LEN($O$193)&gt;0),$O$193*1000,HLOOKUP(INDIRECT(ADDRESS(2,COLUMN())),OFFSET($BN$2,0,0,ROW()-1,60),ROW()-1,FALSE))</f>
        <v>1408.38</v>
      </c>
      <c r="P91">
        <f ca="1">IF(AND($B$183=1,LEN($P$193)&gt;0),$P$193*1000,HLOOKUP(INDIRECT(ADDRESS(2,COLUMN())),OFFSET($BN$2,0,0,ROW()-1,60),ROW()-1,FALSE))</f>
        <v>1320.3240000000001</v>
      </c>
      <c r="Q91">
        <f ca="1">IF(AND($B$183=1,LEN($Q$193)&gt;0),$Q$193*1000,HLOOKUP(INDIRECT(ADDRESS(2,COLUMN())),OFFSET($BN$2,0,0,ROW()-1,60),ROW()-1,FALSE))</f>
        <v>983.00900000000001</v>
      </c>
      <c r="R91">
        <f ca="1">IF(AND($B$183=1,LEN($R$193)&gt;0),$R$193*1000,HLOOKUP(INDIRECT(ADDRESS(2,COLUMN())),OFFSET($BN$2,0,0,ROW()-1,60),ROW()-1,FALSE))</f>
        <v>1354.02</v>
      </c>
      <c r="S91">
        <f ca="1">IF(AND($B$183=1,LEN($S$193)&gt;0),$S$193*1000,HLOOKUP(INDIRECT(ADDRESS(2,COLUMN())),OFFSET($BN$2,0,0,ROW()-1,60),ROW()-1,FALSE))</f>
        <v>1260.443</v>
      </c>
      <c r="T91">
        <f ca="1">IF(AND($B$183=1,LEN($T$193)&gt;0),$T$193*1000,HLOOKUP(INDIRECT(ADDRESS(2,COLUMN())),OFFSET($BN$2,0,0,ROW()-1,60),ROW()-1,FALSE))</f>
        <v>5551.1859999999997</v>
      </c>
      <c r="U91">
        <f ca="1">IF(AND($B$183=1,LEN($U$193)&gt;0),$U$193*1000,HLOOKUP(INDIRECT(ADDRESS(2,COLUMN())),OFFSET($BN$2,0,0,ROW()-1,60),ROW()-1,FALSE))</f>
        <v>576.71900000000005</v>
      </c>
      <c r="V91">
        <f ca="1">IF(AND($B$183=1,LEN($V$193)&gt;0),$V$193*1000,HLOOKUP(INDIRECT(ADDRESS(2,COLUMN())),OFFSET($BN$2,0,0,ROW()-1,60),ROW()-1,FALSE))</f>
        <v>2965.0970000000002</v>
      </c>
      <c r="W91">
        <f ca="1">IF(AND($B$183=1,LEN($W$193)&gt;0),$W$193*1000,HLOOKUP(INDIRECT(ADDRESS(2,COLUMN())),OFFSET($BN$2,0,0,ROW()-1,60),ROW()-1,FALSE))</f>
        <v>798.36400000000003</v>
      </c>
      <c r="X91">
        <f ca="1">IF(AND($B$183=1,LEN($X$193)&gt;0),$X$193*1000,HLOOKUP(INDIRECT(ADDRESS(2,COLUMN())),OFFSET($BN$2,0,0,ROW()-1,60),ROW()-1,FALSE))</f>
        <v>737.68100000000004</v>
      </c>
      <c r="Y91">
        <f ca="1">IF(AND($B$183=1,LEN($Y$193)&gt;0),$Y$193*1000,HLOOKUP(INDIRECT(ADDRESS(2,COLUMN())),OFFSET($BN$2,0,0,ROW()-1,60),ROW()-1,FALSE))</f>
        <v>15703.793</v>
      </c>
      <c r="Z91">
        <f ca="1">IF(AND($B$183=1,LEN($Z$193)&gt;0),$Z$193*1000,HLOOKUP(INDIRECT(ADDRESS(2,COLUMN())),OFFSET($BN$2,0,0,ROW()-1,60),ROW()-1,FALSE))</f>
        <v>2025.3119999999999</v>
      </c>
      <c r="AA91">
        <f ca="1">IF(AND($B$183=1,LEN($AA$193)&gt;0),$AA$193*1000,HLOOKUP(INDIRECT(ADDRESS(2,COLUMN())),OFFSET($BN$2,0,0,ROW()-1,60),ROW()-1,FALSE))</f>
        <v>1999.8130000000001</v>
      </c>
      <c r="AB91">
        <f ca="1">IF(AND($B$183=1,LEN($AB$193)&gt;0),$AB$193*1000,HLOOKUP(INDIRECT(ADDRESS(2,COLUMN())),OFFSET($BN$2,0,0,ROW()-1,60),ROW()-1,FALSE))</f>
        <v>1467.1030000000001</v>
      </c>
      <c r="AC91">
        <f ca="1">IF(AND($B$183=1,LEN($AC$193)&gt;0),$AC$193*1000,HLOOKUP(INDIRECT(ADDRESS(2,COLUMN())),OFFSET($BN$2,0,0,ROW()-1,60),ROW()-1,FALSE))</f>
        <v>2194.5639999999999</v>
      </c>
      <c r="AD91">
        <f ca="1">IF(AND($B$183=1,LEN($AD$193)&gt;0),$AD$193*1000,HLOOKUP(INDIRECT(ADDRESS(2,COLUMN())),OFFSET($BN$2,0,0,ROW()-1,60),ROW()-1,FALSE))</f>
        <v>2044.9190000000001</v>
      </c>
      <c r="AE91">
        <f ca="1">IF(AND($B$183=1,LEN($AE$193)&gt;0),$AE$193*1000,HLOOKUP(INDIRECT(ADDRESS(2,COLUMN())),OFFSET($BN$2,0,0,ROW()-1,60),ROW()-1,FALSE))</f>
        <v>2056.808</v>
      </c>
      <c r="AF91">
        <f ca="1">IF(AND($B$183=1,LEN($AF$193)&gt;0),$AF$193*1000,HLOOKUP(INDIRECT(ADDRESS(2,COLUMN())),OFFSET($BN$2,0,0,ROW()-1,60),ROW()-1,FALSE))</f>
        <v>2268.4490000000001</v>
      </c>
      <c r="AG91">
        <f ca="1">IF(AND($B$183=1,LEN($AG$193)&gt;0),$AG$193*1000,HLOOKUP(INDIRECT(ADDRESS(2,COLUMN())),OFFSET($BN$2,0,0,ROW()-1,60),ROW()-1,FALSE))</f>
        <v>597.92399999999998</v>
      </c>
      <c r="AH91">
        <f ca="1">IF(AND($B$183=1,LEN($AH$193)&gt;0),$AH$193*1000,HLOOKUP(INDIRECT(ADDRESS(2,COLUMN())),OFFSET($BN$2,0,0,ROW()-1,60),ROW()-1,FALSE))</f>
        <v>1070.5239999999999</v>
      </c>
      <c r="AI91">
        <f ca="1">IF(AND($B$183=1,LEN($AI$193)&gt;0),$AI$193*1000,HLOOKUP(INDIRECT(ADDRESS(2,COLUMN())),OFFSET($BN$2,0,0,ROW()-1,60),ROW()-1,FALSE))</f>
        <v>2454.5</v>
      </c>
      <c r="AJ91">
        <f ca="1">IF(AND($B$183=1,LEN($AJ$193)&gt;0),$AJ$193*1000,HLOOKUP(INDIRECT(ADDRESS(2,COLUMN())),OFFSET($BN$2,0,0,ROW()-1,60),ROW()-1,FALSE))</f>
        <v>506.44</v>
      </c>
      <c r="AK91">
        <f ca="1">IF(AND($B$183=1,LEN($AK$193)&gt;0),$AK$193*1000,HLOOKUP(INDIRECT(ADDRESS(2,COLUMN())),OFFSET($BN$2,0,0,ROW()-1,60),ROW()-1,FALSE))</f>
        <v>854.61199999999997</v>
      </c>
      <c r="AL91">
        <f ca="1">IF(AND($B$183=1,LEN($AL$193)&gt;0),$AL$193*1000,HLOOKUP(INDIRECT(ADDRESS(2,COLUMN())),OFFSET($BN$2,0,0,ROW()-1,60),ROW()-1,FALSE))</f>
        <v>524.23599999999999</v>
      </c>
      <c r="AM91">
        <f ca="1">IF(AND($B$183=1,LEN($AM$193)&gt;0),$AM$193*1000,HLOOKUP(INDIRECT(ADDRESS(2,COLUMN())),OFFSET($BN$2,0,0,ROW()-1,60),ROW()-1,FALSE))</f>
        <v>44.838999999999999</v>
      </c>
      <c r="AN91">
        <f ca="1">IF(AND($B$183=1,LEN($AN$193)&gt;0),$AN$193*1000,HLOOKUP(INDIRECT(ADDRESS(2,COLUMN())),OFFSET($BN$2,0,0,ROW()-1,60),ROW()-1,FALSE))</f>
        <v>50.6</v>
      </c>
      <c r="AO91">
        <f ca="1">IF(AND($B$183=1,LEN($AO$193)&gt;0),$AO$193*1000,HLOOKUP(INDIRECT(ADDRESS(2,COLUMN())),OFFSET($BN$2,0,0,ROW()-1,60),ROW()-1,FALSE))</f>
        <v>0</v>
      </c>
      <c r="AP91">
        <f ca="1">IF(AND($B$183=1,LEN($AP$193)&gt;0),$AP$193*1000,HLOOKUP(INDIRECT(ADDRESS(2,COLUMN())),OFFSET($BN$2,0,0,ROW()-1,60),ROW()-1,FALSE))</f>
        <v>180.80099999999999</v>
      </c>
      <c r="AQ91">
        <f ca="1">IF(AND($B$183=1,LEN($AQ$193)&gt;0),$AQ$193*1000,HLOOKUP(INDIRECT(ADDRESS(2,COLUMN())),OFFSET($BN$2,0,0,ROW()-1,60),ROW()-1,FALSE))</f>
        <v>393.71</v>
      </c>
      <c r="AR91">
        <f ca="1">IF(AND($B$183=1,LEN($AR$193)&gt;0),$AR$193*1000,HLOOKUP(INDIRECT(ADDRESS(2,COLUMN())),OFFSET($BN$2,0,0,ROW()-1,60),ROW()-1,FALSE))</f>
        <v>1617.4</v>
      </c>
      <c r="AS91">
        <f ca="1">IF(AND($B$183=1,LEN($AS$193)&gt;0),$AS$193*1000,HLOOKUP(INDIRECT(ADDRESS(2,COLUMN())),OFFSET($BN$2,0,0,ROW()-1,60),ROW()-1,FALSE))</f>
        <v>643.03800000000001</v>
      </c>
      <c r="AT91">
        <f ca="1">IF(AND($B$183=1,LEN($AT$193)&gt;0),$AT$193*1000,HLOOKUP(INDIRECT(ADDRESS(2,COLUMN())),OFFSET($BN$2,0,0,ROW()-1,60),ROW()-1,FALSE))</f>
        <v>366.84100000000001</v>
      </c>
      <c r="AU91">
        <f ca="1">IF(AND($B$183=1,LEN($AU$193)&gt;0),$AU$193*1000,HLOOKUP(INDIRECT(ADDRESS(2,COLUMN())),OFFSET($BN$2,0,0,ROW()-1,60),ROW()-1,FALSE))</f>
        <v>810.48</v>
      </c>
      <c r="AV91">
        <f ca="1">IF(AND($B$183=1,LEN($AV$193)&gt;0),$AV$193*1000,HLOOKUP(INDIRECT(ADDRESS(2,COLUMN())),OFFSET($BN$2,0,0,ROW()-1,60),ROW()-1,FALSE))</f>
        <v>1788.8689999999999</v>
      </c>
      <c r="AW91">
        <f ca="1">IF(AND($B$183=1,LEN($AW$193)&gt;0),$AW$193*1000,HLOOKUP(INDIRECT(ADDRESS(2,COLUMN())),OFFSET($BN$2,0,0,ROW()-1,60),ROW()-1,FALSE))</f>
        <v>1296.06</v>
      </c>
      <c r="AX91">
        <f ca="1">IF(AND($B$183=1,LEN($AX$193)&gt;0),$AX$193*1000,HLOOKUP(INDIRECT(ADDRESS(2,COLUMN())),OFFSET($BN$2,0,0,ROW()-1,60),ROW()-1,FALSE))</f>
        <v>1280.53</v>
      </c>
      <c r="AY91">
        <f ca="1">IF(AND($B$183=1,LEN($AY$193)&gt;0),$AY$193*1000,HLOOKUP(INDIRECT(ADDRESS(2,COLUMN())),OFFSET($BN$2,0,0,ROW()-1,60),ROW()-1,FALSE))</f>
        <v>1892.9659999999999</v>
      </c>
      <c r="AZ91">
        <f ca="1">IF(AND($B$183=1,LEN($AZ$193)&gt;0),$AZ$193*1000,HLOOKUP(INDIRECT(ADDRESS(2,COLUMN())),OFFSET($BN$2,0,0,ROW()-1,60),ROW()-1,FALSE))</f>
        <v>1291.06</v>
      </c>
      <c r="BA91">
        <f ca="1">IF(AND($B$183=1,LEN($BA$193)&gt;0),$BA$193*1000,HLOOKUP(INDIRECT(ADDRESS(2,COLUMN())),OFFSET($BN$2,0,0,ROW()-1,60),ROW()-1,FALSE))</f>
        <v>1722.8879999999999</v>
      </c>
      <c r="BB91">
        <f ca="1">IF(AND($B$183=1,LEN($BB$193)&gt;0),$BB$193*1000,HLOOKUP(INDIRECT(ADDRESS(2,COLUMN())),OFFSET($BN$2,0,0,ROW()-1,60),ROW()-1,FALSE))</f>
        <v>2348.654</v>
      </c>
      <c r="BC91">
        <f ca="1">IF(AND($B$183=1,LEN($BC$193)&gt;0),$BC$193*1000,HLOOKUP(INDIRECT(ADDRESS(2,COLUMN())),OFFSET($BN$2,0,0,ROW()-1,60),ROW()-1,FALSE))</f>
        <v>2999.5859999999998</v>
      </c>
      <c r="BD91">
        <f ca="1">IF(AND($B$183=1,LEN($BD$193)&gt;0),$BD$193*1000,HLOOKUP(INDIRECT(ADDRESS(2,COLUMN())),OFFSET($BN$2,0,0,ROW()-1,60),ROW()-1,FALSE))</f>
        <v>1031.2760000000001</v>
      </c>
      <c r="BE91">
        <f ca="1">IF(AND($B$183=1,LEN($BE$193)&gt;0),$BE$193*1000,HLOOKUP(INDIRECT(ADDRESS(2,COLUMN())),OFFSET($BN$2,0,0,ROW()-1,60),ROW()-1,FALSE))</f>
        <v>3329.1260000000002</v>
      </c>
      <c r="BF91">
        <f ca="1">IF(AND($B$183=1,LEN($BF$193)&gt;0),$BF$193*1000,HLOOKUP(INDIRECT(ADDRESS(2,COLUMN())),OFFSET($BN$2,0,0,ROW()-1,60),ROW()-1,FALSE))</f>
        <v>1439.16</v>
      </c>
      <c r="BG91">
        <f ca="1">IF(AND($B$183=1,LEN($BG$193)&gt;0),$BG$193*1000,HLOOKUP(INDIRECT(ADDRESS(2,COLUMN())),OFFSET($BN$2,0,0,ROW()-1,60),ROW()-1,FALSE))</f>
        <v>1537.22</v>
      </c>
      <c r="BH91">
        <f ca="1">IF(AND($B$183=1,LEN($BH$193)&gt;0),$BH$193*1000,HLOOKUP(INDIRECT(ADDRESS(2,COLUMN())),OFFSET($BN$2,0,0,ROW()-1,60),ROW()-1,FALSE))</f>
        <v>700.42700000000002</v>
      </c>
      <c r="BI91">
        <f ca="1">IF(AND($B$183=1,LEN($BI$193)&gt;0),$BI$193*1000,HLOOKUP(INDIRECT(ADDRESS(2,COLUMN())),OFFSET($BN$2,0,0,ROW()-1,60),ROW()-1,FALSE))</f>
        <v>1185.3019999999999</v>
      </c>
      <c r="BJ91">
        <f ca="1">IF(AND($B$183=1,LEN($BJ$193)&gt;0),$BJ$193*1000,HLOOKUP(INDIRECT(ADDRESS(2,COLUMN())),OFFSET($BN$2,0,0,ROW()-1,60),ROW()-1,FALSE))</f>
        <v>0</v>
      </c>
      <c r="BK91">
        <f ca="1">IF(AND($B$183=1,LEN($BK$193)&gt;0),$BK$193*1000,HLOOKUP(INDIRECT(ADDRESS(2,COLUMN())),OFFSET($BN$2,0,0,ROW()-1,60),ROW()-1,FALSE))</f>
        <v>58.9</v>
      </c>
      <c r="BL91">
        <f ca="1">IF(AND($B$183=1,LEN($BL$193)&gt;0),$BL$193*1000,HLOOKUP(INDIRECT(ADDRESS(2,COLUMN())),OFFSET($BN$2,0,0,ROW()-1,60),ROW()-1,FALSE))</f>
        <v>0</v>
      </c>
      <c r="BM91">
        <f ca="1">IF(AND($B$183=1,LEN($BM$193)&gt;0),$BM$193*1000,HLOOKUP(INDIRECT(ADDRESS(2,COLUMN())),OFFSET($BN$2,0,0,ROW()-1,60),ROW()-1,FALSE))</f>
        <v>0</v>
      </c>
      <c r="BN91">
        <f>832.351</f>
        <v>832.351</v>
      </c>
      <c r="BO91">
        <f>1321.989</f>
        <v>1321.989</v>
      </c>
      <c r="BP91">
        <f>1405.686</f>
        <v>1405.6859999999999</v>
      </c>
      <c r="BQ91">
        <f>1026.797</f>
        <v>1026.797</v>
      </c>
      <c r="BR91">
        <f>1129.424</f>
        <v>1129.424</v>
      </c>
      <c r="BS91">
        <f>1203.722</f>
        <v>1203.722</v>
      </c>
      <c r="BT91">
        <f>611.576</f>
        <v>611.57600000000002</v>
      </c>
      <c r="BU91">
        <f>1051.135</f>
        <v>1051.135</v>
      </c>
      <c r="BV91">
        <f>1618.74</f>
        <v>1618.74</v>
      </c>
      <c r="BW91">
        <f>1408.38</f>
        <v>1408.38</v>
      </c>
      <c r="BX91">
        <f>1320.324</f>
        <v>1320.3240000000001</v>
      </c>
      <c r="BY91">
        <f>983.009</f>
        <v>983.00900000000001</v>
      </c>
      <c r="BZ91">
        <f>1354.02</f>
        <v>1354.02</v>
      </c>
      <c r="CA91">
        <f>1260.443</f>
        <v>1260.443</v>
      </c>
      <c r="CB91">
        <f>5551.186</f>
        <v>5551.1859999999997</v>
      </c>
      <c r="CC91">
        <f>576.719</f>
        <v>576.71900000000005</v>
      </c>
      <c r="CD91">
        <f>2965.097</f>
        <v>2965.0970000000002</v>
      </c>
      <c r="CE91">
        <f>798.364</f>
        <v>798.36400000000003</v>
      </c>
      <c r="CF91">
        <f>737.681</f>
        <v>737.68100000000004</v>
      </c>
      <c r="CG91">
        <f>15703.793</f>
        <v>15703.793</v>
      </c>
      <c r="CH91">
        <f>2025.312</f>
        <v>2025.3119999999999</v>
      </c>
      <c r="CI91">
        <f>1999.813</f>
        <v>1999.8130000000001</v>
      </c>
      <c r="CJ91">
        <f>1467.103</f>
        <v>1467.1030000000001</v>
      </c>
      <c r="CK91">
        <f>2194.564</f>
        <v>2194.5639999999999</v>
      </c>
      <c r="CL91">
        <f>2044.919</f>
        <v>2044.9190000000001</v>
      </c>
      <c r="CM91">
        <f>2056.808</f>
        <v>2056.808</v>
      </c>
      <c r="CN91">
        <f>2268.449</f>
        <v>2268.4490000000001</v>
      </c>
      <c r="CO91">
        <f>597.924</f>
        <v>597.92399999999998</v>
      </c>
      <c r="CP91">
        <f>1070.524</f>
        <v>1070.5239999999999</v>
      </c>
      <c r="CQ91">
        <f>2454.5</f>
        <v>2454.5</v>
      </c>
      <c r="CR91">
        <f>506.44</f>
        <v>506.44</v>
      </c>
      <c r="CS91">
        <f>854.612</f>
        <v>854.61199999999997</v>
      </c>
      <c r="CT91">
        <f>524.236</f>
        <v>524.23599999999999</v>
      </c>
      <c r="CU91">
        <f>44.839</f>
        <v>44.838999999999999</v>
      </c>
      <c r="CV91">
        <f>50.6</f>
        <v>50.6</v>
      </c>
      <c r="CW91">
        <f>0</f>
        <v>0</v>
      </c>
      <c r="CX91">
        <f>180.801</f>
        <v>180.80099999999999</v>
      </c>
      <c r="CY91">
        <f>393.71</f>
        <v>393.71</v>
      </c>
      <c r="CZ91">
        <f>1617.4</f>
        <v>1617.4</v>
      </c>
      <c r="DA91">
        <f>643.038</f>
        <v>643.03800000000001</v>
      </c>
      <c r="DB91">
        <f>366.841</f>
        <v>366.84100000000001</v>
      </c>
      <c r="DC91">
        <f>810.48</f>
        <v>810.48</v>
      </c>
      <c r="DD91">
        <f>1788.869</f>
        <v>1788.8689999999999</v>
      </c>
      <c r="DE91">
        <f>1296.06</f>
        <v>1296.06</v>
      </c>
      <c r="DF91">
        <f>1280.53</f>
        <v>1280.53</v>
      </c>
      <c r="DG91">
        <f>1892.966</f>
        <v>1892.9659999999999</v>
      </c>
      <c r="DH91">
        <f>1291.06</f>
        <v>1291.06</v>
      </c>
      <c r="DI91">
        <f>1722.888</f>
        <v>1722.8879999999999</v>
      </c>
      <c r="DJ91">
        <f>2348.654</f>
        <v>2348.654</v>
      </c>
      <c r="DK91">
        <f>2999.586</f>
        <v>2999.5859999999998</v>
      </c>
      <c r="DL91">
        <f>1031.276</f>
        <v>1031.2760000000001</v>
      </c>
      <c r="DM91">
        <f>3329.126</f>
        <v>3329.1260000000002</v>
      </c>
      <c r="DN91">
        <f>1439.16</f>
        <v>1439.16</v>
      </c>
      <c r="DO91">
        <f>1537.22</f>
        <v>1537.22</v>
      </c>
      <c r="DP91">
        <f>700.427</f>
        <v>700.42700000000002</v>
      </c>
      <c r="DQ91">
        <f>1185.302</f>
        <v>1185.3019999999999</v>
      </c>
      <c r="DR91">
        <f>0</f>
        <v>0</v>
      </c>
      <c r="DS91">
        <f>58.9</f>
        <v>58.9</v>
      </c>
      <c r="DT91">
        <f>0</f>
        <v>0</v>
      </c>
      <c r="DU91">
        <f>0</f>
        <v>0</v>
      </c>
    </row>
    <row r="92" spans="1:125">
      <c r="A92" t="str">
        <f>"    Manufactured Home REITs"</f>
        <v xml:space="preserve">    Manufactured Home REITs</v>
      </c>
      <c r="B92" t="str">
        <f>"RECFTAMH Index"</f>
        <v>RECFTAMH Index</v>
      </c>
      <c r="E92" t="str">
        <f t="shared" si="21"/>
        <v>Expression</v>
      </c>
      <c r="F92">
        <f ca="1">IF(AND($B$183=1,LEN($F$194)&gt;0),$F$194*1000,HLOOKUP(INDIRECT(ADDRESS(2,COLUMN())),OFFSET($BN$2,0,0,ROW()-1,60),ROW()-1,FALSE))</f>
        <v>186.37799999999999</v>
      </c>
      <c r="G92">
        <f ca="1">IF(AND($B$183=1,LEN($G$194)&gt;0),$G$194*1000,HLOOKUP(INDIRECT(ADDRESS(2,COLUMN())),OFFSET($BN$2,0,0,ROW()-1,60),ROW()-1,FALSE))</f>
        <v>84.763999999999996</v>
      </c>
      <c r="H92">
        <f ca="1">IF(AND($B$183=1,LEN($H$194)&gt;0),$H$194*1000,HLOOKUP(INDIRECT(ADDRESS(2,COLUMN())),OFFSET($BN$2,0,0,ROW()-1,60),ROW()-1,FALSE))</f>
        <v>55.387999999999998</v>
      </c>
      <c r="I92">
        <f ca="1">IF(AND($B$183=1,LEN($I$194)&gt;0),$I$194*1000,HLOOKUP(INDIRECT(ADDRESS(2,COLUMN())),OFFSET($BN$2,0,0,ROW()-1,60),ROW()-1,FALSE))</f>
        <v>49.51</v>
      </c>
      <c r="J92">
        <f ca="1">IF(AND($B$183=1,LEN($J$194)&gt;0),$J$194*1000,HLOOKUP(INDIRECT(ADDRESS(2,COLUMN())),OFFSET($BN$2,0,0,ROW()-1,60),ROW()-1,FALSE))</f>
        <v>37.789000000000001</v>
      </c>
      <c r="K92">
        <f ca="1">IF(AND($B$183=1,LEN($K$194)&gt;0),$K$194*1000,HLOOKUP(INDIRECT(ADDRESS(2,COLUMN())),OFFSET($BN$2,0,0,ROW()-1,60),ROW()-1,FALSE))</f>
        <v>34.737000000000002</v>
      </c>
      <c r="L92">
        <f ca="1">IF(AND($B$183=1,LEN($L$194)&gt;0),$L$194*1000,HLOOKUP(INDIRECT(ADDRESS(2,COLUMN())),OFFSET($BN$2,0,0,ROW()-1,60),ROW()-1,FALSE))</f>
        <v>1783.94</v>
      </c>
      <c r="M92">
        <f ca="1">IF(AND($B$183=1,LEN($M$194)&gt;0),$M$194*1000,HLOOKUP(INDIRECT(ADDRESS(2,COLUMN())),OFFSET($BN$2,0,0,ROW()-1,60),ROW()-1,FALSE))</f>
        <v>45.15</v>
      </c>
      <c r="N92">
        <f ca="1">IF(AND($B$183=1,LEN($N$194)&gt;0),$N$194*1000,HLOOKUP(INDIRECT(ADDRESS(2,COLUMN())),OFFSET($BN$2,0,0,ROW()-1,60),ROW()-1,FALSE))</f>
        <v>36.1</v>
      </c>
      <c r="O92">
        <f ca="1">IF(AND($B$183=1,LEN($O$194)&gt;0),$O$194*1000,HLOOKUP(INDIRECT(ADDRESS(2,COLUMN())),OFFSET($BN$2,0,0,ROW()-1,60),ROW()-1,FALSE))</f>
        <v>108.6</v>
      </c>
      <c r="P92">
        <f ca="1">IF(AND($B$183=1,LEN($P$194)&gt;0),$P$194*1000,HLOOKUP(INDIRECT(ADDRESS(2,COLUMN())),OFFSET($BN$2,0,0,ROW()-1,60),ROW()-1,FALSE))</f>
        <v>336.31700000000001</v>
      </c>
      <c r="Q92">
        <f ca="1">IF(AND($B$183=1,LEN($Q$194)&gt;0),$Q$194*1000,HLOOKUP(INDIRECT(ADDRESS(2,COLUMN())),OFFSET($BN$2,0,0,ROW()-1,60),ROW()-1,FALSE))</f>
        <v>767</v>
      </c>
      <c r="R92">
        <f ca="1">IF(AND($B$183=1,LEN($R$194)&gt;0),$R$194*1000,HLOOKUP(INDIRECT(ADDRESS(2,COLUMN())),OFFSET($BN$2,0,0,ROW()-1,60),ROW()-1,FALSE))</f>
        <v>651.79999999999995</v>
      </c>
      <c r="S92">
        <f ca="1">IF(AND($B$183=1,LEN($S$194)&gt;0),$S$194*1000,HLOOKUP(INDIRECT(ADDRESS(2,COLUMN())),OFFSET($BN$2,0,0,ROW()-1,60),ROW()-1,FALSE))</f>
        <v>29.4</v>
      </c>
      <c r="T92">
        <f ca="1">IF(AND($B$183=1,LEN($T$194)&gt;0),$T$194*1000,HLOOKUP(INDIRECT(ADDRESS(2,COLUMN())),OFFSET($BN$2,0,0,ROW()-1,60),ROW()-1,FALSE))</f>
        <v>34.4</v>
      </c>
      <c r="U92">
        <f ca="1">IF(AND($B$183=1,LEN($U$194)&gt;0),$U$194*1000,HLOOKUP(INDIRECT(ADDRESS(2,COLUMN())),OFFSET($BN$2,0,0,ROW()-1,60),ROW()-1,FALSE))</f>
        <v>155.15</v>
      </c>
      <c r="V92">
        <f ca="1">IF(AND($B$183=1,LEN($V$194)&gt;0),$V$194*1000,HLOOKUP(INDIRECT(ADDRESS(2,COLUMN())),OFFSET($BN$2,0,0,ROW()-1,60),ROW()-1,FALSE))</f>
        <v>61.52</v>
      </c>
      <c r="W92">
        <f ca="1">IF(AND($B$183=1,LEN($W$194)&gt;0),$W$194*1000,HLOOKUP(INDIRECT(ADDRESS(2,COLUMN())),OFFSET($BN$2,0,0,ROW()-1,60),ROW()-1,FALSE))</f>
        <v>126.63</v>
      </c>
      <c r="X92">
        <f ca="1">IF(AND($B$183=1,LEN($X$194)&gt;0),$X$194*1000,HLOOKUP(INDIRECT(ADDRESS(2,COLUMN())),OFFSET($BN$2,0,0,ROW()-1,60),ROW()-1,FALSE))</f>
        <v>36.15</v>
      </c>
      <c r="Y92">
        <f ca="1">IF(AND($B$183=1,LEN($Y$194)&gt;0),$Y$194*1000,HLOOKUP(INDIRECT(ADDRESS(2,COLUMN())),OFFSET($BN$2,0,0,ROW()-1,60),ROW()-1,FALSE))</f>
        <v>180.3</v>
      </c>
      <c r="Z92">
        <f ca="1">IF(AND($B$183=1,LEN($Z$194)&gt;0),$Z$194*1000,HLOOKUP(INDIRECT(ADDRESS(2,COLUMN())),OFFSET($BN$2,0,0,ROW()-1,60),ROW()-1,FALSE))</f>
        <v>275.55</v>
      </c>
      <c r="AA92">
        <f ca="1">IF(AND($B$183=1,LEN($AA$194)&gt;0),$AA$194*1000,HLOOKUP(INDIRECT(ADDRESS(2,COLUMN())),OFFSET($BN$2,0,0,ROW()-1,60),ROW()-1,FALSE))</f>
        <v>75.55</v>
      </c>
      <c r="AB92">
        <f ca="1">IF(AND($B$183=1,LEN($AB$194)&gt;0),$AB$194*1000,HLOOKUP(INDIRECT(ADDRESS(2,COLUMN())),OFFSET($BN$2,0,0,ROW()-1,60),ROW()-1,FALSE))</f>
        <v>0</v>
      </c>
      <c r="AC92">
        <f ca="1">IF(AND($B$183=1,LEN($AC$194)&gt;0),$AC$194*1000,HLOOKUP(INDIRECT(ADDRESS(2,COLUMN())),OFFSET($BN$2,0,0,ROW()-1,60),ROW()-1,FALSE))</f>
        <v>26.6</v>
      </c>
      <c r="AD92">
        <f ca="1">IF(AND($B$183=1,LEN($AD$194)&gt;0),$AD$194*1000,HLOOKUP(INDIRECT(ADDRESS(2,COLUMN())),OFFSET($BN$2,0,0,ROW()-1,60),ROW()-1,FALSE))</f>
        <v>486.7</v>
      </c>
      <c r="AE92">
        <f ca="1">IF(AND($B$183=1,LEN($AE$194)&gt;0),$AE$194*1000,HLOOKUP(INDIRECT(ADDRESS(2,COLUMN())),OFFSET($BN$2,0,0,ROW()-1,60),ROW()-1,FALSE))</f>
        <v>1059.0999999999999</v>
      </c>
      <c r="AF92">
        <f ca="1">IF(AND($B$183=1,LEN($AF$194)&gt;0),$AF$194*1000,HLOOKUP(INDIRECT(ADDRESS(2,COLUMN())),OFFSET($BN$2,0,0,ROW()-1,60),ROW()-1,FALSE))</f>
        <v>162.80000000000001</v>
      </c>
      <c r="AG92">
        <f ca="1">IF(AND($B$183=1,LEN($AG$194)&gt;0),$AG$194*1000,HLOOKUP(INDIRECT(ADDRESS(2,COLUMN())),OFFSET($BN$2,0,0,ROW()-1,60),ROW()-1,FALSE))</f>
        <v>0</v>
      </c>
      <c r="AH92">
        <f ca="1">IF(AND($B$183=1,LEN($AH$194)&gt;0),$AH$194*1000,HLOOKUP(INDIRECT(ADDRESS(2,COLUMN())),OFFSET($BN$2,0,0,ROW()-1,60),ROW()-1,FALSE))</f>
        <v>24.25</v>
      </c>
      <c r="AI92">
        <f ca="1">IF(AND($B$183=1,LEN($AI$194)&gt;0),$AI$194*1000,HLOOKUP(INDIRECT(ADDRESS(2,COLUMN())),OFFSET($BN$2,0,0,ROW()-1,60),ROW()-1,FALSE))</f>
        <v>0</v>
      </c>
      <c r="AJ92">
        <f ca="1">IF(AND($B$183=1,LEN($AJ$194)&gt;0),$AJ$194*1000,HLOOKUP(INDIRECT(ADDRESS(2,COLUMN())),OFFSET($BN$2,0,0,ROW()-1,60),ROW()-1,FALSE))</f>
        <v>15.2</v>
      </c>
      <c r="AK92">
        <f ca="1">IF(AND($B$183=1,LEN($AK$194)&gt;0),$AK$194*1000,HLOOKUP(INDIRECT(ADDRESS(2,COLUMN())),OFFSET($BN$2,0,0,ROW()-1,60),ROW()-1,FALSE))</f>
        <v>0</v>
      </c>
      <c r="AL92">
        <f ca="1">IF(AND($B$183=1,LEN($AL$194)&gt;0),$AL$194*1000,HLOOKUP(INDIRECT(ADDRESS(2,COLUMN())),OFFSET($BN$2,0,0,ROW()-1,60),ROW()-1,FALSE))</f>
        <v>0</v>
      </c>
      <c r="AM92">
        <f ca="1">IF(AND($B$183=1,LEN($AM$194)&gt;0),$AM$194*1000,HLOOKUP(INDIRECT(ADDRESS(2,COLUMN())),OFFSET($BN$2,0,0,ROW()-1,60),ROW()-1,FALSE))</f>
        <v>0</v>
      </c>
      <c r="AN92">
        <f ca="1">IF(AND($B$183=1,LEN($AN$194)&gt;0),$AN$194*1000,HLOOKUP(INDIRECT(ADDRESS(2,COLUMN())),OFFSET($BN$2,0,0,ROW()-1,60),ROW()-1,FALSE))</f>
        <v>0</v>
      </c>
      <c r="AO92">
        <f ca="1">IF(AND($B$183=1,LEN($AO$194)&gt;0),$AO$194*1000,HLOOKUP(INDIRECT(ADDRESS(2,COLUMN())),OFFSET($BN$2,0,0,ROW()-1,60),ROW()-1,FALSE))</f>
        <v>0</v>
      </c>
      <c r="AP92">
        <f ca="1">IF(AND($B$183=1,LEN($AP$194)&gt;0),$AP$194*1000,HLOOKUP(INDIRECT(ADDRESS(2,COLUMN())),OFFSET($BN$2,0,0,ROW()-1,60),ROW()-1,FALSE))</f>
        <v>0</v>
      </c>
      <c r="AQ92">
        <f ca="1">IF(AND($B$183=1,LEN($AQ$194)&gt;0),$AQ$194*1000,HLOOKUP(INDIRECT(ADDRESS(2,COLUMN())),OFFSET($BN$2,0,0,ROW()-1,60),ROW()-1,FALSE))</f>
        <v>0</v>
      </c>
      <c r="AR92">
        <f ca="1">IF(AND($B$183=1,LEN($AR$194)&gt;0),$AR$194*1000,HLOOKUP(INDIRECT(ADDRESS(2,COLUMN())),OFFSET($BN$2,0,0,ROW()-1,60),ROW()-1,FALSE))</f>
        <v>0</v>
      </c>
      <c r="AS92">
        <f ca="1">IF(AND($B$183=1,LEN($AS$194)&gt;0),$AS$194*1000,HLOOKUP(INDIRECT(ADDRESS(2,COLUMN())),OFFSET($BN$2,0,0,ROW()-1,60),ROW()-1,FALSE))</f>
        <v>9.9</v>
      </c>
      <c r="AT92">
        <f ca="1">IF(AND($B$183=1,LEN($AT$194)&gt;0),$AT$194*1000,HLOOKUP(INDIRECT(ADDRESS(2,COLUMN())),OFFSET($BN$2,0,0,ROW()-1,60),ROW()-1,FALSE))</f>
        <v>7.3</v>
      </c>
      <c r="AU92">
        <f ca="1">IF(AND($B$183=1,LEN($AU$194)&gt;0),$AU$194*1000,HLOOKUP(INDIRECT(ADDRESS(2,COLUMN())),OFFSET($BN$2,0,0,ROW()-1,60),ROW()-1,FALSE))</f>
        <v>12</v>
      </c>
      <c r="AV92">
        <f ca="1">IF(AND($B$183=1,LEN($AV$194)&gt;0),$AV$194*1000,HLOOKUP(INDIRECT(ADDRESS(2,COLUMN())),OFFSET($BN$2,0,0,ROW()-1,60),ROW()-1,FALSE))</f>
        <v>10.9</v>
      </c>
      <c r="AW92">
        <f ca="1">IF(AND($B$183=1,LEN($AW$194)&gt;0),$AW$194*1000,HLOOKUP(INDIRECT(ADDRESS(2,COLUMN())),OFFSET($BN$2,0,0,ROW()-1,60),ROW()-1,FALSE))</f>
        <v>5.9</v>
      </c>
      <c r="AX92">
        <f ca="1">IF(AND($B$183=1,LEN($AX$194)&gt;0),$AX$194*1000,HLOOKUP(INDIRECT(ADDRESS(2,COLUMN())),OFFSET($BN$2,0,0,ROW()-1,60),ROW()-1,FALSE))</f>
        <v>31.7</v>
      </c>
      <c r="AY92">
        <f ca="1">IF(AND($B$183=1,LEN($AY$194)&gt;0),$AY$194*1000,HLOOKUP(INDIRECT(ADDRESS(2,COLUMN())),OFFSET($BN$2,0,0,ROW()-1,60),ROW()-1,FALSE))</f>
        <v>0</v>
      </c>
      <c r="AZ92">
        <f ca="1">IF(AND($B$183=1,LEN($AZ$194)&gt;0),$AZ$194*1000,HLOOKUP(INDIRECT(ADDRESS(2,COLUMN())),OFFSET($BN$2,0,0,ROW()-1,60),ROW()-1,FALSE))</f>
        <v>27.1</v>
      </c>
      <c r="BA92">
        <f ca="1">IF(AND($B$183=1,LEN($BA$194)&gt;0),$BA$194*1000,HLOOKUP(INDIRECT(ADDRESS(2,COLUMN())),OFFSET($BN$2,0,0,ROW()-1,60),ROW()-1,FALSE))</f>
        <v>118</v>
      </c>
      <c r="BB92">
        <f ca="1">IF(AND($B$183=1,LEN($BB$194)&gt;0),$BB$194*1000,HLOOKUP(INDIRECT(ADDRESS(2,COLUMN())),OFFSET($BN$2,0,0,ROW()-1,60),ROW()-1,FALSE))</f>
        <v>1.5</v>
      </c>
      <c r="BC92">
        <f ca="1">IF(AND($B$183=1,LEN($BC$194)&gt;0),$BC$194*1000,HLOOKUP(INDIRECT(ADDRESS(2,COLUMN())),OFFSET($BN$2,0,0,ROW()-1,60),ROW()-1,FALSE))</f>
        <v>83.3</v>
      </c>
      <c r="BD92">
        <f ca="1">IF(AND($B$183=1,LEN($BD$194)&gt;0),$BD$194*1000,HLOOKUP(INDIRECT(ADDRESS(2,COLUMN())),OFFSET($BN$2,0,0,ROW()-1,60),ROW()-1,FALSE))</f>
        <v>6.6</v>
      </c>
      <c r="BE92">
        <f ca="1">IF(AND($B$183=1,LEN($BE$194)&gt;0),$BE$194*1000,HLOOKUP(INDIRECT(ADDRESS(2,COLUMN())),OFFSET($BN$2,0,0,ROW()-1,60),ROW()-1,FALSE))</f>
        <v>7.3</v>
      </c>
      <c r="BF92">
        <f ca="1">IF(AND($B$183=1,LEN($BF$194)&gt;0),$BF$194*1000,HLOOKUP(INDIRECT(ADDRESS(2,COLUMN())),OFFSET($BN$2,0,0,ROW()-1,60),ROW()-1,FALSE))</f>
        <v>211.8</v>
      </c>
      <c r="BG92">
        <f ca="1">IF(AND($B$183=1,LEN($BG$194)&gt;0),$BG$194*1000,HLOOKUP(INDIRECT(ADDRESS(2,COLUMN())),OFFSET($BN$2,0,0,ROW()-1,60),ROW()-1,FALSE))</f>
        <v>21.216000000000001</v>
      </c>
      <c r="BH92">
        <f ca="1">IF(AND($B$183=1,LEN($BH$194)&gt;0),$BH$194*1000,HLOOKUP(INDIRECT(ADDRESS(2,COLUMN())),OFFSET($BN$2,0,0,ROW()-1,60),ROW()-1,FALSE))</f>
        <v>320.85599999999999</v>
      </c>
      <c r="BI92">
        <f ca="1">IF(AND($B$183=1,LEN($BI$194)&gt;0),$BI$194*1000,HLOOKUP(INDIRECT(ADDRESS(2,COLUMN())),OFFSET($BN$2,0,0,ROW()-1,60),ROW()-1,FALSE))</f>
        <v>970.80399999999997</v>
      </c>
      <c r="BJ92">
        <f ca="1">IF(AND($B$183=1,LEN($BJ$194)&gt;0),$BJ$194*1000,HLOOKUP(INDIRECT(ADDRESS(2,COLUMN())),OFFSET($BN$2,0,0,ROW()-1,60),ROW()-1,FALSE))</f>
        <v>17.399999999999999</v>
      </c>
      <c r="BK92">
        <f ca="1">IF(AND($B$183=1,LEN($BK$194)&gt;0),$BK$194*1000,HLOOKUP(INDIRECT(ADDRESS(2,COLUMN())),OFFSET($BN$2,0,0,ROW()-1,60),ROW()-1,FALSE))</f>
        <v>0</v>
      </c>
      <c r="BL92">
        <f ca="1">IF(AND($B$183=1,LEN($BL$194)&gt;0),$BL$194*1000,HLOOKUP(INDIRECT(ADDRESS(2,COLUMN())),OFFSET($BN$2,0,0,ROW()-1,60),ROW()-1,FALSE))</f>
        <v>0</v>
      </c>
      <c r="BM92">
        <f ca="1">IF(AND($B$183=1,LEN($BM$194)&gt;0),$BM$194*1000,HLOOKUP(INDIRECT(ADDRESS(2,COLUMN())),OFFSET($BN$2,0,0,ROW()-1,60),ROW()-1,FALSE))</f>
        <v>0</v>
      </c>
      <c r="BN92">
        <f>186.378</f>
        <v>186.37799999999999</v>
      </c>
      <c r="BO92">
        <f>84.764</f>
        <v>84.763999999999996</v>
      </c>
      <c r="BP92">
        <f>55.388</f>
        <v>55.387999999999998</v>
      </c>
      <c r="BQ92">
        <f>49.51</f>
        <v>49.51</v>
      </c>
      <c r="BR92">
        <f>37.789</f>
        <v>37.789000000000001</v>
      </c>
      <c r="BS92">
        <f>34.737</f>
        <v>34.737000000000002</v>
      </c>
      <c r="BT92">
        <f>1783.94</f>
        <v>1783.94</v>
      </c>
      <c r="BU92">
        <f>45.15</f>
        <v>45.15</v>
      </c>
      <c r="BV92">
        <f>36.1</f>
        <v>36.1</v>
      </c>
      <c r="BW92">
        <f>108.6</f>
        <v>108.6</v>
      </c>
      <c r="BX92">
        <f>336.317</f>
        <v>336.31700000000001</v>
      </c>
      <c r="BY92">
        <f>767</f>
        <v>767</v>
      </c>
      <c r="BZ92">
        <f>651.8</f>
        <v>651.79999999999995</v>
      </c>
      <c r="CA92">
        <f>29.4</f>
        <v>29.4</v>
      </c>
      <c r="CB92">
        <f>34.4</f>
        <v>34.4</v>
      </c>
      <c r="CC92">
        <f>155.15</f>
        <v>155.15</v>
      </c>
      <c r="CD92">
        <f>61.52</f>
        <v>61.52</v>
      </c>
      <c r="CE92">
        <f>126.63</f>
        <v>126.63</v>
      </c>
      <c r="CF92">
        <f>36.15</f>
        <v>36.15</v>
      </c>
      <c r="CG92">
        <f>180.3</f>
        <v>180.3</v>
      </c>
      <c r="CH92">
        <f>275.55</f>
        <v>275.55</v>
      </c>
      <c r="CI92">
        <f>75.55</f>
        <v>75.55</v>
      </c>
      <c r="CJ92">
        <f>0</f>
        <v>0</v>
      </c>
      <c r="CK92">
        <f>26.6</f>
        <v>26.6</v>
      </c>
      <c r="CL92">
        <f>486.7</f>
        <v>486.7</v>
      </c>
      <c r="CM92">
        <f>1059.1</f>
        <v>1059.0999999999999</v>
      </c>
      <c r="CN92">
        <f>162.8</f>
        <v>162.80000000000001</v>
      </c>
      <c r="CO92">
        <f>0</f>
        <v>0</v>
      </c>
      <c r="CP92">
        <f>24.25</f>
        <v>24.25</v>
      </c>
      <c r="CQ92">
        <f>0</f>
        <v>0</v>
      </c>
      <c r="CR92">
        <f>15.2</f>
        <v>15.2</v>
      </c>
      <c r="CS92">
        <f>0</f>
        <v>0</v>
      </c>
      <c r="CT92">
        <f>0</f>
        <v>0</v>
      </c>
      <c r="CU92">
        <f>0</f>
        <v>0</v>
      </c>
      <c r="CV92">
        <f>0</f>
        <v>0</v>
      </c>
      <c r="CW92">
        <f>0</f>
        <v>0</v>
      </c>
      <c r="CX92">
        <f>0</f>
        <v>0</v>
      </c>
      <c r="CY92">
        <f>0</f>
        <v>0</v>
      </c>
      <c r="CZ92">
        <f>0</f>
        <v>0</v>
      </c>
      <c r="DA92">
        <f>9.9</f>
        <v>9.9</v>
      </c>
      <c r="DB92">
        <f>7.3</f>
        <v>7.3</v>
      </c>
      <c r="DC92">
        <f>12</f>
        <v>12</v>
      </c>
      <c r="DD92">
        <f>10.9</f>
        <v>10.9</v>
      </c>
      <c r="DE92">
        <f>5.9</f>
        <v>5.9</v>
      </c>
      <c r="DF92">
        <f>31.7</f>
        <v>31.7</v>
      </c>
      <c r="DG92">
        <f>0</f>
        <v>0</v>
      </c>
      <c r="DH92">
        <f>27.1</f>
        <v>27.1</v>
      </c>
      <c r="DI92">
        <f>118</f>
        <v>118</v>
      </c>
      <c r="DJ92">
        <f>1.5</f>
        <v>1.5</v>
      </c>
      <c r="DK92">
        <f>83.3</f>
        <v>83.3</v>
      </c>
      <c r="DL92">
        <f>6.6</f>
        <v>6.6</v>
      </c>
      <c r="DM92">
        <f>7.3</f>
        <v>7.3</v>
      </c>
      <c r="DN92">
        <f>211.8</f>
        <v>211.8</v>
      </c>
      <c r="DO92">
        <f>21.216</f>
        <v>21.216000000000001</v>
      </c>
      <c r="DP92">
        <f>320.856</f>
        <v>320.85599999999999</v>
      </c>
      <c r="DQ92">
        <f>970.804</f>
        <v>970.80399999999997</v>
      </c>
      <c r="DR92">
        <f>17.4</f>
        <v>17.399999999999999</v>
      </c>
      <c r="DS92">
        <f>0</f>
        <v>0</v>
      </c>
      <c r="DT92">
        <f>0</f>
        <v>0</v>
      </c>
      <c r="DU92">
        <f>0</f>
        <v>0</v>
      </c>
    </row>
    <row r="93" spans="1:125">
      <c r="A93" t="str">
        <f>"    Single Family Rental REITs"</f>
        <v xml:space="preserve">    Single Family Rental REITs</v>
      </c>
      <c r="B93" t="str">
        <f>"RECFTASF Index"</f>
        <v>RECFTASF Index</v>
      </c>
      <c r="E93" t="str">
        <f t="shared" si="21"/>
        <v>Expression</v>
      </c>
      <c r="F93">
        <f ca="1">IF(AND($B$183=1,LEN($F$195)&gt;0),$F$195*1000,HLOOKUP(INDIRECT(ADDRESS(2,COLUMN())),OFFSET($BN$2,0,0,ROW()-1,60),ROW()-1,FALSE))</f>
        <v>80.494</v>
      </c>
      <c r="G93">
        <f ca="1">IF(AND($B$183=1,LEN($G$195)&gt;0),$G$195*1000,HLOOKUP(INDIRECT(ADDRESS(2,COLUMN())),OFFSET($BN$2,0,0,ROW()-1,60),ROW()-1,FALSE))</f>
        <v>297.99700000000001</v>
      </c>
      <c r="H93">
        <f ca="1">IF(AND($B$183=1,LEN($H$195)&gt;0),$H$195*1000,HLOOKUP(INDIRECT(ADDRESS(2,COLUMN())),OFFSET($BN$2,0,0,ROW()-1,60),ROW()-1,FALSE))</f>
        <v>1147.6199999999999</v>
      </c>
      <c r="I93">
        <f ca="1">IF(AND($B$183=1,LEN($I$195)&gt;0),$I$195*1000,HLOOKUP(INDIRECT(ADDRESS(2,COLUMN())),OFFSET($BN$2,0,0,ROW()-1,60),ROW()-1,FALSE))</f>
        <v>127.84699999999999</v>
      </c>
      <c r="J93">
        <f ca="1">IF(AND($B$183=1,LEN($J$195)&gt;0),$J$195*1000,HLOOKUP(INDIRECT(ADDRESS(2,COLUMN())),OFFSET($BN$2,0,0,ROW()-1,60),ROW()-1,FALSE))</f>
        <v>235.90700000000001</v>
      </c>
      <c r="K93">
        <f ca="1">IF(AND($B$183=1,LEN($K$195)&gt;0),$K$195*1000,HLOOKUP(INDIRECT(ADDRESS(2,COLUMN())),OFFSET($BN$2,0,0,ROW()-1,60),ROW()-1,FALSE))</f>
        <v>113.6</v>
      </c>
      <c r="L93">
        <f ca="1">IF(AND($B$183=1,LEN($L$195)&gt;0),$L$195*1000,HLOOKUP(INDIRECT(ADDRESS(2,COLUMN())),OFFSET($BN$2,0,0,ROW()-1,60),ROW()-1,FALSE))</f>
        <v>17</v>
      </c>
      <c r="M93">
        <f ca="1">IF(AND($B$183=1,LEN($M$195)&gt;0),$M$195*1000,HLOOKUP(INDIRECT(ADDRESS(2,COLUMN())),OFFSET($BN$2,0,0,ROW()-1,60),ROW()-1,FALSE))</f>
        <v>6072.3059999999996</v>
      </c>
      <c r="N93">
        <f ca="1">IF(AND($B$183=1,LEN($N$195)&gt;0),$N$195*1000,HLOOKUP(INDIRECT(ADDRESS(2,COLUMN())),OFFSET($BN$2,0,0,ROW()-1,60),ROW()-1,FALSE))</f>
        <v>43.186999999999998</v>
      </c>
      <c r="O93">
        <f ca="1">IF(AND($B$183=1,LEN($O$195)&gt;0),$O$195*1000,HLOOKUP(INDIRECT(ADDRESS(2,COLUMN())),OFFSET($BN$2,0,0,ROW()-1,60),ROW()-1,FALSE))</f>
        <v>96.876999999999995</v>
      </c>
      <c r="P93">
        <f ca="1">IF(AND($B$183=1,LEN($P$195)&gt;0),$P$195*1000,HLOOKUP(INDIRECT(ADDRESS(2,COLUMN())),OFFSET($BN$2,0,0,ROW()-1,60),ROW()-1,FALSE))</f>
        <v>360.70499999999998</v>
      </c>
      <c r="Q93">
        <f ca="1">IF(AND($B$183=1,LEN($Q$195)&gt;0),$Q$195*1000,HLOOKUP(INDIRECT(ADDRESS(2,COLUMN())),OFFSET($BN$2,0,0,ROW()-1,60),ROW()-1,FALSE))</f>
        <v>184.99700000000001</v>
      </c>
      <c r="R93">
        <f ca="1">IF(AND($B$183=1,LEN($R$195)&gt;0),$R$195*1000,HLOOKUP(INDIRECT(ADDRESS(2,COLUMN())),OFFSET($BN$2,0,0,ROW()-1,60),ROW()-1,FALSE))</f>
        <v>490.35500000000002</v>
      </c>
      <c r="S93">
        <f ca="1">IF(AND($B$183=1,LEN($S$195)&gt;0),$S$195*1000,HLOOKUP(INDIRECT(ADDRESS(2,COLUMN())),OFFSET($BN$2,0,0,ROW()-1,60),ROW()-1,FALSE))</f>
        <v>448.64400000000001</v>
      </c>
      <c r="T93">
        <f ca="1">IF(AND($B$183=1,LEN($T$195)&gt;0),$T$195*1000,HLOOKUP(INDIRECT(ADDRESS(2,COLUMN())),OFFSET($BN$2,0,0,ROW()-1,60),ROW()-1,FALSE))</f>
        <v>417.68099999999998</v>
      </c>
      <c r="U93">
        <f ca="1">IF(AND($B$183=1,LEN($U$195)&gt;0),$U$195*1000,HLOOKUP(INDIRECT(ADDRESS(2,COLUMN())),OFFSET($BN$2,0,0,ROW()-1,60),ROW()-1,FALSE))</f>
        <v>781.529</v>
      </c>
      <c r="V93">
        <f ca="1">IF(AND($B$183=1,LEN($V$195)&gt;0),$V$195*1000,HLOOKUP(INDIRECT(ADDRESS(2,COLUMN())),OFFSET($BN$2,0,0,ROW()-1,60),ROW()-1,FALSE))</f>
        <v>412.74700000000001</v>
      </c>
      <c r="W93">
        <f ca="1">IF(AND($B$183=1,LEN($W$195)&gt;0),$W$195*1000,HLOOKUP(INDIRECT(ADDRESS(2,COLUMN())),OFFSET($BN$2,0,0,ROW()-1,60),ROW()-1,FALSE))</f>
        <v>636.93700000000001</v>
      </c>
      <c r="X93">
        <f ca="1">IF(AND($B$183=1,LEN($X$195)&gt;0),$X$195*1000,HLOOKUP(INDIRECT(ADDRESS(2,COLUMN())),OFFSET($BN$2,0,0,ROW()-1,60),ROW()-1,FALSE))</f>
        <v>304.214</v>
      </c>
      <c r="Y93">
        <f ca="1">IF(AND($B$183=1,LEN($Y$195)&gt;0),$Y$195*1000,HLOOKUP(INDIRECT(ADDRESS(2,COLUMN())),OFFSET($BN$2,0,0,ROW()-1,60),ROW()-1,FALSE))</f>
        <v>141.13300000000001</v>
      </c>
      <c r="Z93">
        <f ca="1">IF(AND($B$183=1,LEN($Z$195)&gt;0),$Z$195*1000,HLOOKUP(INDIRECT(ADDRESS(2,COLUMN())),OFFSET($BN$2,0,0,ROW()-1,60),ROW()-1,FALSE))</f>
        <v>97.954999999999998</v>
      </c>
      <c r="AA93">
        <f ca="1">IF(AND($B$183=1,LEN($AA$195)&gt;0),$AA$195*1000,HLOOKUP(INDIRECT(ADDRESS(2,COLUMN())),OFFSET($BN$2,0,0,ROW()-1,60),ROW()-1,FALSE))</f>
        <v>0</v>
      </c>
      <c r="AB93">
        <f ca="1">IF(AND($B$183=1,LEN($AB$195)&gt;0),$AB$195*1000,HLOOKUP(INDIRECT(ADDRESS(2,COLUMN())),OFFSET($BN$2,0,0,ROW()-1,60),ROW()-1,FALSE))</f>
        <v>0</v>
      </c>
      <c r="AC93">
        <f ca="1">IF(AND($B$183=1,LEN($AC$195)&gt;0),$AC$195*1000,HLOOKUP(INDIRECT(ADDRESS(2,COLUMN())),OFFSET($BN$2,0,0,ROW()-1,60),ROW()-1,FALSE))</f>
        <v>0</v>
      </c>
      <c r="AD93">
        <f ca="1">IF(AND($B$183=1,LEN($AD$195)&gt;0),$AD$195*1000,HLOOKUP(INDIRECT(ADDRESS(2,COLUMN())),OFFSET($BN$2,0,0,ROW()-1,60),ROW()-1,FALSE))</f>
        <v>0</v>
      </c>
      <c r="AE93">
        <f ca="1">IF(AND($B$183=1,LEN($AE$195)&gt;0),$AE$195*1000,HLOOKUP(INDIRECT(ADDRESS(2,COLUMN())),OFFSET($BN$2,0,0,ROW()-1,60),ROW()-1,FALSE))</f>
        <v>0</v>
      </c>
      <c r="AF93">
        <f ca="1">IF(AND($B$183=1,LEN($AF$195)&gt;0),$AF$195*1000,HLOOKUP(INDIRECT(ADDRESS(2,COLUMN())),OFFSET($BN$2,0,0,ROW()-1,60),ROW()-1,FALSE))</f>
        <v>0</v>
      </c>
      <c r="AG93">
        <f ca="1">IF(AND($B$183=1,LEN($AG$195)&gt;0),$AG$195*1000,HLOOKUP(INDIRECT(ADDRESS(2,COLUMN())),OFFSET($BN$2,0,0,ROW()-1,60),ROW()-1,FALSE))</f>
        <v>0</v>
      </c>
      <c r="AH93">
        <f ca="1">IF(AND($B$183=1,LEN($AH$195)&gt;0),$AH$195*1000,HLOOKUP(INDIRECT(ADDRESS(2,COLUMN())),OFFSET($BN$2,0,0,ROW()-1,60),ROW()-1,FALSE))</f>
        <v>0</v>
      </c>
      <c r="AI93">
        <f ca="1">IF(AND($B$183=1,LEN($AI$195)&gt;0),$AI$195*1000,HLOOKUP(INDIRECT(ADDRESS(2,COLUMN())),OFFSET($BN$2,0,0,ROW()-1,60),ROW()-1,FALSE))</f>
        <v>0</v>
      </c>
      <c r="AJ93">
        <f ca="1">IF(AND($B$183=1,LEN($AJ$195)&gt;0),$AJ$195*1000,HLOOKUP(INDIRECT(ADDRESS(2,COLUMN())),OFFSET($BN$2,0,0,ROW()-1,60),ROW()-1,FALSE))</f>
        <v>0</v>
      </c>
      <c r="AK93">
        <f ca="1">IF(AND($B$183=1,LEN($AK$195)&gt;0),$AK$195*1000,HLOOKUP(INDIRECT(ADDRESS(2,COLUMN())),OFFSET($BN$2,0,0,ROW()-1,60),ROW()-1,FALSE))</f>
        <v>0</v>
      </c>
      <c r="AL93">
        <f ca="1">IF(AND($B$183=1,LEN($AL$195)&gt;0),$AL$195*1000,HLOOKUP(INDIRECT(ADDRESS(2,COLUMN())),OFFSET($BN$2,0,0,ROW()-1,60),ROW()-1,FALSE))</f>
        <v>0</v>
      </c>
      <c r="AM93">
        <f ca="1">IF(AND($B$183=1,LEN($AM$195)&gt;0),$AM$195*1000,HLOOKUP(INDIRECT(ADDRESS(2,COLUMN())),OFFSET($BN$2,0,0,ROW()-1,60),ROW()-1,FALSE))</f>
        <v>0</v>
      </c>
      <c r="AN93">
        <f ca="1">IF(AND($B$183=1,LEN($AN$195)&gt;0),$AN$195*1000,HLOOKUP(INDIRECT(ADDRESS(2,COLUMN())),OFFSET($BN$2,0,0,ROW()-1,60),ROW()-1,FALSE))</f>
        <v>0</v>
      </c>
      <c r="AO93">
        <f ca="1">IF(AND($B$183=1,LEN($AO$195)&gt;0),$AO$195*1000,HLOOKUP(INDIRECT(ADDRESS(2,COLUMN())),OFFSET($BN$2,0,0,ROW()-1,60),ROW()-1,FALSE))</f>
        <v>0</v>
      </c>
      <c r="AP93">
        <f ca="1">IF(AND($B$183=1,LEN($AP$195)&gt;0),$AP$195*1000,HLOOKUP(INDIRECT(ADDRESS(2,COLUMN())),OFFSET($BN$2,0,0,ROW()-1,60),ROW()-1,FALSE))</f>
        <v>0</v>
      </c>
      <c r="AQ93">
        <f ca="1">IF(AND($B$183=1,LEN($AQ$195)&gt;0),$AQ$195*1000,HLOOKUP(INDIRECT(ADDRESS(2,COLUMN())),OFFSET($BN$2,0,0,ROW()-1,60),ROW()-1,FALSE))</f>
        <v>0</v>
      </c>
      <c r="AR93">
        <f ca="1">IF(AND($B$183=1,LEN($AR$195)&gt;0),$AR$195*1000,HLOOKUP(INDIRECT(ADDRESS(2,COLUMN())),OFFSET($BN$2,0,0,ROW()-1,60),ROW()-1,FALSE))</f>
        <v>0</v>
      </c>
      <c r="AS93">
        <f ca="1">IF(AND($B$183=1,LEN($AS$195)&gt;0),$AS$195*1000,HLOOKUP(INDIRECT(ADDRESS(2,COLUMN())),OFFSET($BN$2,0,0,ROW()-1,60),ROW()-1,FALSE))</f>
        <v>0</v>
      </c>
      <c r="AT93">
        <f ca="1">IF(AND($B$183=1,LEN($AT$195)&gt;0),$AT$195*1000,HLOOKUP(INDIRECT(ADDRESS(2,COLUMN())),OFFSET($BN$2,0,0,ROW()-1,60),ROW()-1,FALSE))</f>
        <v>0</v>
      </c>
      <c r="AU93">
        <f ca="1">IF(AND($B$183=1,LEN($AU$195)&gt;0),$AU$195*1000,HLOOKUP(INDIRECT(ADDRESS(2,COLUMN())),OFFSET($BN$2,0,0,ROW()-1,60),ROW()-1,FALSE))</f>
        <v>0</v>
      </c>
      <c r="AV93">
        <f ca="1">IF(AND($B$183=1,LEN($AV$195)&gt;0),$AV$195*1000,HLOOKUP(INDIRECT(ADDRESS(2,COLUMN())),OFFSET($BN$2,0,0,ROW()-1,60),ROW()-1,FALSE))</f>
        <v>0</v>
      </c>
      <c r="AW93">
        <f ca="1">IF(AND($B$183=1,LEN($AW$195)&gt;0),$AW$195*1000,HLOOKUP(INDIRECT(ADDRESS(2,COLUMN())),OFFSET($BN$2,0,0,ROW()-1,60),ROW()-1,FALSE))</f>
        <v>0</v>
      </c>
      <c r="AX93">
        <f ca="1">IF(AND($B$183=1,LEN($AX$195)&gt;0),$AX$195*1000,HLOOKUP(INDIRECT(ADDRESS(2,COLUMN())),OFFSET($BN$2,0,0,ROW()-1,60),ROW()-1,FALSE))</f>
        <v>0</v>
      </c>
      <c r="AY93">
        <f ca="1">IF(AND($B$183=1,LEN($AY$195)&gt;0),$AY$195*1000,HLOOKUP(INDIRECT(ADDRESS(2,COLUMN())),OFFSET($BN$2,0,0,ROW()-1,60),ROW()-1,FALSE))</f>
        <v>0</v>
      </c>
      <c r="AZ93">
        <f ca="1">IF(AND($B$183=1,LEN($AZ$195)&gt;0),$AZ$195*1000,HLOOKUP(INDIRECT(ADDRESS(2,COLUMN())),OFFSET($BN$2,0,0,ROW()-1,60),ROW()-1,FALSE))</f>
        <v>0</v>
      </c>
      <c r="BA93">
        <f ca="1">IF(AND($B$183=1,LEN($BA$195)&gt;0),$BA$195*1000,HLOOKUP(INDIRECT(ADDRESS(2,COLUMN())),OFFSET($BN$2,0,0,ROW()-1,60),ROW()-1,FALSE))</f>
        <v>0</v>
      </c>
      <c r="BB93">
        <f ca="1">IF(AND($B$183=1,LEN($BB$195)&gt;0),$BB$195*1000,HLOOKUP(INDIRECT(ADDRESS(2,COLUMN())),OFFSET($BN$2,0,0,ROW()-1,60),ROW()-1,FALSE))</f>
        <v>0</v>
      </c>
      <c r="BC93">
        <f ca="1">IF(AND($B$183=1,LEN($BC$195)&gt;0),$BC$195*1000,HLOOKUP(INDIRECT(ADDRESS(2,COLUMN())),OFFSET($BN$2,0,0,ROW()-1,60),ROW()-1,FALSE))</f>
        <v>0</v>
      </c>
      <c r="BD93">
        <f ca="1">IF(AND($B$183=1,LEN($BD$195)&gt;0),$BD$195*1000,HLOOKUP(INDIRECT(ADDRESS(2,COLUMN())),OFFSET($BN$2,0,0,ROW()-1,60),ROW()-1,FALSE))</f>
        <v>0</v>
      </c>
      <c r="BE93">
        <f ca="1">IF(AND($B$183=1,LEN($BE$195)&gt;0),$BE$195*1000,HLOOKUP(INDIRECT(ADDRESS(2,COLUMN())),OFFSET($BN$2,0,0,ROW()-1,60),ROW()-1,FALSE))</f>
        <v>0</v>
      </c>
      <c r="BF93">
        <f ca="1">IF(AND($B$183=1,LEN($BF$195)&gt;0),$BF$195*1000,HLOOKUP(INDIRECT(ADDRESS(2,COLUMN())),OFFSET($BN$2,0,0,ROW()-1,60),ROW()-1,FALSE))</f>
        <v>0</v>
      </c>
      <c r="BG93">
        <f ca="1">IF(AND($B$183=1,LEN($BG$195)&gt;0),$BG$195*1000,HLOOKUP(INDIRECT(ADDRESS(2,COLUMN())),OFFSET($BN$2,0,0,ROW()-1,60),ROW()-1,FALSE))</f>
        <v>0</v>
      </c>
      <c r="BH93">
        <f ca="1">IF(AND($B$183=1,LEN($BH$195)&gt;0),$BH$195*1000,HLOOKUP(INDIRECT(ADDRESS(2,COLUMN())),OFFSET($BN$2,0,0,ROW()-1,60),ROW()-1,FALSE))</f>
        <v>0</v>
      </c>
      <c r="BI93">
        <f ca="1">IF(AND($B$183=1,LEN($BI$195)&gt;0),$BI$195*1000,HLOOKUP(INDIRECT(ADDRESS(2,COLUMN())),OFFSET($BN$2,0,0,ROW()-1,60),ROW()-1,FALSE))</f>
        <v>0</v>
      </c>
      <c r="BJ93">
        <f ca="1">IF(AND($B$183=1,LEN($BJ$195)&gt;0),$BJ$195*1000,HLOOKUP(INDIRECT(ADDRESS(2,COLUMN())),OFFSET($BN$2,0,0,ROW()-1,60),ROW()-1,FALSE))</f>
        <v>0</v>
      </c>
      <c r="BK93">
        <f ca="1">IF(AND($B$183=1,LEN($BK$195)&gt;0),$BK$195*1000,HLOOKUP(INDIRECT(ADDRESS(2,COLUMN())),OFFSET($BN$2,0,0,ROW()-1,60),ROW()-1,FALSE))</f>
        <v>0</v>
      </c>
      <c r="BL93">
        <f ca="1">IF(AND($B$183=1,LEN($BL$195)&gt;0),$BL$195*1000,HLOOKUP(INDIRECT(ADDRESS(2,COLUMN())),OFFSET($BN$2,0,0,ROW()-1,60),ROW()-1,FALSE))</f>
        <v>0</v>
      </c>
      <c r="BM93">
        <f ca="1">IF(AND($B$183=1,LEN($BM$195)&gt;0),$BM$195*1000,HLOOKUP(INDIRECT(ADDRESS(2,COLUMN())),OFFSET($BN$2,0,0,ROW()-1,60),ROW()-1,FALSE))</f>
        <v>0</v>
      </c>
      <c r="BN93">
        <f>80.494</f>
        <v>80.494</v>
      </c>
      <c r="BO93">
        <f>297.997</f>
        <v>297.99700000000001</v>
      </c>
      <c r="BP93">
        <f>1147.62</f>
        <v>1147.6199999999999</v>
      </c>
      <c r="BQ93">
        <f>127.847</f>
        <v>127.84699999999999</v>
      </c>
      <c r="BR93">
        <f>235.907</f>
        <v>235.90700000000001</v>
      </c>
      <c r="BS93">
        <f>113.6</f>
        <v>113.6</v>
      </c>
      <c r="BT93">
        <f>17</f>
        <v>17</v>
      </c>
      <c r="BU93">
        <f>6072.306</f>
        <v>6072.3059999999996</v>
      </c>
      <c r="BV93">
        <f>43.187</f>
        <v>43.186999999999998</v>
      </c>
      <c r="BW93">
        <f>96.877</f>
        <v>96.876999999999995</v>
      </c>
      <c r="BX93">
        <f>360.705</f>
        <v>360.70499999999998</v>
      </c>
      <c r="BY93">
        <f>184.997</f>
        <v>184.99700000000001</v>
      </c>
      <c r="BZ93">
        <f>490.355</f>
        <v>490.35500000000002</v>
      </c>
      <c r="CA93">
        <f>448.644</f>
        <v>448.64400000000001</v>
      </c>
      <c r="CB93">
        <f>417.681</f>
        <v>417.68099999999998</v>
      </c>
      <c r="CC93">
        <f>781.529</f>
        <v>781.529</v>
      </c>
      <c r="CD93">
        <f>412.747</f>
        <v>412.74700000000001</v>
      </c>
      <c r="CE93">
        <f>636.937</f>
        <v>636.93700000000001</v>
      </c>
      <c r="CF93">
        <f>304.214</f>
        <v>304.214</v>
      </c>
      <c r="CG93">
        <f>141.133</f>
        <v>141.13300000000001</v>
      </c>
      <c r="CH93">
        <f>97.955</f>
        <v>97.954999999999998</v>
      </c>
      <c r="CI93">
        <f>0</f>
        <v>0</v>
      </c>
      <c r="CJ93">
        <f>0</f>
        <v>0</v>
      </c>
      <c r="CK93">
        <f>0</f>
        <v>0</v>
      </c>
      <c r="CL93">
        <f>0</f>
        <v>0</v>
      </c>
      <c r="CM93">
        <f>0</f>
        <v>0</v>
      </c>
      <c r="CN93">
        <f>0</f>
        <v>0</v>
      </c>
      <c r="CO93">
        <f>0</f>
        <v>0</v>
      </c>
      <c r="CP93">
        <f>0</f>
        <v>0</v>
      </c>
      <c r="CQ93">
        <f>0</f>
        <v>0</v>
      </c>
      <c r="CR93">
        <f>0</f>
        <v>0</v>
      </c>
      <c r="CS93">
        <f>0</f>
        <v>0</v>
      </c>
      <c r="CT93">
        <f>0</f>
        <v>0</v>
      </c>
      <c r="CU93">
        <f>0</f>
        <v>0</v>
      </c>
      <c r="CV93">
        <f>0</f>
        <v>0</v>
      </c>
      <c r="CW93">
        <f>0</f>
        <v>0</v>
      </c>
      <c r="CX93">
        <f>0</f>
        <v>0</v>
      </c>
      <c r="CY93">
        <f>0</f>
        <v>0</v>
      </c>
      <c r="CZ93">
        <f>0</f>
        <v>0</v>
      </c>
      <c r="DA93">
        <f>0</f>
        <v>0</v>
      </c>
      <c r="DB93">
        <f>0</f>
        <v>0</v>
      </c>
      <c r="DC93">
        <f>0</f>
        <v>0</v>
      </c>
      <c r="DD93">
        <f>0</f>
        <v>0</v>
      </c>
      <c r="DE93">
        <f>0</f>
        <v>0</v>
      </c>
      <c r="DF93">
        <f>0</f>
        <v>0</v>
      </c>
      <c r="DG93">
        <f>0</f>
        <v>0</v>
      </c>
      <c r="DH93">
        <f>0</f>
        <v>0</v>
      </c>
      <c r="DI93">
        <f>0</f>
        <v>0</v>
      </c>
      <c r="DJ93">
        <f>0</f>
        <v>0</v>
      </c>
      <c r="DK93">
        <f>0</f>
        <v>0</v>
      </c>
      <c r="DL93">
        <f>0</f>
        <v>0</v>
      </c>
      <c r="DM93">
        <f>0</f>
        <v>0</v>
      </c>
      <c r="DN93">
        <f>0</f>
        <v>0</v>
      </c>
      <c r="DO93">
        <f>0</f>
        <v>0</v>
      </c>
      <c r="DP93">
        <f>0</f>
        <v>0</v>
      </c>
      <c r="DQ93">
        <f>0</f>
        <v>0</v>
      </c>
      <c r="DR93">
        <f>0</f>
        <v>0</v>
      </c>
      <c r="DS93">
        <f>0</f>
        <v>0</v>
      </c>
      <c r="DT93">
        <f>0</f>
        <v>0</v>
      </c>
      <c r="DU93">
        <f>0</f>
        <v>0</v>
      </c>
    </row>
    <row r="94" spans="1:125">
      <c r="A94" t="str">
        <f>"    Diversified REITs"</f>
        <v xml:space="preserve">    Diversified REITs</v>
      </c>
      <c r="B94" t="str">
        <f>"RECFTADV Index"</f>
        <v>RECFTADV Index</v>
      </c>
      <c r="E94" t="str">
        <f t="shared" si="21"/>
        <v>Expression</v>
      </c>
      <c r="F94">
        <f ca="1">IF(AND($B$183=1,LEN($F$196)&gt;0),$F$196*1000,HLOOKUP(INDIRECT(ADDRESS(2,COLUMN())),OFFSET($BN$2,0,0,ROW()-1,60),ROW()-1,FALSE))</f>
        <v>483.38299999999998</v>
      </c>
      <c r="G94">
        <f ca="1">IF(AND($B$183=1,LEN($G$196)&gt;0),$G$196*1000,HLOOKUP(INDIRECT(ADDRESS(2,COLUMN())),OFFSET($BN$2,0,0,ROW()-1,60),ROW()-1,FALSE))</f>
        <v>1980.42</v>
      </c>
      <c r="H94">
        <f ca="1">IF(AND($B$183=1,LEN($H$196)&gt;0),$H$196*1000,HLOOKUP(INDIRECT(ADDRESS(2,COLUMN())),OFFSET($BN$2,0,0,ROW()-1,60),ROW()-1,FALSE))</f>
        <v>1466.5260000000001</v>
      </c>
      <c r="I94">
        <f ca="1">IF(AND($B$183=1,LEN($I$196)&gt;0),$I$196*1000,HLOOKUP(INDIRECT(ADDRESS(2,COLUMN())),OFFSET($BN$2,0,0,ROW()-1,60),ROW()-1,FALSE))</f>
        <v>289.291</v>
      </c>
      <c r="J94">
        <f ca="1">IF(AND($B$183=1,LEN($J$196)&gt;0),$J$196*1000,HLOOKUP(INDIRECT(ADDRESS(2,COLUMN())),OFFSET($BN$2,0,0,ROW()-1,60),ROW()-1,FALSE))</f>
        <v>1222.26</v>
      </c>
      <c r="K94">
        <f ca="1">IF(AND($B$183=1,LEN($K$196)&gt;0),$K$196*1000,HLOOKUP(INDIRECT(ADDRESS(2,COLUMN())),OFFSET($BN$2,0,0,ROW()-1,60),ROW()-1,FALSE))</f>
        <v>518.476</v>
      </c>
      <c r="L94">
        <f ca="1">IF(AND($B$183=1,LEN($L$196)&gt;0),$L$196*1000,HLOOKUP(INDIRECT(ADDRESS(2,COLUMN())),OFFSET($BN$2,0,0,ROW()-1,60),ROW()-1,FALSE))</f>
        <v>918.58900000000006</v>
      </c>
      <c r="M94">
        <f ca="1">IF(AND($B$183=1,LEN($M$196)&gt;0),$M$196*1000,HLOOKUP(INDIRECT(ADDRESS(2,COLUMN())),OFFSET($BN$2,0,0,ROW()-1,60),ROW()-1,FALSE))</f>
        <v>327.13499999999999</v>
      </c>
      <c r="N94">
        <f ca="1">IF(AND($B$183=1,LEN($N$196)&gt;0),$N$196*1000,HLOOKUP(INDIRECT(ADDRESS(2,COLUMN())),OFFSET($BN$2,0,0,ROW()-1,60),ROW()-1,FALSE))</f>
        <v>276.32900000000001</v>
      </c>
      <c r="O94">
        <f ca="1">IF(AND($B$183=1,LEN($O$196)&gt;0),$O$196*1000,HLOOKUP(INDIRECT(ADDRESS(2,COLUMN())),OFFSET($BN$2,0,0,ROW()-1,60),ROW()-1,FALSE))</f>
        <v>1570.297</v>
      </c>
      <c r="P94">
        <f ca="1">IF(AND($B$183=1,LEN($P$196)&gt;0),$P$196*1000,HLOOKUP(INDIRECT(ADDRESS(2,COLUMN())),OFFSET($BN$2,0,0,ROW()-1,60),ROW()-1,FALSE))</f>
        <v>3654.5210000000002</v>
      </c>
      <c r="Q94">
        <f ca="1">IF(AND($B$183=1,LEN($Q$196)&gt;0),$Q$196*1000,HLOOKUP(INDIRECT(ADDRESS(2,COLUMN())),OFFSET($BN$2,0,0,ROW()-1,60),ROW()-1,FALSE))</f>
        <v>4839.67</v>
      </c>
      <c r="R94">
        <f ca="1">IF(AND($B$183=1,LEN($R$196)&gt;0),$R$196*1000,HLOOKUP(INDIRECT(ADDRESS(2,COLUMN())),OFFSET($BN$2,0,0,ROW()-1,60),ROW()-1,FALSE))</f>
        <v>8274.8850000000002</v>
      </c>
      <c r="S94">
        <f ca="1">IF(AND($B$183=1,LEN($S$196)&gt;0),$S$196*1000,HLOOKUP(INDIRECT(ADDRESS(2,COLUMN())),OFFSET($BN$2,0,0,ROW()-1,60),ROW()-1,FALSE))</f>
        <v>460.44900000000001</v>
      </c>
      <c r="T94">
        <f ca="1">IF(AND($B$183=1,LEN($T$196)&gt;0),$T$196*1000,HLOOKUP(INDIRECT(ADDRESS(2,COLUMN())),OFFSET($BN$2,0,0,ROW()-1,60),ROW()-1,FALSE))</f>
        <v>1188.9839999999999</v>
      </c>
      <c r="U94">
        <f ca="1">IF(AND($B$183=1,LEN($U$196)&gt;0),$U$196*1000,HLOOKUP(INDIRECT(ADDRESS(2,COLUMN())),OFFSET($BN$2,0,0,ROW()-1,60),ROW()-1,FALSE))</f>
        <v>2308.701</v>
      </c>
      <c r="V94">
        <f ca="1">IF(AND($B$183=1,LEN($V$196)&gt;0),$V$196*1000,HLOOKUP(INDIRECT(ADDRESS(2,COLUMN())),OFFSET($BN$2,0,0,ROW()-1,60),ROW()-1,FALSE))</f>
        <v>1633.636</v>
      </c>
      <c r="W94">
        <f ca="1">IF(AND($B$183=1,LEN($W$196)&gt;0),$W$196*1000,HLOOKUP(INDIRECT(ADDRESS(2,COLUMN())),OFFSET($BN$2,0,0,ROW()-1,60),ROW()-1,FALSE))</f>
        <v>2824.02</v>
      </c>
      <c r="X94">
        <f ca="1">IF(AND($B$183=1,LEN($X$196)&gt;0),$X$196*1000,HLOOKUP(INDIRECT(ADDRESS(2,COLUMN())),OFFSET($BN$2,0,0,ROW()-1,60),ROW()-1,FALSE))</f>
        <v>618.44200000000001</v>
      </c>
      <c r="Y94">
        <f ca="1">IF(AND($B$183=1,LEN($Y$196)&gt;0),$Y$196*1000,HLOOKUP(INDIRECT(ADDRESS(2,COLUMN())),OFFSET($BN$2,0,0,ROW()-1,60),ROW()-1,FALSE))</f>
        <v>673.96900000000005</v>
      </c>
      <c r="Z94">
        <f ca="1">IF(AND($B$183=1,LEN($Z$196)&gt;0),$Z$196*1000,HLOOKUP(INDIRECT(ADDRESS(2,COLUMN())),OFFSET($BN$2,0,0,ROW()-1,60),ROW()-1,FALSE))</f>
        <v>1967.3879999999999</v>
      </c>
      <c r="AA94">
        <f ca="1">IF(AND($B$183=1,LEN($AA$196)&gt;0),$AA$196*1000,HLOOKUP(INDIRECT(ADDRESS(2,COLUMN())),OFFSET($BN$2,0,0,ROW()-1,60),ROW()-1,FALSE))</f>
        <v>1272.153</v>
      </c>
      <c r="AB94">
        <f ca="1">IF(AND($B$183=1,LEN($AB$196)&gt;0),$AB$196*1000,HLOOKUP(INDIRECT(ADDRESS(2,COLUMN())),OFFSET($BN$2,0,0,ROW()-1,60),ROW()-1,FALSE))</f>
        <v>437.77600000000001</v>
      </c>
      <c r="AC94">
        <f ca="1">IF(AND($B$183=1,LEN($AC$196)&gt;0),$AC$196*1000,HLOOKUP(INDIRECT(ADDRESS(2,COLUMN())),OFFSET($BN$2,0,0,ROW()-1,60),ROW()-1,FALSE))</f>
        <v>199.095</v>
      </c>
      <c r="AD94">
        <f ca="1">IF(AND($B$183=1,LEN($AD$196)&gt;0),$AD$196*1000,HLOOKUP(INDIRECT(ADDRESS(2,COLUMN())),OFFSET($BN$2,0,0,ROW()-1,60),ROW()-1,FALSE))</f>
        <v>293.03899999999999</v>
      </c>
      <c r="AE94">
        <f ca="1">IF(AND($B$183=1,LEN($AE$196)&gt;0),$AE$196*1000,HLOOKUP(INDIRECT(ADDRESS(2,COLUMN())),OFFSET($BN$2,0,0,ROW()-1,60),ROW()-1,FALSE))</f>
        <v>386.90699999999998</v>
      </c>
      <c r="AF94">
        <f ca="1">IF(AND($B$183=1,LEN($AF$196)&gt;0),$AF$196*1000,HLOOKUP(INDIRECT(ADDRESS(2,COLUMN())),OFFSET($BN$2,0,0,ROW()-1,60),ROW()-1,FALSE))</f>
        <v>172.15299999999999</v>
      </c>
      <c r="AG94">
        <f ca="1">IF(AND($B$183=1,LEN($AG$196)&gt;0),$AG$196*1000,HLOOKUP(INDIRECT(ADDRESS(2,COLUMN())),OFFSET($BN$2,0,0,ROW()-1,60),ROW()-1,FALSE))</f>
        <v>837.45600000000002</v>
      </c>
      <c r="AH94">
        <f ca="1">IF(AND($B$183=1,LEN($AH$196)&gt;0),$AH$196*1000,HLOOKUP(INDIRECT(ADDRESS(2,COLUMN())),OFFSET($BN$2,0,0,ROW()-1,60),ROW()-1,FALSE))</f>
        <v>206.48400000000001</v>
      </c>
      <c r="AI94">
        <f ca="1">IF(AND($B$183=1,LEN($AI$196)&gt;0),$AI$196*1000,HLOOKUP(INDIRECT(ADDRESS(2,COLUMN())),OFFSET($BN$2,0,0,ROW()-1,60),ROW()-1,FALSE))</f>
        <v>25.66</v>
      </c>
      <c r="AJ94">
        <f ca="1">IF(AND($B$183=1,LEN($AJ$196)&gt;0),$AJ$196*1000,HLOOKUP(INDIRECT(ADDRESS(2,COLUMN())),OFFSET($BN$2,0,0,ROW()-1,60),ROW()-1,FALSE))</f>
        <v>82.533000000000001</v>
      </c>
      <c r="AK94">
        <f ca="1">IF(AND($B$183=1,LEN($AK$196)&gt;0),$AK$196*1000,HLOOKUP(INDIRECT(ADDRESS(2,COLUMN())),OFFSET($BN$2,0,0,ROW()-1,60),ROW()-1,FALSE))</f>
        <v>68.5</v>
      </c>
      <c r="AL94">
        <f ca="1">IF(AND($B$183=1,LEN($AL$196)&gt;0),$AL$196*1000,HLOOKUP(INDIRECT(ADDRESS(2,COLUMN())),OFFSET($BN$2,0,0,ROW()-1,60),ROW()-1,FALSE))</f>
        <v>16.25</v>
      </c>
      <c r="AM94">
        <f ca="1">IF(AND($B$183=1,LEN($AM$196)&gt;0),$AM$196*1000,HLOOKUP(INDIRECT(ADDRESS(2,COLUMN())),OFFSET($BN$2,0,0,ROW()-1,60),ROW()-1,FALSE))</f>
        <v>19.899999999999999</v>
      </c>
      <c r="AN94">
        <f ca="1">IF(AND($B$183=1,LEN($AN$196)&gt;0),$AN$196*1000,HLOOKUP(INDIRECT(ADDRESS(2,COLUMN())),OFFSET($BN$2,0,0,ROW()-1,60),ROW()-1,FALSE))</f>
        <v>8.1850000000000005</v>
      </c>
      <c r="AO94">
        <f ca="1">IF(AND($B$183=1,LEN($AO$196)&gt;0),$AO$196*1000,HLOOKUP(INDIRECT(ADDRESS(2,COLUMN())),OFFSET($BN$2,0,0,ROW()-1,60),ROW()-1,FALSE))</f>
        <v>17.103000000000002</v>
      </c>
      <c r="AP94">
        <f ca="1">IF(AND($B$183=1,LEN($AP$196)&gt;0),$AP$196*1000,HLOOKUP(INDIRECT(ADDRESS(2,COLUMN())),OFFSET($BN$2,0,0,ROW()-1,60),ROW()-1,FALSE))</f>
        <v>186.7</v>
      </c>
      <c r="AQ94">
        <f ca="1">IF(AND($B$183=1,LEN($AQ$196)&gt;0),$AQ$196*1000,HLOOKUP(INDIRECT(ADDRESS(2,COLUMN())),OFFSET($BN$2,0,0,ROW()-1,60),ROW()-1,FALSE))</f>
        <v>218.18199999999999</v>
      </c>
      <c r="AR94">
        <f ca="1">IF(AND($B$183=1,LEN($AR$196)&gt;0),$AR$196*1000,HLOOKUP(INDIRECT(ADDRESS(2,COLUMN())),OFFSET($BN$2,0,0,ROW()-1,60),ROW()-1,FALSE))</f>
        <v>141.09</v>
      </c>
      <c r="AS94">
        <f ca="1">IF(AND($B$183=1,LEN($AS$196)&gt;0),$AS$196*1000,HLOOKUP(INDIRECT(ADDRESS(2,COLUMN())),OFFSET($BN$2,0,0,ROW()-1,60),ROW()-1,FALSE))</f>
        <v>41.091000000000001</v>
      </c>
      <c r="AT94">
        <f ca="1">IF(AND($B$183=1,LEN($AT$196)&gt;0),$AT$196*1000,HLOOKUP(INDIRECT(ADDRESS(2,COLUMN())),OFFSET($BN$2,0,0,ROW()-1,60),ROW()-1,FALSE))</f>
        <v>221.15600000000001</v>
      </c>
      <c r="AU94">
        <f ca="1">IF(AND($B$183=1,LEN($AU$196)&gt;0),$AU$196*1000,HLOOKUP(INDIRECT(ADDRESS(2,COLUMN())),OFFSET($BN$2,0,0,ROW()-1,60),ROW()-1,FALSE))</f>
        <v>167.19499999999999</v>
      </c>
      <c r="AV94">
        <f ca="1">IF(AND($B$183=1,LEN($AV$196)&gt;0),$AV$196*1000,HLOOKUP(INDIRECT(ADDRESS(2,COLUMN())),OFFSET($BN$2,0,0,ROW()-1,60),ROW()-1,FALSE))</f>
        <v>2900.9409999999998</v>
      </c>
      <c r="AW94">
        <f ca="1">IF(AND($B$183=1,LEN($AW$196)&gt;0),$AW$196*1000,HLOOKUP(INDIRECT(ADDRESS(2,COLUMN())),OFFSET($BN$2,0,0,ROW()-1,60),ROW()-1,FALSE))</f>
        <v>1513.7760000000001</v>
      </c>
      <c r="AX94">
        <f ca="1">IF(AND($B$183=1,LEN($AX$196)&gt;0),$AX$196*1000,HLOOKUP(INDIRECT(ADDRESS(2,COLUMN())),OFFSET($BN$2,0,0,ROW()-1,60),ROW()-1,FALSE))</f>
        <v>1491.1790000000001</v>
      </c>
      <c r="AY94">
        <f ca="1">IF(AND($B$183=1,LEN($AY$196)&gt;0),$AY$196*1000,HLOOKUP(INDIRECT(ADDRESS(2,COLUMN())),OFFSET($BN$2,0,0,ROW()-1,60),ROW()-1,FALSE))</f>
        <v>902.63699999999994</v>
      </c>
      <c r="AZ94">
        <f ca="1">IF(AND($B$183=1,LEN($AZ$196)&gt;0),$AZ$196*1000,HLOOKUP(INDIRECT(ADDRESS(2,COLUMN())),OFFSET($BN$2,0,0,ROW()-1,60),ROW()-1,FALSE))</f>
        <v>1640.6990000000001</v>
      </c>
      <c r="BA94">
        <f ca="1">IF(AND($B$183=1,LEN($BA$196)&gt;0),$BA$196*1000,HLOOKUP(INDIRECT(ADDRESS(2,COLUMN())),OFFSET($BN$2,0,0,ROW()-1,60),ROW()-1,FALSE))</f>
        <v>753.34199999999998</v>
      </c>
      <c r="BB94">
        <f ca="1">IF(AND($B$183=1,LEN($BB$196)&gt;0),$BB$196*1000,HLOOKUP(INDIRECT(ADDRESS(2,COLUMN())),OFFSET($BN$2,0,0,ROW()-1,60),ROW()-1,FALSE))</f>
        <v>783.47400000000005</v>
      </c>
      <c r="BC94">
        <f ca="1">IF(AND($B$183=1,LEN($BC$196)&gt;0),$BC$196*1000,HLOOKUP(INDIRECT(ADDRESS(2,COLUMN())),OFFSET($BN$2,0,0,ROW()-1,60),ROW()-1,FALSE))</f>
        <v>1023.913</v>
      </c>
      <c r="BD94">
        <f ca="1">IF(AND($B$183=1,LEN($BD$196)&gt;0),$BD$196*1000,HLOOKUP(INDIRECT(ADDRESS(2,COLUMN())),OFFSET($BN$2,0,0,ROW()-1,60),ROW()-1,FALSE))</f>
        <v>1773.0920000000001</v>
      </c>
      <c r="BE94">
        <f ca="1">IF(AND($B$183=1,LEN($BE$196)&gt;0),$BE$196*1000,HLOOKUP(INDIRECT(ADDRESS(2,COLUMN())),OFFSET($BN$2,0,0,ROW()-1,60),ROW()-1,FALSE))</f>
        <v>343.32100000000003</v>
      </c>
      <c r="BF94">
        <f ca="1">IF(AND($B$183=1,LEN($BF$196)&gt;0),$BF$196*1000,HLOOKUP(INDIRECT(ADDRESS(2,COLUMN())),OFFSET($BN$2,0,0,ROW()-1,60),ROW()-1,FALSE))</f>
        <v>932.40700000000004</v>
      </c>
      <c r="BG94">
        <f ca="1">IF(AND($B$183=1,LEN($BG$196)&gt;0),$BG$196*1000,HLOOKUP(INDIRECT(ADDRESS(2,COLUMN())),OFFSET($BN$2,0,0,ROW()-1,60),ROW()-1,FALSE))</f>
        <v>705.40700000000004</v>
      </c>
      <c r="BH94">
        <f ca="1">IF(AND($B$183=1,LEN($BH$196)&gt;0),$BH$196*1000,HLOOKUP(INDIRECT(ADDRESS(2,COLUMN())),OFFSET($BN$2,0,0,ROW()-1,60),ROW()-1,FALSE))</f>
        <v>450.74099999999999</v>
      </c>
      <c r="BI94">
        <f ca="1">IF(AND($B$183=1,LEN($BI$196)&gt;0),$BI$196*1000,HLOOKUP(INDIRECT(ADDRESS(2,COLUMN())),OFFSET($BN$2,0,0,ROW()-1,60),ROW()-1,FALSE))</f>
        <v>389.10399999999998</v>
      </c>
      <c r="BJ94">
        <f ca="1">IF(AND($B$183=1,LEN($BJ$196)&gt;0),$BJ$196*1000,HLOOKUP(INDIRECT(ADDRESS(2,COLUMN())),OFFSET($BN$2,0,0,ROW()-1,60),ROW()-1,FALSE))</f>
        <v>156.66</v>
      </c>
      <c r="BK94">
        <f ca="1">IF(AND($B$183=1,LEN($BK$196)&gt;0),$BK$196*1000,HLOOKUP(INDIRECT(ADDRESS(2,COLUMN())),OFFSET($BN$2,0,0,ROW()-1,60),ROW()-1,FALSE))</f>
        <v>0</v>
      </c>
      <c r="BL94">
        <f ca="1">IF(AND($B$183=1,LEN($BL$196)&gt;0),$BL$196*1000,HLOOKUP(INDIRECT(ADDRESS(2,COLUMN())),OFFSET($BN$2,0,0,ROW()-1,60),ROW()-1,FALSE))</f>
        <v>30</v>
      </c>
      <c r="BM94">
        <f ca="1">IF(AND($B$183=1,LEN($BM$196)&gt;0),$BM$196*1000,HLOOKUP(INDIRECT(ADDRESS(2,COLUMN())),OFFSET($BN$2,0,0,ROW()-1,60),ROW()-1,FALSE))</f>
        <v>72.5</v>
      </c>
      <c r="BN94">
        <f>483.383</f>
        <v>483.38299999999998</v>
      </c>
      <c r="BO94">
        <f>1980.42</f>
        <v>1980.42</v>
      </c>
      <c r="BP94">
        <f>1466.526</f>
        <v>1466.5260000000001</v>
      </c>
      <c r="BQ94">
        <f>289.291</f>
        <v>289.291</v>
      </c>
      <c r="BR94">
        <f>1222.26</f>
        <v>1222.26</v>
      </c>
      <c r="BS94">
        <f>518.476</f>
        <v>518.476</v>
      </c>
      <c r="BT94">
        <f>918.589</f>
        <v>918.58900000000006</v>
      </c>
      <c r="BU94">
        <f>327.135</f>
        <v>327.13499999999999</v>
      </c>
      <c r="BV94">
        <f>276.329</f>
        <v>276.32900000000001</v>
      </c>
      <c r="BW94">
        <f>1570.297</f>
        <v>1570.297</v>
      </c>
      <c r="BX94">
        <f>3654.521</f>
        <v>3654.5210000000002</v>
      </c>
      <c r="BY94">
        <f>4839.67</f>
        <v>4839.67</v>
      </c>
      <c r="BZ94">
        <f>8274.885</f>
        <v>8274.8850000000002</v>
      </c>
      <c r="CA94">
        <f>460.449</f>
        <v>460.44900000000001</v>
      </c>
      <c r="CB94">
        <f>1188.984</f>
        <v>1188.9839999999999</v>
      </c>
      <c r="CC94">
        <f>2308.701</f>
        <v>2308.701</v>
      </c>
      <c r="CD94">
        <f>1633.636</f>
        <v>1633.636</v>
      </c>
      <c r="CE94">
        <f>2824.02</f>
        <v>2824.02</v>
      </c>
      <c r="CF94">
        <f>618.442</f>
        <v>618.44200000000001</v>
      </c>
      <c r="CG94">
        <f>673.969</f>
        <v>673.96900000000005</v>
      </c>
      <c r="CH94">
        <f>1967.388</f>
        <v>1967.3879999999999</v>
      </c>
      <c r="CI94">
        <f>1272.153</f>
        <v>1272.153</v>
      </c>
      <c r="CJ94">
        <f>437.776</f>
        <v>437.77600000000001</v>
      </c>
      <c r="CK94">
        <f>199.095</f>
        <v>199.095</v>
      </c>
      <c r="CL94">
        <f>293.039</f>
        <v>293.03899999999999</v>
      </c>
      <c r="CM94">
        <f>386.907</f>
        <v>386.90699999999998</v>
      </c>
      <c r="CN94">
        <f>172.153</f>
        <v>172.15299999999999</v>
      </c>
      <c r="CO94">
        <f>837.456</f>
        <v>837.45600000000002</v>
      </c>
      <c r="CP94">
        <f>206.484</f>
        <v>206.48400000000001</v>
      </c>
      <c r="CQ94">
        <f>25.66</f>
        <v>25.66</v>
      </c>
      <c r="CR94">
        <f>82.533</f>
        <v>82.533000000000001</v>
      </c>
      <c r="CS94">
        <f>68.5</f>
        <v>68.5</v>
      </c>
      <c r="CT94">
        <f>16.25</f>
        <v>16.25</v>
      </c>
      <c r="CU94">
        <f>19.9</f>
        <v>19.899999999999999</v>
      </c>
      <c r="CV94">
        <f>8.185</f>
        <v>8.1850000000000005</v>
      </c>
      <c r="CW94">
        <f>17.103</f>
        <v>17.103000000000002</v>
      </c>
      <c r="CX94">
        <f>186.7</f>
        <v>186.7</v>
      </c>
      <c r="CY94">
        <f>218.182</f>
        <v>218.18199999999999</v>
      </c>
      <c r="CZ94">
        <f>141.09</f>
        <v>141.09</v>
      </c>
      <c r="DA94">
        <f>41.091</f>
        <v>41.091000000000001</v>
      </c>
      <c r="DB94">
        <f>221.156</f>
        <v>221.15600000000001</v>
      </c>
      <c r="DC94">
        <f>167.195</f>
        <v>167.19499999999999</v>
      </c>
      <c r="DD94">
        <f>2900.941</f>
        <v>2900.9409999999998</v>
      </c>
      <c r="DE94">
        <f>1513.776</f>
        <v>1513.7760000000001</v>
      </c>
      <c r="DF94">
        <f>1491.179</f>
        <v>1491.1790000000001</v>
      </c>
      <c r="DG94">
        <f>902.637</f>
        <v>902.63699999999994</v>
      </c>
      <c r="DH94">
        <f>1640.699</f>
        <v>1640.6990000000001</v>
      </c>
      <c r="DI94">
        <f>753.342</f>
        <v>753.34199999999998</v>
      </c>
      <c r="DJ94">
        <f>783.474</f>
        <v>783.47400000000005</v>
      </c>
      <c r="DK94">
        <f>1023.913</f>
        <v>1023.913</v>
      </c>
      <c r="DL94">
        <f>1773.092</f>
        <v>1773.0920000000001</v>
      </c>
      <c r="DM94">
        <f>343.321</f>
        <v>343.32100000000003</v>
      </c>
      <c r="DN94">
        <f>932.407</f>
        <v>932.40700000000004</v>
      </c>
      <c r="DO94">
        <f>705.407</f>
        <v>705.40700000000004</v>
      </c>
      <c r="DP94">
        <f>450.741</f>
        <v>450.74099999999999</v>
      </c>
      <c r="DQ94">
        <f>389.104</f>
        <v>389.10399999999998</v>
      </c>
      <c r="DR94">
        <f>156.66</f>
        <v>156.66</v>
      </c>
      <c r="DS94">
        <f>0</f>
        <v>0</v>
      </c>
      <c r="DT94">
        <f>30</f>
        <v>30</v>
      </c>
      <c r="DU94">
        <f>72.5</f>
        <v>72.5</v>
      </c>
    </row>
    <row r="95" spans="1:125">
      <c r="A95" t="str">
        <f>"    Lodging/Resort REITs"</f>
        <v xml:space="preserve">    Lodging/Resort REITs</v>
      </c>
      <c r="B95" t="str">
        <f>"RECFTALR Index"</f>
        <v>RECFTALR Index</v>
      </c>
      <c r="E95" t="str">
        <f t="shared" si="21"/>
        <v>Expression</v>
      </c>
      <c r="F95">
        <f ca="1">IF(AND($B$183=1,LEN($F$197)&gt;0),$F$197*1000,HLOOKUP(INDIRECT(ADDRESS(2,COLUMN())),OFFSET($BN$2,0,0,ROW()-1,60),ROW()-1,FALSE))</f>
        <v>768.2</v>
      </c>
      <c r="G95">
        <f ca="1">IF(AND($B$183=1,LEN($G$197)&gt;0),$G$197*1000,HLOOKUP(INDIRECT(ADDRESS(2,COLUMN())),OFFSET($BN$2,0,0,ROW()-1,60),ROW()-1,FALSE))</f>
        <v>1009.455</v>
      </c>
      <c r="H95">
        <f ca="1">IF(AND($B$183=1,LEN($H$197)&gt;0),$H$197*1000,HLOOKUP(INDIRECT(ADDRESS(2,COLUMN())),OFFSET($BN$2,0,0,ROW()-1,60),ROW()-1,FALSE))</f>
        <v>985.02300000000002</v>
      </c>
      <c r="I95">
        <f ca="1">IF(AND($B$183=1,LEN($I$197)&gt;0),$I$197*1000,HLOOKUP(INDIRECT(ADDRESS(2,COLUMN())),OFFSET($BN$2,0,0,ROW()-1,60),ROW()-1,FALSE))</f>
        <v>1175.729</v>
      </c>
      <c r="J95">
        <f ca="1">IF(AND($B$183=1,LEN($J$197)&gt;0),$J$197*1000,HLOOKUP(INDIRECT(ADDRESS(2,COLUMN())),OFFSET($BN$2,0,0,ROW()-1,60),ROW()-1,FALSE))</f>
        <v>265.91899999999998</v>
      </c>
      <c r="K95">
        <f ca="1">IF(AND($B$183=1,LEN($K$197)&gt;0),$K$197*1000,HLOOKUP(INDIRECT(ADDRESS(2,COLUMN())),OFFSET($BN$2,0,0,ROW()-1,60),ROW()-1,FALSE))</f>
        <v>1343.546</v>
      </c>
      <c r="L95">
        <f ca="1">IF(AND($B$183=1,LEN($L$197)&gt;0),$L$197*1000,HLOOKUP(INDIRECT(ADDRESS(2,COLUMN())),OFFSET($BN$2,0,0,ROW()-1,60),ROW()-1,FALSE))</f>
        <v>100.29</v>
      </c>
      <c r="M95">
        <f ca="1">IF(AND($B$183=1,LEN($M$197)&gt;0),$M$197*1000,HLOOKUP(INDIRECT(ADDRESS(2,COLUMN())),OFFSET($BN$2,0,0,ROW()-1,60),ROW()-1,FALSE))</f>
        <v>540.30700000000002</v>
      </c>
      <c r="N95">
        <f ca="1">IF(AND($B$183=1,LEN($N$197)&gt;0),$N$197*1000,HLOOKUP(INDIRECT(ADDRESS(2,COLUMN())),OFFSET($BN$2,0,0,ROW()-1,60),ROW()-1,FALSE))</f>
        <v>446.51799999999997</v>
      </c>
      <c r="O95">
        <f ca="1">IF(AND($B$183=1,LEN($O$197)&gt;0),$O$197*1000,HLOOKUP(INDIRECT(ADDRESS(2,COLUMN())),OFFSET($BN$2,0,0,ROW()-1,60),ROW()-1,FALSE))</f>
        <v>1200.7570000000001</v>
      </c>
      <c r="P95">
        <f ca="1">IF(AND($B$183=1,LEN($P$197)&gt;0),$P$197*1000,HLOOKUP(INDIRECT(ADDRESS(2,COLUMN())),OFFSET($BN$2,0,0,ROW()-1,60),ROW()-1,FALSE))</f>
        <v>1927.152</v>
      </c>
      <c r="Q95">
        <f ca="1">IF(AND($B$183=1,LEN($Q$197)&gt;0),$Q$197*1000,HLOOKUP(INDIRECT(ADDRESS(2,COLUMN())),OFFSET($BN$2,0,0,ROW()-1,60),ROW()-1,FALSE))</f>
        <v>1596.8869999999999</v>
      </c>
      <c r="R95">
        <f ca="1">IF(AND($B$183=1,LEN($R$197)&gt;0),$R$197*1000,HLOOKUP(INDIRECT(ADDRESS(2,COLUMN())),OFFSET($BN$2,0,0,ROW()-1,60),ROW()-1,FALSE))</f>
        <v>2052.1979999999999</v>
      </c>
      <c r="S95">
        <f ca="1">IF(AND($B$183=1,LEN($S$197)&gt;0),$S$197*1000,HLOOKUP(INDIRECT(ADDRESS(2,COLUMN())),OFFSET($BN$2,0,0,ROW()-1,60),ROW()-1,FALSE))</f>
        <v>1099.962</v>
      </c>
      <c r="T95">
        <f ca="1">IF(AND($B$183=1,LEN($T$197)&gt;0),$T$197*1000,HLOOKUP(INDIRECT(ADDRESS(2,COLUMN())),OFFSET($BN$2,0,0,ROW()-1,60),ROW()-1,FALSE))</f>
        <v>2092.9949999999999</v>
      </c>
      <c r="U95">
        <f ca="1">IF(AND($B$183=1,LEN($U$197)&gt;0),$U$197*1000,HLOOKUP(INDIRECT(ADDRESS(2,COLUMN())),OFFSET($BN$2,0,0,ROW()-1,60),ROW()-1,FALSE))</f>
        <v>1198.463</v>
      </c>
      <c r="V95">
        <f ca="1">IF(AND($B$183=1,LEN($V$197)&gt;0),$V$197*1000,HLOOKUP(INDIRECT(ADDRESS(2,COLUMN())),OFFSET($BN$2,0,0,ROW()-1,60),ROW()-1,FALSE))</f>
        <v>675.35599999999999</v>
      </c>
      <c r="W95">
        <f ca="1">IF(AND($B$183=1,LEN($W$197)&gt;0),$W$197*1000,HLOOKUP(INDIRECT(ADDRESS(2,COLUMN())),OFFSET($BN$2,0,0,ROW()-1,60),ROW()-1,FALSE))</f>
        <v>871.07500000000005</v>
      </c>
      <c r="X95">
        <f ca="1">IF(AND($B$183=1,LEN($X$197)&gt;0),$X$197*1000,HLOOKUP(INDIRECT(ADDRESS(2,COLUMN())),OFFSET($BN$2,0,0,ROW()-1,60),ROW()-1,FALSE))</f>
        <v>1249.182</v>
      </c>
      <c r="Y95">
        <f ca="1">IF(AND($B$183=1,LEN($Y$197)&gt;0),$Y$197*1000,HLOOKUP(INDIRECT(ADDRESS(2,COLUMN())),OFFSET($BN$2,0,0,ROW()-1,60),ROW()-1,FALSE))</f>
        <v>555.53599999999994</v>
      </c>
      <c r="Z95">
        <f ca="1">IF(AND($B$183=1,LEN($Z$197)&gt;0),$Z$197*1000,HLOOKUP(INDIRECT(ADDRESS(2,COLUMN())),OFFSET($BN$2,0,0,ROW()-1,60),ROW()-1,FALSE))</f>
        <v>1431.124</v>
      </c>
      <c r="AA95">
        <f ca="1">IF(AND($B$183=1,LEN($AA$197)&gt;0),$AA$197*1000,HLOOKUP(INDIRECT(ADDRESS(2,COLUMN())),OFFSET($BN$2,0,0,ROW()-1,60),ROW()-1,FALSE))</f>
        <v>1783.2550000000001</v>
      </c>
      <c r="AB95">
        <f ca="1">IF(AND($B$183=1,LEN($AB$197)&gt;0),$AB$197*1000,HLOOKUP(INDIRECT(ADDRESS(2,COLUMN())),OFFSET($BN$2,0,0,ROW()-1,60),ROW()-1,FALSE))</f>
        <v>455.62900000000002</v>
      </c>
      <c r="AC95">
        <f ca="1">IF(AND($B$183=1,LEN($AC$197)&gt;0),$AC$197*1000,HLOOKUP(INDIRECT(ADDRESS(2,COLUMN())),OFFSET($BN$2,0,0,ROW()-1,60),ROW()-1,FALSE))</f>
        <v>456.166</v>
      </c>
      <c r="AD95">
        <f ca="1">IF(AND($B$183=1,LEN($AD$197)&gt;0),$AD$197*1000,HLOOKUP(INDIRECT(ADDRESS(2,COLUMN())),OFFSET($BN$2,0,0,ROW()-1,60),ROW()-1,FALSE))</f>
        <v>1743.0119999999999</v>
      </c>
      <c r="AE95">
        <f ca="1">IF(AND($B$183=1,LEN($AE$197)&gt;0),$AE$197*1000,HLOOKUP(INDIRECT(ADDRESS(2,COLUMN())),OFFSET($BN$2,0,0,ROW()-1,60),ROW()-1,FALSE))</f>
        <v>1375.2149999999999</v>
      </c>
      <c r="AF95">
        <f ca="1">IF(AND($B$183=1,LEN($AF$197)&gt;0),$AF$197*1000,HLOOKUP(INDIRECT(ADDRESS(2,COLUMN())),OFFSET($BN$2,0,0,ROW()-1,60),ROW()-1,FALSE))</f>
        <v>1803.4069999999999</v>
      </c>
      <c r="AG95">
        <f ca="1">IF(AND($B$183=1,LEN($AG$197)&gt;0),$AG$197*1000,HLOOKUP(INDIRECT(ADDRESS(2,COLUMN())),OFFSET($BN$2,0,0,ROW()-1,60),ROW()-1,FALSE))</f>
        <v>2414.6680000000001</v>
      </c>
      <c r="AH95">
        <f ca="1">IF(AND($B$183=1,LEN($AH$197)&gt;0),$AH$197*1000,HLOOKUP(INDIRECT(ADDRESS(2,COLUMN())),OFFSET($BN$2,0,0,ROW()-1,60),ROW()-1,FALSE))</f>
        <v>390.53100000000001</v>
      </c>
      <c r="AI95">
        <f ca="1">IF(AND($B$183=1,LEN($AI$197)&gt;0),$AI$197*1000,HLOOKUP(INDIRECT(ADDRESS(2,COLUMN())),OFFSET($BN$2,0,0,ROW()-1,60),ROW()-1,FALSE))</f>
        <v>1338.9659999999999</v>
      </c>
      <c r="AJ95">
        <f ca="1">IF(AND($B$183=1,LEN($AJ$197)&gt;0),$AJ$197*1000,HLOOKUP(INDIRECT(ADDRESS(2,COLUMN())),OFFSET($BN$2,0,0,ROW()-1,60),ROW()-1,FALSE))</f>
        <v>337.74599999999998</v>
      </c>
      <c r="AK95">
        <f ca="1">IF(AND($B$183=1,LEN($AK$197)&gt;0),$AK$197*1000,HLOOKUP(INDIRECT(ADDRESS(2,COLUMN())),OFFSET($BN$2,0,0,ROW()-1,60),ROW()-1,FALSE))</f>
        <v>281.51299999999998</v>
      </c>
      <c r="AL95">
        <f ca="1">IF(AND($B$183=1,LEN($AL$197)&gt;0),$AL$197*1000,HLOOKUP(INDIRECT(ADDRESS(2,COLUMN())),OFFSET($BN$2,0,0,ROW()-1,60),ROW()-1,FALSE))</f>
        <v>13</v>
      </c>
      <c r="AM95">
        <f ca="1">IF(AND($B$183=1,LEN($AM$197)&gt;0),$AM$197*1000,HLOOKUP(INDIRECT(ADDRESS(2,COLUMN())),OFFSET($BN$2,0,0,ROW()-1,60),ROW()-1,FALSE))</f>
        <v>0</v>
      </c>
      <c r="AN95">
        <f ca="1">IF(AND($B$183=1,LEN($AN$197)&gt;0),$AN$197*1000,HLOOKUP(INDIRECT(ADDRESS(2,COLUMN())),OFFSET($BN$2,0,0,ROW()-1,60),ROW()-1,FALSE))</f>
        <v>67</v>
      </c>
      <c r="AO95">
        <f ca="1">IF(AND($B$183=1,LEN($AO$197)&gt;0),$AO$197*1000,HLOOKUP(INDIRECT(ADDRESS(2,COLUMN())),OFFSET($BN$2,0,0,ROW()-1,60),ROW()-1,FALSE))</f>
        <v>0</v>
      </c>
      <c r="AP95">
        <f ca="1">IF(AND($B$183=1,LEN($AP$197)&gt;0),$AP$197*1000,HLOOKUP(INDIRECT(ADDRESS(2,COLUMN())),OFFSET($BN$2,0,0,ROW()-1,60),ROW()-1,FALSE))</f>
        <v>0</v>
      </c>
      <c r="AQ95">
        <f ca="1">IF(AND($B$183=1,LEN($AQ$197)&gt;0),$AQ$197*1000,HLOOKUP(INDIRECT(ADDRESS(2,COLUMN())),OFFSET($BN$2,0,0,ROW()-1,60),ROW()-1,FALSE))</f>
        <v>12.6</v>
      </c>
      <c r="AR95">
        <f ca="1">IF(AND($B$183=1,LEN($AR$197)&gt;0),$AR$197*1000,HLOOKUP(INDIRECT(ADDRESS(2,COLUMN())),OFFSET($BN$2,0,0,ROW()-1,60),ROW()-1,FALSE))</f>
        <v>182.60900000000001</v>
      </c>
      <c r="AS95">
        <f ca="1">IF(AND($B$183=1,LEN($AS$197)&gt;0),$AS$197*1000,HLOOKUP(INDIRECT(ADDRESS(2,COLUMN())),OFFSET($BN$2,0,0,ROW()-1,60),ROW()-1,FALSE))</f>
        <v>71.143000000000001</v>
      </c>
      <c r="AT95">
        <f ca="1">IF(AND($B$183=1,LEN($AT$197)&gt;0),$AT$197*1000,HLOOKUP(INDIRECT(ADDRESS(2,COLUMN())),OFFSET($BN$2,0,0,ROW()-1,60),ROW()-1,FALSE))</f>
        <v>238.8</v>
      </c>
      <c r="AU95">
        <f ca="1">IF(AND($B$183=1,LEN($AU$197)&gt;0),$AU$197*1000,HLOOKUP(INDIRECT(ADDRESS(2,COLUMN())),OFFSET($BN$2,0,0,ROW()-1,60),ROW()-1,FALSE))</f>
        <v>202.57499999999999</v>
      </c>
      <c r="AV95">
        <f ca="1">IF(AND($B$183=1,LEN($AV$197)&gt;0),$AV$197*1000,HLOOKUP(INDIRECT(ADDRESS(2,COLUMN())),OFFSET($BN$2,0,0,ROW()-1,60),ROW()-1,FALSE))</f>
        <v>2934.4</v>
      </c>
      <c r="AW95">
        <f ca="1">IF(AND($B$183=1,LEN($AW$197)&gt;0),$AW$197*1000,HLOOKUP(INDIRECT(ADDRESS(2,COLUMN())),OFFSET($BN$2,0,0,ROW()-1,60),ROW()-1,FALSE))</f>
        <v>3772.3679999999999</v>
      </c>
      <c r="AX95">
        <f ca="1">IF(AND($B$183=1,LEN($AX$197)&gt;0),$AX$197*1000,HLOOKUP(INDIRECT(ADDRESS(2,COLUMN())),OFFSET($BN$2,0,0,ROW()-1,60),ROW()-1,FALSE))</f>
        <v>1222.973</v>
      </c>
      <c r="AY95">
        <f ca="1">IF(AND($B$183=1,LEN($AY$197)&gt;0),$AY$197*1000,HLOOKUP(INDIRECT(ADDRESS(2,COLUMN())),OFFSET($BN$2,0,0,ROW()-1,60),ROW()-1,FALSE))</f>
        <v>968.005</v>
      </c>
      <c r="AZ95">
        <f ca="1">IF(AND($B$183=1,LEN($AZ$197)&gt;0),$AZ$197*1000,HLOOKUP(INDIRECT(ADDRESS(2,COLUMN())),OFFSET($BN$2,0,0,ROW()-1,60),ROW()-1,FALSE))</f>
        <v>4149.3789999999999</v>
      </c>
      <c r="BA95">
        <f ca="1">IF(AND($B$183=1,LEN($BA$197)&gt;0),$BA$197*1000,HLOOKUP(INDIRECT(ADDRESS(2,COLUMN())),OFFSET($BN$2,0,0,ROW()-1,60),ROW()-1,FALSE))</f>
        <v>2018.2080000000001</v>
      </c>
      <c r="BB95">
        <f ca="1">IF(AND($B$183=1,LEN($BB$197)&gt;0),$BB$197*1000,HLOOKUP(INDIRECT(ADDRESS(2,COLUMN())),OFFSET($BN$2,0,0,ROW()-1,60),ROW()-1,FALSE))</f>
        <v>1315.47</v>
      </c>
      <c r="BC95">
        <f ca="1">IF(AND($B$183=1,LEN($BC$197)&gt;0),$BC$197*1000,HLOOKUP(INDIRECT(ADDRESS(2,COLUMN())),OFFSET($BN$2,0,0,ROW()-1,60),ROW()-1,FALSE))</f>
        <v>1004.545</v>
      </c>
      <c r="BD95">
        <f ca="1">IF(AND($B$183=1,LEN($BD$197)&gt;0),$BD$197*1000,HLOOKUP(INDIRECT(ADDRESS(2,COLUMN())),OFFSET($BN$2,0,0,ROW()-1,60),ROW()-1,FALSE))</f>
        <v>2069.5839999999998</v>
      </c>
      <c r="BE95">
        <f ca="1">IF(AND($B$183=1,LEN($BE$197)&gt;0),$BE$197*1000,HLOOKUP(INDIRECT(ADDRESS(2,COLUMN())),OFFSET($BN$2,0,0,ROW()-1,60),ROW()-1,FALSE))</f>
        <v>854.06700000000001</v>
      </c>
      <c r="BF95">
        <f ca="1">IF(AND($B$183=1,LEN($BF$197)&gt;0),$BF$197*1000,HLOOKUP(INDIRECT(ADDRESS(2,COLUMN())),OFFSET($BN$2,0,0,ROW()-1,60),ROW()-1,FALSE))</f>
        <v>367.09699999999998</v>
      </c>
      <c r="BG95">
        <f ca="1">IF(AND($B$183=1,LEN($BG$197)&gt;0),$BG$197*1000,HLOOKUP(INDIRECT(ADDRESS(2,COLUMN())),OFFSET($BN$2,0,0,ROW()-1,60),ROW()-1,FALSE))</f>
        <v>1008.063</v>
      </c>
      <c r="BH95">
        <f ca="1">IF(AND($B$183=1,LEN($BH$197)&gt;0),$BH$197*1000,HLOOKUP(INDIRECT(ADDRESS(2,COLUMN())),OFFSET($BN$2,0,0,ROW()-1,60),ROW()-1,FALSE))</f>
        <v>549.90099999999995</v>
      </c>
      <c r="BI95">
        <f ca="1">IF(AND($B$183=1,LEN($BI$197)&gt;0),$BI$197*1000,HLOOKUP(INDIRECT(ADDRESS(2,COLUMN())),OFFSET($BN$2,0,0,ROW()-1,60),ROW()-1,FALSE))</f>
        <v>258.63799999999998</v>
      </c>
      <c r="BJ95">
        <f ca="1">IF(AND($B$183=1,LEN($BJ$197)&gt;0),$BJ$197*1000,HLOOKUP(INDIRECT(ADDRESS(2,COLUMN())),OFFSET($BN$2,0,0,ROW()-1,60),ROW()-1,FALSE))</f>
        <v>354.19299999999998</v>
      </c>
      <c r="BK95">
        <f ca="1">IF(AND($B$183=1,LEN($BK$197)&gt;0),$BK$197*1000,HLOOKUP(INDIRECT(ADDRESS(2,COLUMN())),OFFSET($BN$2,0,0,ROW()-1,60),ROW()-1,FALSE))</f>
        <v>28.48</v>
      </c>
      <c r="BL95">
        <f ca="1">IF(AND($B$183=1,LEN($BL$197)&gt;0),$BL$197*1000,HLOOKUP(INDIRECT(ADDRESS(2,COLUMN())),OFFSET($BN$2,0,0,ROW()-1,60),ROW()-1,FALSE))</f>
        <v>0</v>
      </c>
      <c r="BM95">
        <f ca="1">IF(AND($B$183=1,LEN($BM$197)&gt;0),$BM$197*1000,HLOOKUP(INDIRECT(ADDRESS(2,COLUMN())),OFFSET($BN$2,0,0,ROW()-1,60),ROW()-1,FALSE))</f>
        <v>0</v>
      </c>
      <c r="BN95">
        <f>768.2</f>
        <v>768.2</v>
      </c>
      <c r="BO95">
        <f>1009.455</f>
        <v>1009.455</v>
      </c>
      <c r="BP95">
        <f>985.023</f>
        <v>985.02300000000002</v>
      </c>
      <c r="BQ95">
        <f>1175.729</f>
        <v>1175.729</v>
      </c>
      <c r="BR95">
        <f>265.919</f>
        <v>265.91899999999998</v>
      </c>
      <c r="BS95">
        <f>1343.546</f>
        <v>1343.546</v>
      </c>
      <c r="BT95">
        <f>100.29</f>
        <v>100.29</v>
      </c>
      <c r="BU95">
        <f>540.307</f>
        <v>540.30700000000002</v>
      </c>
      <c r="BV95">
        <f>446.518</f>
        <v>446.51799999999997</v>
      </c>
      <c r="BW95">
        <f>1200.757</f>
        <v>1200.7570000000001</v>
      </c>
      <c r="BX95">
        <f>1927.152</f>
        <v>1927.152</v>
      </c>
      <c r="BY95">
        <f>1596.887</f>
        <v>1596.8869999999999</v>
      </c>
      <c r="BZ95">
        <f>2052.198</f>
        <v>2052.1979999999999</v>
      </c>
      <c r="CA95">
        <f>1099.962</f>
        <v>1099.962</v>
      </c>
      <c r="CB95">
        <f>2092.995</f>
        <v>2092.9949999999999</v>
      </c>
      <c r="CC95">
        <f>1198.463</f>
        <v>1198.463</v>
      </c>
      <c r="CD95">
        <f>675.356</f>
        <v>675.35599999999999</v>
      </c>
      <c r="CE95">
        <f>871.075</f>
        <v>871.07500000000005</v>
      </c>
      <c r="CF95">
        <f>1249.182</f>
        <v>1249.182</v>
      </c>
      <c r="CG95">
        <f>555.536</f>
        <v>555.53599999999994</v>
      </c>
      <c r="CH95">
        <f>1431.124</f>
        <v>1431.124</v>
      </c>
      <c r="CI95">
        <f>1783.255</f>
        <v>1783.2550000000001</v>
      </c>
      <c r="CJ95">
        <f>455.629</f>
        <v>455.62900000000002</v>
      </c>
      <c r="CK95">
        <f>456.166</f>
        <v>456.166</v>
      </c>
      <c r="CL95">
        <f>1743.012</f>
        <v>1743.0119999999999</v>
      </c>
      <c r="CM95">
        <f>1375.215</f>
        <v>1375.2149999999999</v>
      </c>
      <c r="CN95">
        <f>1803.407</f>
        <v>1803.4069999999999</v>
      </c>
      <c r="CO95">
        <f>2414.668</f>
        <v>2414.6680000000001</v>
      </c>
      <c r="CP95">
        <f>390.531</f>
        <v>390.53100000000001</v>
      </c>
      <c r="CQ95">
        <f>1338.966</f>
        <v>1338.9659999999999</v>
      </c>
      <c r="CR95">
        <f>337.746</f>
        <v>337.74599999999998</v>
      </c>
      <c r="CS95">
        <f>281.513</f>
        <v>281.51299999999998</v>
      </c>
      <c r="CT95">
        <f>13</f>
        <v>13</v>
      </c>
      <c r="CU95">
        <f>0</f>
        <v>0</v>
      </c>
      <c r="CV95">
        <f>67</f>
        <v>67</v>
      </c>
      <c r="CW95">
        <f>0</f>
        <v>0</v>
      </c>
      <c r="CX95">
        <f>0</f>
        <v>0</v>
      </c>
      <c r="CY95">
        <f>12.6</f>
        <v>12.6</v>
      </c>
      <c r="CZ95">
        <f>182.609</f>
        <v>182.60900000000001</v>
      </c>
      <c r="DA95">
        <f>71.143</f>
        <v>71.143000000000001</v>
      </c>
      <c r="DB95">
        <f>238.8</f>
        <v>238.8</v>
      </c>
      <c r="DC95">
        <f>202.575</f>
        <v>202.57499999999999</v>
      </c>
      <c r="DD95">
        <f>2934.4</f>
        <v>2934.4</v>
      </c>
      <c r="DE95">
        <f>3772.368</f>
        <v>3772.3679999999999</v>
      </c>
      <c r="DF95">
        <f>1222.973</f>
        <v>1222.973</v>
      </c>
      <c r="DG95">
        <f>968.005</f>
        <v>968.005</v>
      </c>
      <c r="DH95">
        <f>4149.379</f>
        <v>4149.3789999999999</v>
      </c>
      <c r="DI95">
        <f>2018.208</f>
        <v>2018.2080000000001</v>
      </c>
      <c r="DJ95">
        <f>1315.47</f>
        <v>1315.47</v>
      </c>
      <c r="DK95">
        <f>1004.545</f>
        <v>1004.545</v>
      </c>
      <c r="DL95">
        <f>2069.584</f>
        <v>2069.5839999999998</v>
      </c>
      <c r="DM95">
        <f>854.067</f>
        <v>854.06700000000001</v>
      </c>
      <c r="DN95">
        <f>367.097</f>
        <v>367.09699999999998</v>
      </c>
      <c r="DO95">
        <f>1008.063</f>
        <v>1008.063</v>
      </c>
      <c r="DP95">
        <f>549.901</f>
        <v>549.90099999999995</v>
      </c>
      <c r="DQ95">
        <f>258.638</f>
        <v>258.63799999999998</v>
      </c>
      <c r="DR95">
        <f>354.193</f>
        <v>354.19299999999998</v>
      </c>
      <c r="DS95">
        <f>28.48</f>
        <v>28.48</v>
      </c>
      <c r="DT95">
        <f>0</f>
        <v>0</v>
      </c>
      <c r="DU95">
        <f>0</f>
        <v>0</v>
      </c>
    </row>
    <row r="96" spans="1:125">
      <c r="A96" t="str">
        <f>"    Self Storage REITs"</f>
        <v xml:space="preserve">    Self Storage REITs</v>
      </c>
      <c r="B96" t="str">
        <f>"RECFTASS Index"</f>
        <v>RECFTASS Index</v>
      </c>
      <c r="E96" t="str">
        <f t="shared" si="21"/>
        <v>Expression</v>
      </c>
      <c r="F96">
        <f ca="1">IF(AND($B$183=1,LEN($F$198)&gt;0),$F$198*1000,HLOOKUP(INDIRECT(ADDRESS(2,COLUMN())),OFFSET($BN$2,0,0,ROW()-1,60),ROW()-1,FALSE))</f>
        <v>1077.71</v>
      </c>
      <c r="G96">
        <f ca="1">IF(AND($B$183=1,LEN($G$198)&gt;0),$G$198*1000,HLOOKUP(INDIRECT(ADDRESS(2,COLUMN())),OFFSET($BN$2,0,0,ROW()-1,60),ROW()-1,FALSE))</f>
        <v>251.001</v>
      </c>
      <c r="H96">
        <f ca="1">IF(AND($B$183=1,LEN($H$198)&gt;0),$H$198*1000,HLOOKUP(INDIRECT(ADDRESS(2,COLUMN())),OFFSET($BN$2,0,0,ROW()-1,60),ROW()-1,FALSE))</f>
        <v>555.62599999999998</v>
      </c>
      <c r="I96">
        <f ca="1">IF(AND($B$183=1,LEN($I$198)&gt;0),$I$198*1000,HLOOKUP(INDIRECT(ADDRESS(2,COLUMN())),OFFSET($BN$2,0,0,ROW()-1,60),ROW()-1,FALSE))</f>
        <v>242.077</v>
      </c>
      <c r="J96">
        <f ca="1">IF(AND($B$183=1,LEN($J$198)&gt;0),$J$198*1000,HLOOKUP(INDIRECT(ADDRESS(2,COLUMN())),OFFSET($BN$2,0,0,ROW()-1,60),ROW()-1,FALSE))</f>
        <v>1520.5830000000001</v>
      </c>
      <c r="K96">
        <f ca="1">IF(AND($B$183=1,LEN($K$198)&gt;0),$K$198*1000,HLOOKUP(INDIRECT(ADDRESS(2,COLUMN())),OFFSET($BN$2,0,0,ROW()-1,60),ROW()-1,FALSE))</f>
        <v>2071.9859999999999</v>
      </c>
      <c r="L96">
        <f ca="1">IF(AND($B$183=1,LEN($L$198)&gt;0),$L$198*1000,HLOOKUP(INDIRECT(ADDRESS(2,COLUMN())),OFFSET($BN$2,0,0,ROW()-1,60),ROW()-1,FALSE))</f>
        <v>839.58399999999995</v>
      </c>
      <c r="M96">
        <f ca="1">IF(AND($B$183=1,LEN($M$198)&gt;0),$M$198*1000,HLOOKUP(INDIRECT(ADDRESS(2,COLUMN())),OFFSET($BN$2,0,0,ROW()-1,60),ROW()-1,FALSE))</f>
        <v>1084.45</v>
      </c>
      <c r="N96">
        <f ca="1">IF(AND($B$183=1,LEN($N$198)&gt;0),$N$198*1000,HLOOKUP(INDIRECT(ADDRESS(2,COLUMN())),OFFSET($BN$2,0,0,ROW()-1,60),ROW()-1,FALSE))</f>
        <v>1788.723</v>
      </c>
      <c r="O96">
        <f ca="1">IF(AND($B$183=1,LEN($O$198)&gt;0),$O$198*1000,HLOOKUP(INDIRECT(ADDRESS(2,COLUMN())),OFFSET($BN$2,0,0,ROW()-1,60),ROW()-1,FALSE))</f>
        <v>285.93</v>
      </c>
      <c r="P96">
        <f ca="1">IF(AND($B$183=1,LEN($P$198)&gt;0),$P$198*1000,HLOOKUP(INDIRECT(ADDRESS(2,COLUMN())),OFFSET($BN$2,0,0,ROW()-1,60),ROW()-1,FALSE))</f>
        <v>664.5</v>
      </c>
      <c r="Q96">
        <f ca="1">IF(AND($B$183=1,LEN($Q$198)&gt;0),$Q$198*1000,HLOOKUP(INDIRECT(ADDRESS(2,COLUMN())),OFFSET($BN$2,0,0,ROW()-1,60),ROW()-1,FALSE))</f>
        <v>302.63299999999998</v>
      </c>
      <c r="R96">
        <f ca="1">IF(AND($B$183=1,LEN($R$198)&gt;0),$R$198*1000,HLOOKUP(INDIRECT(ADDRESS(2,COLUMN())),OFFSET($BN$2,0,0,ROW()-1,60),ROW()-1,FALSE))</f>
        <v>968.94899999999996</v>
      </c>
      <c r="S96">
        <f ca="1">IF(AND($B$183=1,LEN($S$198)&gt;0),$S$198*1000,HLOOKUP(INDIRECT(ADDRESS(2,COLUMN())),OFFSET($BN$2,0,0,ROW()-1,60),ROW()-1,FALSE))</f>
        <v>370.80099999999999</v>
      </c>
      <c r="T96">
        <f ca="1">IF(AND($B$183=1,LEN($T$198)&gt;0),$T$198*1000,HLOOKUP(INDIRECT(ADDRESS(2,COLUMN())),OFFSET($BN$2,0,0,ROW()-1,60),ROW()-1,FALSE))</f>
        <v>395.14400000000001</v>
      </c>
      <c r="U96">
        <f ca="1">IF(AND($B$183=1,LEN($U$198)&gt;0),$U$198*1000,HLOOKUP(INDIRECT(ADDRESS(2,COLUMN())),OFFSET($BN$2,0,0,ROW()-1,60),ROW()-1,FALSE))</f>
        <v>452.13200000000001</v>
      </c>
      <c r="V96">
        <f ca="1">IF(AND($B$183=1,LEN($V$198)&gt;0),$V$198*1000,HLOOKUP(INDIRECT(ADDRESS(2,COLUMN())),OFFSET($BN$2,0,0,ROW()-1,60),ROW()-1,FALSE))</f>
        <v>1037.3520000000001</v>
      </c>
      <c r="W96">
        <f ca="1">IF(AND($B$183=1,LEN($W$198)&gt;0),$W$198*1000,HLOOKUP(INDIRECT(ADDRESS(2,COLUMN())),OFFSET($BN$2,0,0,ROW()-1,60),ROW()-1,FALSE))</f>
        <v>659.96900000000005</v>
      </c>
      <c r="X96">
        <f ca="1">IF(AND($B$183=1,LEN($X$198)&gt;0),$X$198*1000,HLOOKUP(INDIRECT(ADDRESS(2,COLUMN())),OFFSET($BN$2,0,0,ROW()-1,60),ROW()-1,FALSE))</f>
        <v>143.80199999999999</v>
      </c>
      <c r="Y96">
        <f ca="1">IF(AND($B$183=1,LEN($Y$198)&gt;0),$Y$198*1000,HLOOKUP(INDIRECT(ADDRESS(2,COLUMN())),OFFSET($BN$2,0,0,ROW()-1,60),ROW()-1,FALSE))</f>
        <v>66.653999999999996</v>
      </c>
      <c r="Z96">
        <f ca="1">IF(AND($B$183=1,LEN($Z$198)&gt;0),$Z$198*1000,HLOOKUP(INDIRECT(ADDRESS(2,COLUMN())),OFFSET($BN$2,0,0,ROW()-1,60),ROW()-1,FALSE))</f>
        <v>459.44</v>
      </c>
      <c r="AA96">
        <f ca="1">IF(AND($B$183=1,LEN($AA$198)&gt;0),$AA$198*1000,HLOOKUP(INDIRECT(ADDRESS(2,COLUMN())),OFFSET($BN$2,0,0,ROW()-1,60),ROW()-1,FALSE))</f>
        <v>926.73400000000004</v>
      </c>
      <c r="AB96">
        <f ca="1">IF(AND($B$183=1,LEN($AB$198)&gt;0),$AB$198*1000,HLOOKUP(INDIRECT(ADDRESS(2,COLUMN())),OFFSET($BN$2,0,0,ROW()-1,60),ROW()-1,FALSE))</f>
        <v>175.863</v>
      </c>
      <c r="AC96">
        <f ca="1">IF(AND($B$183=1,LEN($AC$198)&gt;0),$AC$198*1000,HLOOKUP(INDIRECT(ADDRESS(2,COLUMN())),OFFSET($BN$2,0,0,ROW()-1,60),ROW()-1,FALSE))</f>
        <v>197.76499999999999</v>
      </c>
      <c r="AD96">
        <f ca="1">IF(AND($B$183=1,LEN($AD$198)&gt;0),$AD$198*1000,HLOOKUP(INDIRECT(ADDRESS(2,COLUMN())),OFFSET($BN$2,0,0,ROW()-1,60),ROW()-1,FALSE))</f>
        <v>1140.8779999999999</v>
      </c>
      <c r="AE96">
        <f ca="1">IF(AND($B$183=1,LEN($AE$198)&gt;0),$AE$198*1000,HLOOKUP(INDIRECT(ADDRESS(2,COLUMN())),OFFSET($BN$2,0,0,ROW()-1,60),ROW()-1,FALSE))</f>
        <v>391.73</v>
      </c>
      <c r="AF96">
        <f ca="1">IF(AND($B$183=1,LEN($AF$198)&gt;0),$AF$198*1000,HLOOKUP(INDIRECT(ADDRESS(2,COLUMN())),OFFSET($BN$2,0,0,ROW()-1,60),ROW()-1,FALSE))</f>
        <v>178.745</v>
      </c>
      <c r="AG96">
        <f ca="1">IF(AND($B$183=1,LEN($AG$198)&gt;0),$AG$198*1000,HLOOKUP(INDIRECT(ADDRESS(2,COLUMN())),OFFSET($BN$2,0,0,ROW()-1,60),ROW()-1,FALSE))</f>
        <v>33.732999999999997</v>
      </c>
      <c r="AH96">
        <f ca="1">IF(AND($B$183=1,LEN($AH$198)&gt;0),$AH$198*1000,HLOOKUP(INDIRECT(ADDRESS(2,COLUMN())),OFFSET($BN$2,0,0,ROW()-1,60),ROW()-1,FALSE))</f>
        <v>283.64499999999998</v>
      </c>
      <c r="AI96">
        <f ca="1">IF(AND($B$183=1,LEN($AI$198)&gt;0),$AI$198*1000,HLOOKUP(INDIRECT(ADDRESS(2,COLUMN())),OFFSET($BN$2,0,0,ROW()-1,60),ROW()-1,FALSE))</f>
        <v>100.562</v>
      </c>
      <c r="AJ96">
        <f ca="1">IF(AND($B$183=1,LEN($AJ$198)&gt;0),$AJ$198*1000,HLOOKUP(INDIRECT(ADDRESS(2,COLUMN())),OFFSET($BN$2,0,0,ROW()-1,60),ROW()-1,FALSE))</f>
        <v>281.69600000000003</v>
      </c>
      <c r="AK96">
        <f ca="1">IF(AND($B$183=1,LEN($AK$198)&gt;0),$AK$198*1000,HLOOKUP(INDIRECT(ADDRESS(2,COLUMN())),OFFSET($BN$2,0,0,ROW()-1,60),ROW()-1,FALSE))</f>
        <v>60</v>
      </c>
      <c r="AL96">
        <f ca="1">IF(AND($B$183=1,LEN($AL$198)&gt;0),$AL$198*1000,HLOOKUP(INDIRECT(ADDRESS(2,COLUMN())),OFFSET($BN$2,0,0,ROW()-1,60),ROW()-1,FALSE))</f>
        <v>5</v>
      </c>
      <c r="AM96">
        <f ca="1">IF(AND($B$183=1,LEN($AM$198)&gt;0),$AM$198*1000,HLOOKUP(INDIRECT(ADDRESS(2,COLUMN())),OFFSET($BN$2,0,0,ROW()-1,60),ROW()-1,FALSE))</f>
        <v>0</v>
      </c>
      <c r="AN96">
        <f ca="1">IF(AND($B$183=1,LEN($AN$198)&gt;0),$AN$198*1000,HLOOKUP(INDIRECT(ADDRESS(2,COLUMN())),OFFSET($BN$2,0,0,ROW()-1,60),ROW()-1,FALSE))</f>
        <v>0</v>
      </c>
      <c r="AO96">
        <f ca="1">IF(AND($B$183=1,LEN($AO$198)&gt;0),$AO$198*1000,HLOOKUP(INDIRECT(ADDRESS(2,COLUMN())),OFFSET($BN$2,0,0,ROW()-1,60),ROW()-1,FALSE))</f>
        <v>7.4249999999999998</v>
      </c>
      <c r="AP96">
        <f ca="1">IF(AND($B$183=1,LEN($AP$198)&gt;0),$AP$198*1000,HLOOKUP(INDIRECT(ADDRESS(2,COLUMN())),OFFSET($BN$2,0,0,ROW()-1,60),ROW()-1,FALSE))</f>
        <v>93.7</v>
      </c>
      <c r="AQ96">
        <f ca="1">IF(AND($B$183=1,LEN($AQ$198)&gt;0),$AQ$198*1000,HLOOKUP(INDIRECT(ADDRESS(2,COLUMN())),OFFSET($BN$2,0,0,ROW()-1,60),ROW()-1,FALSE))</f>
        <v>159.75</v>
      </c>
      <c r="AR96">
        <f ca="1">IF(AND($B$183=1,LEN($AR$198)&gt;0),$AR$198*1000,HLOOKUP(INDIRECT(ADDRESS(2,COLUMN())),OFFSET($BN$2,0,0,ROW()-1,60),ROW()-1,FALSE))</f>
        <v>49.198</v>
      </c>
      <c r="AS96">
        <f ca="1">IF(AND($B$183=1,LEN($AS$198)&gt;0),$AS$198*1000,HLOOKUP(INDIRECT(ADDRESS(2,COLUMN())),OFFSET($BN$2,0,0,ROW()-1,60),ROW()-1,FALSE))</f>
        <v>75.899000000000001</v>
      </c>
      <c r="AT96">
        <f ca="1">IF(AND($B$183=1,LEN($AT$198)&gt;0),$AT$198*1000,HLOOKUP(INDIRECT(ADDRESS(2,COLUMN())),OFFSET($BN$2,0,0,ROW()-1,60),ROW()-1,FALSE))</f>
        <v>89</v>
      </c>
      <c r="AU96">
        <f ca="1">IF(AND($B$183=1,LEN($AU$198)&gt;0),$AU$198*1000,HLOOKUP(INDIRECT(ADDRESS(2,COLUMN())),OFFSET($BN$2,0,0,ROW()-1,60),ROW()-1,FALSE))</f>
        <v>229.417</v>
      </c>
      <c r="AV96">
        <f ca="1">IF(AND($B$183=1,LEN($AV$198)&gt;0),$AV$198*1000,HLOOKUP(INDIRECT(ADDRESS(2,COLUMN())),OFFSET($BN$2,0,0,ROW()-1,60),ROW()-1,FALSE))</f>
        <v>332.67099999999999</v>
      </c>
      <c r="AW96">
        <f ca="1">IF(AND($B$183=1,LEN($AW$198)&gt;0),$AW$198*1000,HLOOKUP(INDIRECT(ADDRESS(2,COLUMN())),OFFSET($BN$2,0,0,ROW()-1,60),ROW()-1,FALSE))</f>
        <v>228.797</v>
      </c>
      <c r="AX96">
        <f ca="1">IF(AND($B$183=1,LEN($AX$198)&gt;0),$AX$198*1000,HLOOKUP(INDIRECT(ADDRESS(2,COLUMN())),OFFSET($BN$2,0,0,ROW()-1,60),ROW()-1,FALSE))</f>
        <v>92.875</v>
      </c>
      <c r="AY96">
        <f ca="1">IF(AND($B$183=1,LEN($AY$198)&gt;0),$AY$198*1000,HLOOKUP(INDIRECT(ADDRESS(2,COLUMN())),OFFSET($BN$2,0,0,ROW()-1,60),ROW()-1,FALSE))</f>
        <v>291.08</v>
      </c>
      <c r="AZ96">
        <f ca="1">IF(AND($B$183=1,LEN($AZ$198)&gt;0),$AZ$198*1000,HLOOKUP(INDIRECT(ADDRESS(2,COLUMN())),OFFSET($BN$2,0,0,ROW()-1,60),ROW()-1,FALSE))</f>
        <v>330.66800000000001</v>
      </c>
      <c r="BA96">
        <f ca="1">IF(AND($B$183=1,LEN($BA$198)&gt;0),$BA$198*1000,HLOOKUP(INDIRECT(ADDRESS(2,COLUMN())),OFFSET($BN$2,0,0,ROW()-1,60),ROW()-1,FALSE))</f>
        <v>455.97500000000002</v>
      </c>
      <c r="BB96">
        <f ca="1">IF(AND($B$183=1,LEN($BB$198)&gt;0),$BB$198*1000,HLOOKUP(INDIRECT(ADDRESS(2,COLUMN())),OFFSET($BN$2,0,0,ROW()-1,60),ROW()-1,FALSE))</f>
        <v>284.851</v>
      </c>
      <c r="BC96">
        <f ca="1">IF(AND($B$183=1,LEN($BC$198)&gt;0),$BC$198*1000,HLOOKUP(INDIRECT(ADDRESS(2,COLUMN())),OFFSET($BN$2,0,0,ROW()-1,60),ROW()-1,FALSE))</f>
        <v>953.04600000000005</v>
      </c>
      <c r="BD96">
        <f ca="1">IF(AND($B$183=1,LEN($BD$198)&gt;0),$BD$198*1000,HLOOKUP(INDIRECT(ADDRESS(2,COLUMN())),OFFSET($BN$2,0,0,ROW()-1,60),ROW()-1,FALSE))</f>
        <v>188.69800000000001</v>
      </c>
      <c r="BE96">
        <f ca="1">IF(AND($B$183=1,LEN($BE$198)&gt;0),$BE$198*1000,HLOOKUP(INDIRECT(ADDRESS(2,COLUMN())),OFFSET($BN$2,0,0,ROW()-1,60),ROW()-1,FALSE))</f>
        <v>171.32400000000001</v>
      </c>
      <c r="BF96">
        <f ca="1">IF(AND($B$183=1,LEN($BF$198)&gt;0),$BF$198*1000,HLOOKUP(INDIRECT(ADDRESS(2,COLUMN())),OFFSET($BN$2,0,0,ROW()-1,60),ROW()-1,FALSE))</f>
        <v>273.27600000000001</v>
      </c>
      <c r="BG96">
        <f ca="1">IF(AND($B$183=1,LEN($BG$198)&gt;0),$BG$198*1000,HLOOKUP(INDIRECT(ADDRESS(2,COLUMN())),OFFSET($BN$2,0,0,ROW()-1,60),ROW()-1,FALSE))</f>
        <v>39.991999999999997</v>
      </c>
      <c r="BH96">
        <f ca="1">IF(AND($B$183=1,LEN($BH$198)&gt;0),$BH$198*1000,HLOOKUP(INDIRECT(ADDRESS(2,COLUMN())),OFFSET($BN$2,0,0,ROW()-1,60),ROW()-1,FALSE))</f>
        <v>68.058000000000007</v>
      </c>
      <c r="BI96">
        <f ca="1">IF(AND($B$183=1,LEN($BI$198)&gt;0),$BI$198*1000,HLOOKUP(INDIRECT(ADDRESS(2,COLUMN())),OFFSET($BN$2,0,0,ROW()-1,60),ROW()-1,FALSE))</f>
        <v>13.704000000000001</v>
      </c>
      <c r="BJ96">
        <f ca="1">IF(AND($B$183=1,LEN($BJ$198)&gt;0),$BJ$198*1000,HLOOKUP(INDIRECT(ADDRESS(2,COLUMN())),OFFSET($BN$2,0,0,ROW()-1,60),ROW()-1,FALSE))</f>
        <v>0</v>
      </c>
      <c r="BK96">
        <f ca="1">IF(AND($B$183=1,LEN($BK$198)&gt;0),$BK$198*1000,HLOOKUP(INDIRECT(ADDRESS(2,COLUMN())),OFFSET($BN$2,0,0,ROW()-1,60),ROW()-1,FALSE))</f>
        <v>0</v>
      </c>
      <c r="BL96">
        <f ca="1">IF(AND($B$183=1,LEN($BL$198)&gt;0),$BL$198*1000,HLOOKUP(INDIRECT(ADDRESS(2,COLUMN())),OFFSET($BN$2,0,0,ROW()-1,60),ROW()-1,FALSE))</f>
        <v>0</v>
      </c>
      <c r="BM96">
        <f ca="1">IF(AND($B$183=1,LEN($BM$198)&gt;0),$BM$198*1000,HLOOKUP(INDIRECT(ADDRESS(2,COLUMN())),OFFSET($BN$2,0,0,ROW()-1,60),ROW()-1,FALSE))</f>
        <v>0</v>
      </c>
      <c r="BN96">
        <f>1077.71</f>
        <v>1077.71</v>
      </c>
      <c r="BO96">
        <f>251.001</f>
        <v>251.001</v>
      </c>
      <c r="BP96">
        <f>555.626</f>
        <v>555.62599999999998</v>
      </c>
      <c r="BQ96">
        <f>242.077</f>
        <v>242.077</v>
      </c>
      <c r="BR96">
        <f>1520.583</f>
        <v>1520.5830000000001</v>
      </c>
      <c r="BS96">
        <f>2071.986</f>
        <v>2071.9859999999999</v>
      </c>
      <c r="BT96">
        <f>839.584</f>
        <v>839.58399999999995</v>
      </c>
      <c r="BU96">
        <f>1084.45</f>
        <v>1084.45</v>
      </c>
      <c r="BV96">
        <f>1788.723</f>
        <v>1788.723</v>
      </c>
      <c r="BW96">
        <f>285.93</f>
        <v>285.93</v>
      </c>
      <c r="BX96">
        <f>664.5</f>
        <v>664.5</v>
      </c>
      <c r="BY96">
        <f>302.633</f>
        <v>302.63299999999998</v>
      </c>
      <c r="BZ96">
        <f>968.949</f>
        <v>968.94899999999996</v>
      </c>
      <c r="CA96">
        <f>370.801</f>
        <v>370.80099999999999</v>
      </c>
      <c r="CB96">
        <f>395.144</f>
        <v>395.14400000000001</v>
      </c>
      <c r="CC96">
        <f>452.132</f>
        <v>452.13200000000001</v>
      </c>
      <c r="CD96">
        <f>1037.352</f>
        <v>1037.3520000000001</v>
      </c>
      <c r="CE96">
        <f>659.969</f>
        <v>659.96900000000005</v>
      </c>
      <c r="CF96">
        <f>143.802</f>
        <v>143.80199999999999</v>
      </c>
      <c r="CG96">
        <f>66.654</f>
        <v>66.653999999999996</v>
      </c>
      <c r="CH96">
        <f>459.44</f>
        <v>459.44</v>
      </c>
      <c r="CI96">
        <f>926.734</f>
        <v>926.73400000000004</v>
      </c>
      <c r="CJ96">
        <f>175.863</f>
        <v>175.863</v>
      </c>
      <c r="CK96">
        <f>197.765</f>
        <v>197.76499999999999</v>
      </c>
      <c r="CL96">
        <f>1140.878</f>
        <v>1140.8779999999999</v>
      </c>
      <c r="CM96">
        <f>391.73</f>
        <v>391.73</v>
      </c>
      <c r="CN96">
        <f>178.745</f>
        <v>178.745</v>
      </c>
      <c r="CO96">
        <f>33.733</f>
        <v>33.732999999999997</v>
      </c>
      <c r="CP96">
        <f>283.645</f>
        <v>283.64499999999998</v>
      </c>
      <c r="CQ96">
        <f>100.562</f>
        <v>100.562</v>
      </c>
      <c r="CR96">
        <f>281.696</f>
        <v>281.69600000000003</v>
      </c>
      <c r="CS96">
        <f>60</f>
        <v>60</v>
      </c>
      <c r="CT96">
        <f>5</f>
        <v>5</v>
      </c>
      <c r="CU96">
        <f>0</f>
        <v>0</v>
      </c>
      <c r="CV96">
        <f>0</f>
        <v>0</v>
      </c>
      <c r="CW96">
        <f>7.425</f>
        <v>7.4249999999999998</v>
      </c>
      <c r="CX96">
        <f>93.7</f>
        <v>93.7</v>
      </c>
      <c r="CY96">
        <f>159.75</f>
        <v>159.75</v>
      </c>
      <c r="CZ96">
        <f>49.198</f>
        <v>49.198</v>
      </c>
      <c r="DA96">
        <f>75.899</f>
        <v>75.899000000000001</v>
      </c>
      <c r="DB96">
        <f>89</f>
        <v>89</v>
      </c>
      <c r="DC96">
        <f>229.417</f>
        <v>229.417</v>
      </c>
      <c r="DD96">
        <f>332.671</f>
        <v>332.67099999999999</v>
      </c>
      <c r="DE96">
        <f>228.797</f>
        <v>228.797</v>
      </c>
      <c r="DF96">
        <f>92.875</f>
        <v>92.875</v>
      </c>
      <c r="DG96">
        <f>291.08</f>
        <v>291.08</v>
      </c>
      <c r="DH96">
        <f>330.668</f>
        <v>330.66800000000001</v>
      </c>
      <c r="DI96">
        <f>455.975</f>
        <v>455.97500000000002</v>
      </c>
      <c r="DJ96">
        <f>284.851</f>
        <v>284.851</v>
      </c>
      <c r="DK96">
        <f>953.046</f>
        <v>953.04600000000005</v>
      </c>
      <c r="DL96">
        <f>188.698</f>
        <v>188.69800000000001</v>
      </c>
      <c r="DM96">
        <f>171.324</f>
        <v>171.32400000000001</v>
      </c>
      <c r="DN96">
        <f>273.276</f>
        <v>273.27600000000001</v>
      </c>
      <c r="DO96">
        <f>39.992</f>
        <v>39.991999999999997</v>
      </c>
      <c r="DP96">
        <f>68.058</f>
        <v>68.058000000000007</v>
      </c>
      <c r="DQ96">
        <f>13.704</f>
        <v>13.704000000000001</v>
      </c>
      <c r="DR96">
        <f>0</f>
        <v>0</v>
      </c>
      <c r="DS96">
        <f>0</f>
        <v>0</v>
      </c>
      <c r="DT96">
        <f>0</f>
        <v>0</v>
      </c>
      <c r="DU96">
        <f>0</f>
        <v>0</v>
      </c>
    </row>
    <row r="97" spans="1:125">
      <c r="A97" t="str">
        <f>"    Health Care REITs"</f>
        <v xml:space="preserve">    Health Care REITs</v>
      </c>
      <c r="B97" t="str">
        <f>"RECFTAHC Index"</f>
        <v>RECFTAHC Index</v>
      </c>
      <c r="E97" t="str">
        <f t="shared" si="21"/>
        <v>Expression</v>
      </c>
      <c r="F97">
        <f ca="1">IF(AND($B$183=1,LEN($F$199)&gt;0),$F$199*1000,HLOOKUP(INDIRECT(ADDRESS(2,COLUMN())),OFFSET($BN$2,0,0,ROW()-1,60),ROW()-1,FALSE))</f>
        <v>1238.7349999999999</v>
      </c>
      <c r="G97">
        <f ca="1">IF(AND($B$183=1,LEN($G$199)&gt;0),$G$199*1000,HLOOKUP(INDIRECT(ADDRESS(2,COLUMN())),OFFSET($BN$2,0,0,ROW()-1,60),ROW()-1,FALSE))</f>
        <v>2376.6439999999998</v>
      </c>
      <c r="H97">
        <f ca="1">IF(AND($B$183=1,LEN($H$199)&gt;0),$H$199*1000,HLOOKUP(INDIRECT(ADDRESS(2,COLUMN())),OFFSET($BN$2,0,0,ROW()-1,60),ROW()-1,FALSE))</f>
        <v>4701.1819999999998</v>
      </c>
      <c r="I97">
        <f ca="1">IF(AND($B$183=1,LEN($I$199)&gt;0),$I$199*1000,HLOOKUP(INDIRECT(ADDRESS(2,COLUMN())),OFFSET($BN$2,0,0,ROW()-1,60),ROW()-1,FALSE))</f>
        <v>1092.9159999999999</v>
      </c>
      <c r="J97">
        <f ca="1">IF(AND($B$183=1,LEN($J$199)&gt;0),$J$199*1000,HLOOKUP(INDIRECT(ADDRESS(2,COLUMN())),OFFSET($BN$2,0,0,ROW()-1,60),ROW()-1,FALSE))</f>
        <v>4196.5519999999997</v>
      </c>
      <c r="K97">
        <f ca="1">IF(AND($B$183=1,LEN($K$199)&gt;0),$K$199*1000,HLOOKUP(INDIRECT(ADDRESS(2,COLUMN())),OFFSET($BN$2,0,0,ROW()-1,60),ROW()-1,FALSE))</f>
        <v>3976.52</v>
      </c>
      <c r="L97">
        <f ca="1">IF(AND($B$183=1,LEN($L$199)&gt;0),$L$199*1000,HLOOKUP(INDIRECT(ADDRESS(2,COLUMN())),OFFSET($BN$2,0,0,ROW()-1,60),ROW()-1,FALSE))</f>
        <v>2091.002</v>
      </c>
      <c r="M97">
        <f ca="1">IF(AND($B$183=1,LEN($M$199)&gt;0),$M$199*1000,HLOOKUP(INDIRECT(ADDRESS(2,COLUMN())),OFFSET($BN$2,0,0,ROW()-1,60),ROW()-1,FALSE))</f>
        <v>1356.249</v>
      </c>
      <c r="N97">
        <f ca="1">IF(AND($B$183=1,LEN($N$199)&gt;0),$N$199*1000,HLOOKUP(INDIRECT(ADDRESS(2,COLUMN())),OFFSET($BN$2,0,0,ROW()-1,60),ROW()-1,FALSE))</f>
        <v>2313.3719999999998</v>
      </c>
      <c r="O97">
        <f ca="1">IF(AND($B$183=1,LEN($O$199)&gt;0),$O$199*1000,HLOOKUP(INDIRECT(ADDRESS(2,COLUMN())),OFFSET($BN$2,0,0,ROW()-1,60),ROW()-1,FALSE))</f>
        <v>4657.2579999999998</v>
      </c>
      <c r="P97">
        <f ca="1">IF(AND($B$183=1,LEN($P$199)&gt;0),$P$199*1000,HLOOKUP(INDIRECT(ADDRESS(2,COLUMN())),OFFSET($BN$2,0,0,ROW()-1,60),ROW()-1,FALSE))</f>
        <v>8446.777</v>
      </c>
      <c r="Q97">
        <f ca="1">IF(AND($B$183=1,LEN($Q$199)&gt;0),$Q$199*1000,HLOOKUP(INDIRECT(ADDRESS(2,COLUMN())),OFFSET($BN$2,0,0,ROW()-1,60),ROW()-1,FALSE))</f>
        <v>6871.951</v>
      </c>
      <c r="R97">
        <f ca="1">IF(AND($B$183=1,LEN($R$199)&gt;0),$R$199*1000,HLOOKUP(INDIRECT(ADDRESS(2,COLUMN())),OFFSET($BN$2,0,0,ROW()-1,60),ROW()-1,FALSE))</f>
        <v>3065.174</v>
      </c>
      <c r="S97">
        <f ca="1">IF(AND($B$183=1,LEN($S$199)&gt;0),$S$199*1000,HLOOKUP(INDIRECT(ADDRESS(2,COLUMN())),OFFSET($BN$2,0,0,ROW()-1,60),ROW()-1,FALSE))</f>
        <v>3249.3980000000001</v>
      </c>
      <c r="T97">
        <f ca="1">IF(AND($B$183=1,LEN($T$199)&gt;0),$T$199*1000,HLOOKUP(INDIRECT(ADDRESS(2,COLUMN())),OFFSET($BN$2,0,0,ROW()-1,60),ROW()-1,FALSE))</f>
        <v>2671.0889999999999</v>
      </c>
      <c r="U97">
        <f ca="1">IF(AND($B$183=1,LEN($U$199)&gt;0),$U$199*1000,HLOOKUP(INDIRECT(ADDRESS(2,COLUMN())),OFFSET($BN$2,0,0,ROW()-1,60),ROW()-1,FALSE))</f>
        <v>1250.57</v>
      </c>
      <c r="V97">
        <f ca="1">IF(AND($B$183=1,LEN($V$199)&gt;0),$V$199*1000,HLOOKUP(INDIRECT(ADDRESS(2,COLUMN())),OFFSET($BN$2,0,0,ROW()-1,60),ROW()-1,FALSE))</f>
        <v>2284.8519999999999</v>
      </c>
      <c r="W97">
        <f ca="1">IF(AND($B$183=1,LEN($W$199)&gt;0),$W$199*1000,HLOOKUP(INDIRECT(ADDRESS(2,COLUMN())),OFFSET($BN$2,0,0,ROW()-1,60),ROW()-1,FALSE))</f>
        <v>3032.2190000000001</v>
      </c>
      <c r="X97">
        <f ca="1">IF(AND($B$183=1,LEN($X$199)&gt;0),$X$199*1000,HLOOKUP(INDIRECT(ADDRESS(2,COLUMN())),OFFSET($BN$2,0,0,ROW()-1,60),ROW()-1,FALSE))</f>
        <v>1992.954</v>
      </c>
      <c r="Y97">
        <f ca="1">IF(AND($B$183=1,LEN($Y$199)&gt;0),$Y$199*1000,HLOOKUP(INDIRECT(ADDRESS(2,COLUMN())),OFFSET($BN$2,0,0,ROW()-1,60),ROW()-1,FALSE))</f>
        <v>2871.47</v>
      </c>
      <c r="Z97">
        <f ca="1">IF(AND($B$183=1,LEN($Z$199)&gt;0),$Z$199*1000,HLOOKUP(INDIRECT(ADDRESS(2,COLUMN())),OFFSET($BN$2,0,0,ROW()-1,60),ROW()-1,FALSE))</f>
        <v>5067.6980000000003</v>
      </c>
      <c r="AA97">
        <f ca="1">IF(AND($B$183=1,LEN($AA$199)&gt;0),$AA$199*1000,HLOOKUP(INDIRECT(ADDRESS(2,COLUMN())),OFFSET($BN$2,0,0,ROW()-1,60),ROW()-1,FALSE))</f>
        <v>2368.268</v>
      </c>
      <c r="AB97">
        <f ca="1">IF(AND($B$183=1,LEN($AB$199)&gt;0),$AB$199*1000,HLOOKUP(INDIRECT(ADDRESS(2,COLUMN())),OFFSET($BN$2,0,0,ROW()-1,60),ROW()-1,FALSE))</f>
        <v>1947.7860000000001</v>
      </c>
      <c r="AC97">
        <f ca="1">IF(AND($B$183=1,LEN($AC$199)&gt;0),$AC$199*1000,HLOOKUP(INDIRECT(ADDRESS(2,COLUMN())),OFFSET($BN$2,0,0,ROW()-1,60),ROW()-1,FALSE))</f>
        <v>1219.125</v>
      </c>
      <c r="AD97">
        <f ca="1">IF(AND($B$183=1,LEN($AD$199)&gt;0),$AD$199*1000,HLOOKUP(INDIRECT(ADDRESS(2,COLUMN())),OFFSET($BN$2,0,0,ROW()-1,60),ROW()-1,FALSE))</f>
        <v>5700.732</v>
      </c>
      <c r="AE97">
        <f ca="1">IF(AND($B$183=1,LEN($AE$199)&gt;0),$AE$199*1000,HLOOKUP(INDIRECT(ADDRESS(2,COLUMN())),OFFSET($BN$2,0,0,ROW()-1,60),ROW()-1,FALSE))</f>
        <v>8684.69</v>
      </c>
      <c r="AF97">
        <f ca="1">IF(AND($B$183=1,LEN($AF$199)&gt;0),$AF$199*1000,HLOOKUP(INDIRECT(ADDRESS(2,COLUMN())),OFFSET($BN$2,0,0,ROW()-1,60),ROW()-1,FALSE))</f>
        <v>12694.085999999999</v>
      </c>
      <c r="AG97">
        <f ca="1">IF(AND($B$183=1,LEN($AG$199)&gt;0),$AG$199*1000,HLOOKUP(INDIRECT(ADDRESS(2,COLUMN())),OFFSET($BN$2,0,0,ROW()-1,60),ROW()-1,FALSE))</f>
        <v>2345.0479999999998</v>
      </c>
      <c r="AH97">
        <f ca="1">IF(AND($B$183=1,LEN($AH$199)&gt;0),$AH$199*1000,HLOOKUP(INDIRECT(ADDRESS(2,COLUMN())),OFFSET($BN$2,0,0,ROW()-1,60),ROW()-1,FALSE))</f>
        <v>2651.752</v>
      </c>
      <c r="AI97">
        <f ca="1">IF(AND($B$183=1,LEN($AI$199)&gt;0),$AI$199*1000,HLOOKUP(INDIRECT(ADDRESS(2,COLUMN())),OFFSET($BN$2,0,0,ROW()-1,60),ROW()-1,FALSE))</f>
        <v>1340.655</v>
      </c>
      <c r="AJ97">
        <f ca="1">IF(AND($B$183=1,LEN($AJ$199)&gt;0),$AJ$199*1000,HLOOKUP(INDIRECT(ADDRESS(2,COLUMN())),OFFSET($BN$2,0,0,ROW()-1,60),ROW()-1,FALSE))</f>
        <v>1166.5440000000001</v>
      </c>
      <c r="AK97">
        <f ca="1">IF(AND($B$183=1,LEN($AK$199)&gt;0),$AK$199*1000,HLOOKUP(INDIRECT(ADDRESS(2,COLUMN())),OFFSET($BN$2,0,0,ROW()-1,60),ROW()-1,FALSE))</f>
        <v>1015.278</v>
      </c>
      <c r="AL97">
        <f ca="1">IF(AND($B$183=1,LEN($AL$199)&gt;0),$AL$199*1000,HLOOKUP(INDIRECT(ADDRESS(2,COLUMN())),OFFSET($BN$2,0,0,ROW()-1,60),ROW()-1,FALSE))</f>
        <v>649.53099999999995</v>
      </c>
      <c r="AM97">
        <f ca="1">IF(AND($B$183=1,LEN($AM$199)&gt;0),$AM$199*1000,HLOOKUP(INDIRECT(ADDRESS(2,COLUMN())),OFFSET($BN$2,0,0,ROW()-1,60),ROW()-1,FALSE))</f>
        <v>353.96499999999997</v>
      </c>
      <c r="AN97">
        <f ca="1">IF(AND($B$183=1,LEN($AN$199)&gt;0),$AN$199*1000,HLOOKUP(INDIRECT(ADDRESS(2,COLUMN())),OFFSET($BN$2,0,0,ROW()-1,60),ROW()-1,FALSE))</f>
        <v>94.471000000000004</v>
      </c>
      <c r="AO97">
        <f ca="1">IF(AND($B$183=1,LEN($AO$199)&gt;0),$AO$199*1000,HLOOKUP(INDIRECT(ADDRESS(2,COLUMN())),OFFSET($BN$2,0,0,ROW()-1,60),ROW()-1,FALSE))</f>
        <v>34.35</v>
      </c>
      <c r="AP97">
        <f ca="1">IF(AND($B$183=1,LEN($AP$199)&gt;0),$AP$199*1000,HLOOKUP(INDIRECT(ADDRESS(2,COLUMN())),OFFSET($BN$2,0,0,ROW()-1,60),ROW()-1,FALSE))</f>
        <v>272.96600000000001</v>
      </c>
      <c r="AQ97">
        <f ca="1">IF(AND($B$183=1,LEN($AQ$199)&gt;0),$AQ$199*1000,HLOOKUP(INDIRECT(ADDRESS(2,COLUMN())),OFFSET($BN$2,0,0,ROW()-1,60),ROW()-1,FALSE))</f>
        <v>623.23299999999995</v>
      </c>
      <c r="AR97">
        <f ca="1">IF(AND($B$183=1,LEN($AR$199)&gt;0),$AR$199*1000,HLOOKUP(INDIRECT(ADDRESS(2,COLUMN())),OFFSET($BN$2,0,0,ROW()-1,60),ROW()-1,FALSE))</f>
        <v>676.89400000000001</v>
      </c>
      <c r="AS97">
        <f ca="1">IF(AND($B$183=1,LEN($AS$199)&gt;0),$AS$199*1000,HLOOKUP(INDIRECT(ADDRESS(2,COLUMN())),OFFSET($BN$2,0,0,ROW()-1,60),ROW()-1,FALSE))</f>
        <v>412.18400000000003</v>
      </c>
      <c r="AT97">
        <f ca="1">IF(AND($B$183=1,LEN($AT$199)&gt;0),$AT$199*1000,HLOOKUP(INDIRECT(ADDRESS(2,COLUMN())),OFFSET($BN$2,0,0,ROW()-1,60),ROW()-1,FALSE))</f>
        <v>265.96899999999999</v>
      </c>
      <c r="AU97">
        <f ca="1">IF(AND($B$183=1,LEN($AU$199)&gt;0),$AU$199*1000,HLOOKUP(INDIRECT(ADDRESS(2,COLUMN())),OFFSET($BN$2,0,0,ROW()-1,60),ROW()-1,FALSE))</f>
        <v>435.20800000000003</v>
      </c>
      <c r="AV97">
        <f ca="1">IF(AND($B$183=1,LEN($AV$199)&gt;0),$AV$199*1000,HLOOKUP(INDIRECT(ADDRESS(2,COLUMN())),OFFSET($BN$2,0,0,ROW()-1,60),ROW()-1,FALSE))</f>
        <v>2552.0140000000001</v>
      </c>
      <c r="AW97">
        <f ca="1">IF(AND($B$183=1,LEN($AW$199)&gt;0),$AW$199*1000,HLOOKUP(INDIRECT(ADDRESS(2,COLUMN())),OFFSET($BN$2,0,0,ROW()-1,60),ROW()-1,FALSE))</f>
        <v>615.39</v>
      </c>
      <c r="AX97">
        <f ca="1">IF(AND($B$183=1,LEN($AX$199)&gt;0),$AX$199*1000,HLOOKUP(INDIRECT(ADDRESS(2,COLUMN())),OFFSET($BN$2,0,0,ROW()-1,60),ROW()-1,FALSE))</f>
        <v>6165.3919999999998</v>
      </c>
      <c r="AY97">
        <f ca="1">IF(AND($B$183=1,LEN($AY$199)&gt;0),$AY$199*1000,HLOOKUP(INDIRECT(ADDRESS(2,COLUMN())),OFFSET($BN$2,0,0,ROW()-1,60),ROW()-1,FALSE))</f>
        <v>541.49400000000003</v>
      </c>
      <c r="AZ97">
        <f ca="1">IF(AND($B$183=1,LEN($AZ$199)&gt;0),$AZ$199*1000,HLOOKUP(INDIRECT(ADDRESS(2,COLUMN())),OFFSET($BN$2,0,0,ROW()-1,60),ROW()-1,FALSE))</f>
        <v>762.04399999999998</v>
      </c>
      <c r="BA97">
        <f ca="1">IF(AND($B$183=1,LEN($BA$199)&gt;0),$BA$199*1000,HLOOKUP(INDIRECT(ADDRESS(2,COLUMN())),OFFSET($BN$2,0,0,ROW()-1,60),ROW()-1,FALSE))</f>
        <v>621.18100000000004</v>
      </c>
      <c r="BB97">
        <f ca="1">IF(AND($B$183=1,LEN($BB$199)&gt;0),$BB$199*1000,HLOOKUP(INDIRECT(ADDRESS(2,COLUMN())),OFFSET($BN$2,0,0,ROW()-1,60),ROW()-1,FALSE))</f>
        <v>936.697</v>
      </c>
      <c r="BC97">
        <f ca="1">IF(AND($B$183=1,LEN($BC$199)&gt;0),$BC$199*1000,HLOOKUP(INDIRECT(ADDRESS(2,COLUMN())),OFFSET($BN$2,0,0,ROW()-1,60),ROW()-1,FALSE))</f>
        <v>522.803</v>
      </c>
      <c r="BD97">
        <f ca="1">IF(AND($B$183=1,LEN($BD$199)&gt;0),$BD$199*1000,HLOOKUP(INDIRECT(ADDRESS(2,COLUMN())),OFFSET($BN$2,0,0,ROW()-1,60),ROW()-1,FALSE))</f>
        <v>1936.3030000000001</v>
      </c>
      <c r="BE97">
        <f ca="1">IF(AND($B$183=1,LEN($BE$199)&gt;0),$BE$199*1000,HLOOKUP(INDIRECT(ADDRESS(2,COLUMN())),OFFSET($BN$2,0,0,ROW()-1,60),ROW()-1,FALSE))</f>
        <v>370.62400000000002</v>
      </c>
      <c r="BF97">
        <f ca="1">IF(AND($B$183=1,LEN($BF$199)&gt;0),$BF$199*1000,HLOOKUP(INDIRECT(ADDRESS(2,COLUMN())),OFFSET($BN$2,0,0,ROW()-1,60),ROW()-1,FALSE))</f>
        <v>576.91399999999999</v>
      </c>
      <c r="BG97">
        <f ca="1">IF(AND($B$183=1,LEN($BG$199)&gt;0),$BG$199*1000,HLOOKUP(INDIRECT(ADDRESS(2,COLUMN())),OFFSET($BN$2,0,0,ROW()-1,60),ROW()-1,FALSE))</f>
        <v>472.76</v>
      </c>
      <c r="BH97">
        <f ca="1">IF(AND($B$183=1,LEN($BH$199)&gt;0),$BH$199*1000,HLOOKUP(INDIRECT(ADDRESS(2,COLUMN())),OFFSET($BN$2,0,0,ROW()-1,60),ROW()-1,FALSE))</f>
        <v>519.34299999999996</v>
      </c>
      <c r="BI97">
        <f ca="1">IF(AND($B$183=1,LEN($BI$199)&gt;0),$BI$199*1000,HLOOKUP(INDIRECT(ADDRESS(2,COLUMN())),OFFSET($BN$2,0,0,ROW()-1,60),ROW()-1,FALSE))</f>
        <v>582.75800000000004</v>
      </c>
      <c r="BJ97">
        <f ca="1">IF(AND($B$183=1,LEN($BJ$199)&gt;0),$BJ$199*1000,HLOOKUP(INDIRECT(ADDRESS(2,COLUMN())),OFFSET($BN$2,0,0,ROW()-1,60),ROW()-1,FALSE))</f>
        <v>0</v>
      </c>
      <c r="BK97">
        <f ca="1">IF(AND($B$183=1,LEN($BK$199)&gt;0),$BK$199*1000,HLOOKUP(INDIRECT(ADDRESS(2,COLUMN())),OFFSET($BN$2,0,0,ROW()-1,60),ROW()-1,FALSE))</f>
        <v>0</v>
      </c>
      <c r="BL97">
        <f ca="1">IF(AND($B$183=1,LEN($BL$199)&gt;0),$BL$199*1000,HLOOKUP(INDIRECT(ADDRESS(2,COLUMN())),OFFSET($BN$2,0,0,ROW()-1,60),ROW()-1,FALSE))</f>
        <v>0</v>
      </c>
      <c r="BM97">
        <f ca="1">IF(AND($B$183=1,LEN($BM$199)&gt;0),$BM$199*1000,HLOOKUP(INDIRECT(ADDRESS(2,COLUMN())),OFFSET($BN$2,0,0,ROW()-1,60),ROW()-1,FALSE))</f>
        <v>0</v>
      </c>
      <c r="BN97">
        <f>1238.735</f>
        <v>1238.7349999999999</v>
      </c>
      <c r="BO97">
        <f>2376.644</f>
        <v>2376.6439999999998</v>
      </c>
      <c r="BP97">
        <f>4701.182</f>
        <v>4701.1819999999998</v>
      </c>
      <c r="BQ97">
        <f>1092.916</f>
        <v>1092.9159999999999</v>
      </c>
      <c r="BR97">
        <f>4196.552</f>
        <v>4196.5519999999997</v>
      </c>
      <c r="BS97">
        <f>3976.52</f>
        <v>3976.52</v>
      </c>
      <c r="BT97">
        <f>2091.002</f>
        <v>2091.002</v>
      </c>
      <c r="BU97">
        <f>1356.249</f>
        <v>1356.249</v>
      </c>
      <c r="BV97">
        <f>2313.372</f>
        <v>2313.3719999999998</v>
      </c>
      <c r="BW97">
        <f>4657.258</f>
        <v>4657.2579999999998</v>
      </c>
      <c r="BX97">
        <f>8446.777</f>
        <v>8446.777</v>
      </c>
      <c r="BY97">
        <f>6871.951</f>
        <v>6871.951</v>
      </c>
      <c r="BZ97">
        <f>3065.174</f>
        <v>3065.174</v>
      </c>
      <c r="CA97">
        <f>3249.398</f>
        <v>3249.3980000000001</v>
      </c>
      <c r="CB97">
        <f>2671.089</f>
        <v>2671.0889999999999</v>
      </c>
      <c r="CC97">
        <f>1250.57</f>
        <v>1250.57</v>
      </c>
      <c r="CD97">
        <f>2284.852</f>
        <v>2284.8519999999999</v>
      </c>
      <c r="CE97">
        <f>3032.219</f>
        <v>3032.2190000000001</v>
      </c>
      <c r="CF97">
        <f>1992.954</f>
        <v>1992.954</v>
      </c>
      <c r="CG97">
        <f>2871.47</f>
        <v>2871.47</v>
      </c>
      <c r="CH97">
        <f>5067.698</f>
        <v>5067.6980000000003</v>
      </c>
      <c r="CI97">
        <f>2368.268</f>
        <v>2368.268</v>
      </c>
      <c r="CJ97">
        <f>1947.786</f>
        <v>1947.7860000000001</v>
      </c>
      <c r="CK97">
        <f>1219.125</f>
        <v>1219.125</v>
      </c>
      <c r="CL97">
        <f>5700.732</f>
        <v>5700.732</v>
      </c>
      <c r="CM97">
        <f>8684.69</f>
        <v>8684.69</v>
      </c>
      <c r="CN97">
        <f>12694.086</f>
        <v>12694.085999999999</v>
      </c>
      <c r="CO97">
        <f>2345.048</f>
        <v>2345.0479999999998</v>
      </c>
      <c r="CP97">
        <f>2651.752</f>
        <v>2651.752</v>
      </c>
      <c r="CQ97">
        <f>1340.655</f>
        <v>1340.655</v>
      </c>
      <c r="CR97">
        <f>1166.544</f>
        <v>1166.5440000000001</v>
      </c>
      <c r="CS97">
        <f>1015.278</f>
        <v>1015.278</v>
      </c>
      <c r="CT97">
        <f>649.531</f>
        <v>649.53099999999995</v>
      </c>
      <c r="CU97">
        <f>353.965</f>
        <v>353.96499999999997</v>
      </c>
      <c r="CV97">
        <f>94.471</f>
        <v>94.471000000000004</v>
      </c>
      <c r="CW97">
        <f>34.35</f>
        <v>34.35</v>
      </c>
      <c r="CX97">
        <f>272.966</f>
        <v>272.96600000000001</v>
      </c>
      <c r="CY97">
        <f>623.233</f>
        <v>623.23299999999995</v>
      </c>
      <c r="CZ97">
        <f>676.894</f>
        <v>676.89400000000001</v>
      </c>
      <c r="DA97">
        <f>412.184</f>
        <v>412.18400000000003</v>
      </c>
      <c r="DB97">
        <f>265.969</f>
        <v>265.96899999999999</v>
      </c>
      <c r="DC97">
        <f>435.208</f>
        <v>435.20800000000003</v>
      </c>
      <c r="DD97">
        <f>2552.014</f>
        <v>2552.0140000000001</v>
      </c>
      <c r="DE97">
        <f>615.39</f>
        <v>615.39</v>
      </c>
      <c r="DF97">
        <f>6165.392</f>
        <v>6165.3919999999998</v>
      </c>
      <c r="DG97">
        <f>541.494</f>
        <v>541.49400000000003</v>
      </c>
      <c r="DH97">
        <f>762.044</f>
        <v>762.04399999999998</v>
      </c>
      <c r="DI97">
        <f>621.181</f>
        <v>621.18100000000004</v>
      </c>
      <c r="DJ97">
        <f>936.697</f>
        <v>936.697</v>
      </c>
      <c r="DK97">
        <f>522.803</f>
        <v>522.803</v>
      </c>
      <c r="DL97">
        <f>1936.303</f>
        <v>1936.3030000000001</v>
      </c>
      <c r="DM97">
        <f>370.624</f>
        <v>370.62400000000002</v>
      </c>
      <c r="DN97">
        <f>576.914</f>
        <v>576.91399999999999</v>
      </c>
      <c r="DO97">
        <f>472.76</f>
        <v>472.76</v>
      </c>
      <c r="DP97">
        <f>519.343</f>
        <v>519.34299999999996</v>
      </c>
      <c r="DQ97">
        <f>582.758</f>
        <v>582.75800000000004</v>
      </c>
      <c r="DR97">
        <f>0</f>
        <v>0</v>
      </c>
      <c r="DS97">
        <f>0</f>
        <v>0</v>
      </c>
      <c r="DT97">
        <f>0</f>
        <v>0</v>
      </c>
      <c r="DU97">
        <f>0</f>
        <v>0</v>
      </c>
    </row>
    <row r="98" spans="1:125">
      <c r="A98" t="str">
        <f>"    Timber REITs"</f>
        <v xml:space="preserve">    Timber REITs</v>
      </c>
      <c r="B98" t="str">
        <f>"RECFTATR Index"</f>
        <v>RECFTATR Index</v>
      </c>
      <c r="E98" t="str">
        <f t="shared" si="21"/>
        <v>Expression</v>
      </c>
      <c r="F98">
        <f ca="1">IF(AND($B$183=1,LEN($F$200)&gt;0),$F$200*1000,HLOOKUP(INDIRECT(ADDRESS(2,COLUMN())),OFFSET($BN$2,0,0,ROW()-1,60),ROW()-1,FALSE))</f>
        <v>0</v>
      </c>
      <c r="G98">
        <f ca="1">IF(AND($B$183=1,LEN($G$200)&gt;0),$G$200*1000,HLOOKUP(INDIRECT(ADDRESS(2,COLUMN())),OFFSET($BN$2,0,0,ROW()-1,60),ROW()-1,FALSE))</f>
        <v>0</v>
      </c>
      <c r="H98">
        <f ca="1">IF(AND($B$183=1,LEN($H$200)&gt;0),$H$200*1000,HLOOKUP(INDIRECT(ADDRESS(2,COLUMN())),OFFSET($BN$2,0,0,ROW()-1,60),ROW()-1,FALSE))</f>
        <v>0</v>
      </c>
      <c r="I98">
        <f ca="1">IF(AND($B$183=1,LEN($I$200)&gt;0),$I$200*1000,HLOOKUP(INDIRECT(ADDRESS(2,COLUMN())),OFFSET($BN$2,0,0,ROW()-1,60),ROW()-1,FALSE))</f>
        <v>0</v>
      </c>
      <c r="J98">
        <f ca="1">IF(AND($B$183=1,LEN($J$200)&gt;0),$J$200*1000,HLOOKUP(INDIRECT(ADDRESS(2,COLUMN())),OFFSET($BN$2,0,0,ROW()-1,60),ROW()-1,FALSE))</f>
        <v>0</v>
      </c>
      <c r="K98">
        <f ca="1">IF(AND($B$183=1,LEN($K$200)&gt;0),$K$200*1000,HLOOKUP(INDIRECT(ADDRESS(2,COLUMN())),OFFSET($BN$2,0,0,ROW()-1,60),ROW()-1,FALSE))</f>
        <v>0</v>
      </c>
      <c r="L98">
        <f ca="1">IF(AND($B$183=1,LEN($L$200)&gt;0),$L$200*1000,HLOOKUP(INDIRECT(ADDRESS(2,COLUMN())),OFFSET($BN$2,0,0,ROW()-1,60),ROW()-1,FALSE))</f>
        <v>0</v>
      </c>
      <c r="M98">
        <f ca="1">IF(AND($B$183=1,LEN($M$200)&gt;0),$M$200*1000,HLOOKUP(INDIRECT(ADDRESS(2,COLUMN())),OFFSET($BN$2,0,0,ROW()-1,60),ROW()-1,FALSE))</f>
        <v>0</v>
      </c>
      <c r="N98">
        <f ca="1">IF(AND($B$183=1,LEN($N$200)&gt;0),$N$200*1000,HLOOKUP(INDIRECT(ADDRESS(2,COLUMN())),OFFSET($BN$2,0,0,ROW()-1,60),ROW()-1,FALSE))</f>
        <v>0</v>
      </c>
      <c r="O98">
        <f ca="1">IF(AND($B$183=1,LEN($O$200)&gt;0),$O$200*1000,HLOOKUP(INDIRECT(ADDRESS(2,COLUMN())),OFFSET($BN$2,0,0,ROW()-1,60),ROW()-1,FALSE))</f>
        <v>0</v>
      </c>
      <c r="P98">
        <f ca="1">IF(AND($B$183=1,LEN($P$200)&gt;0),$P$200*1000,HLOOKUP(INDIRECT(ADDRESS(2,COLUMN())),OFFSET($BN$2,0,0,ROW()-1,60),ROW()-1,FALSE))</f>
        <v>0</v>
      </c>
      <c r="Q98">
        <f ca="1">IF(AND($B$183=1,LEN($Q$200)&gt;0),$Q$200*1000,HLOOKUP(INDIRECT(ADDRESS(2,COLUMN())),OFFSET($BN$2,0,0,ROW()-1,60),ROW()-1,FALSE))</f>
        <v>0</v>
      </c>
      <c r="R98">
        <f ca="1">IF(AND($B$183=1,LEN($R$200)&gt;0),$R$200*1000,HLOOKUP(INDIRECT(ADDRESS(2,COLUMN())),OFFSET($BN$2,0,0,ROW()-1,60),ROW()-1,FALSE))</f>
        <v>0</v>
      </c>
      <c r="S98">
        <f ca="1">IF(AND($B$183=1,LEN($S$200)&gt;0),$S$200*1000,HLOOKUP(INDIRECT(ADDRESS(2,COLUMN())),OFFSET($BN$2,0,0,ROW()-1,60),ROW()-1,FALSE))</f>
        <v>0</v>
      </c>
      <c r="T98">
        <f ca="1">IF(AND($B$183=1,LEN($T$200)&gt;0),$T$200*1000,HLOOKUP(INDIRECT(ADDRESS(2,COLUMN())),OFFSET($BN$2,0,0,ROW()-1,60),ROW()-1,FALSE))</f>
        <v>0</v>
      </c>
      <c r="U98">
        <f ca="1">IF(AND($B$183=1,LEN($U$200)&gt;0),$U$200*1000,HLOOKUP(INDIRECT(ADDRESS(2,COLUMN())),OFFSET($BN$2,0,0,ROW()-1,60),ROW()-1,FALSE))</f>
        <v>0</v>
      </c>
      <c r="V98">
        <f ca="1">IF(AND($B$183=1,LEN($V$200)&gt;0),$V$200*1000,HLOOKUP(INDIRECT(ADDRESS(2,COLUMN())),OFFSET($BN$2,0,0,ROW()-1,60),ROW()-1,FALSE))</f>
        <v>0</v>
      </c>
      <c r="W98">
        <f ca="1">IF(AND($B$183=1,LEN($W$200)&gt;0),$W$200*1000,HLOOKUP(INDIRECT(ADDRESS(2,COLUMN())),OFFSET($BN$2,0,0,ROW()-1,60),ROW()-1,FALSE))</f>
        <v>0</v>
      </c>
      <c r="X98">
        <f ca="1">IF(AND($B$183=1,LEN($X$200)&gt;0),$X$200*1000,HLOOKUP(INDIRECT(ADDRESS(2,COLUMN())),OFFSET($BN$2,0,0,ROW()-1,60),ROW()-1,FALSE))</f>
        <v>0</v>
      </c>
      <c r="Y98">
        <f ca="1">IF(AND($B$183=1,LEN($Y$200)&gt;0),$Y$200*1000,HLOOKUP(INDIRECT(ADDRESS(2,COLUMN())),OFFSET($BN$2,0,0,ROW()-1,60),ROW()-1,FALSE))</f>
        <v>0</v>
      </c>
      <c r="Z98">
        <f ca="1">IF(AND($B$183=1,LEN($Z$200)&gt;0),$Z$200*1000,HLOOKUP(INDIRECT(ADDRESS(2,COLUMN())),OFFSET($BN$2,0,0,ROW()-1,60),ROW()-1,FALSE))</f>
        <v>0</v>
      </c>
      <c r="AA98">
        <f ca="1">IF(AND($B$183=1,LEN($AA$200)&gt;0),$AA$200*1000,HLOOKUP(INDIRECT(ADDRESS(2,COLUMN())),OFFSET($BN$2,0,0,ROW()-1,60),ROW()-1,FALSE))</f>
        <v>0</v>
      </c>
      <c r="AB98">
        <f ca="1">IF(AND($B$183=1,LEN($AB$200)&gt;0),$AB$200*1000,HLOOKUP(INDIRECT(ADDRESS(2,COLUMN())),OFFSET($BN$2,0,0,ROW()-1,60),ROW()-1,FALSE))</f>
        <v>0</v>
      </c>
      <c r="AC98">
        <f ca="1">IF(AND($B$183=1,LEN($AC$200)&gt;0),$AC$200*1000,HLOOKUP(INDIRECT(ADDRESS(2,COLUMN())),OFFSET($BN$2,0,0,ROW()-1,60),ROW()-1,FALSE))</f>
        <v>0</v>
      </c>
      <c r="AD98">
        <f ca="1">IF(AND($B$183=1,LEN($AD$200)&gt;0),$AD$200*1000,HLOOKUP(INDIRECT(ADDRESS(2,COLUMN())),OFFSET($BN$2,0,0,ROW()-1,60),ROW()-1,FALSE))</f>
        <v>0</v>
      </c>
      <c r="AE98">
        <f ca="1">IF(AND($B$183=1,LEN($AE$200)&gt;0),$AE$200*1000,HLOOKUP(INDIRECT(ADDRESS(2,COLUMN())),OFFSET($BN$2,0,0,ROW()-1,60),ROW()-1,FALSE))</f>
        <v>0</v>
      </c>
      <c r="AF98">
        <f ca="1">IF(AND($B$183=1,LEN($AF$200)&gt;0),$AF$200*1000,HLOOKUP(INDIRECT(ADDRESS(2,COLUMN())),OFFSET($BN$2,0,0,ROW()-1,60),ROW()-1,FALSE))</f>
        <v>0</v>
      </c>
      <c r="AG98">
        <f ca="1">IF(AND($B$183=1,LEN($AG$200)&gt;0),$AG$200*1000,HLOOKUP(INDIRECT(ADDRESS(2,COLUMN())),OFFSET($BN$2,0,0,ROW()-1,60),ROW()-1,FALSE))</f>
        <v>0</v>
      </c>
      <c r="AH98">
        <f ca="1">IF(AND($B$183=1,LEN($AH$200)&gt;0),$AH$200*1000,HLOOKUP(INDIRECT(ADDRESS(2,COLUMN())),OFFSET($BN$2,0,0,ROW()-1,60),ROW()-1,FALSE))</f>
        <v>0</v>
      </c>
      <c r="AI98">
        <f ca="1">IF(AND($B$183=1,LEN($AI$200)&gt;0),$AI$200*1000,HLOOKUP(INDIRECT(ADDRESS(2,COLUMN())),OFFSET($BN$2,0,0,ROW()-1,60),ROW()-1,FALSE))</f>
        <v>0</v>
      </c>
      <c r="AJ98">
        <f ca="1">IF(AND($B$183=1,LEN($AJ$200)&gt;0),$AJ$200*1000,HLOOKUP(INDIRECT(ADDRESS(2,COLUMN())),OFFSET($BN$2,0,0,ROW()-1,60),ROW()-1,FALSE))</f>
        <v>0</v>
      </c>
      <c r="AK98">
        <f ca="1">IF(AND($B$183=1,LEN($AK$200)&gt;0),$AK$200*1000,HLOOKUP(INDIRECT(ADDRESS(2,COLUMN())),OFFSET($BN$2,0,0,ROW()-1,60),ROW()-1,FALSE))</f>
        <v>0</v>
      </c>
      <c r="AL98">
        <f ca="1">IF(AND($B$183=1,LEN($AL$200)&gt;0),$AL$200*1000,HLOOKUP(INDIRECT(ADDRESS(2,COLUMN())),OFFSET($BN$2,0,0,ROW()-1,60),ROW()-1,FALSE))</f>
        <v>0</v>
      </c>
      <c r="AM98">
        <f ca="1">IF(AND($B$183=1,LEN($AM$200)&gt;0),$AM$200*1000,HLOOKUP(INDIRECT(ADDRESS(2,COLUMN())),OFFSET($BN$2,0,0,ROW()-1,60),ROW()-1,FALSE))</f>
        <v>0</v>
      </c>
      <c r="AN98">
        <f ca="1">IF(AND($B$183=1,LEN($AN$200)&gt;0),$AN$200*1000,HLOOKUP(INDIRECT(ADDRESS(2,COLUMN())),OFFSET($BN$2,0,0,ROW()-1,60),ROW()-1,FALSE))</f>
        <v>0</v>
      </c>
      <c r="AO98">
        <f ca="1">IF(AND($B$183=1,LEN($AO$200)&gt;0),$AO$200*1000,HLOOKUP(INDIRECT(ADDRESS(2,COLUMN())),OFFSET($BN$2,0,0,ROW()-1,60),ROW()-1,FALSE))</f>
        <v>0</v>
      </c>
      <c r="AP98">
        <f ca="1">IF(AND($B$183=1,LEN($AP$200)&gt;0),$AP$200*1000,HLOOKUP(INDIRECT(ADDRESS(2,COLUMN())),OFFSET($BN$2,0,0,ROW()-1,60),ROW()-1,FALSE))</f>
        <v>0</v>
      </c>
      <c r="AQ98">
        <f ca="1">IF(AND($B$183=1,LEN($AQ$200)&gt;0),$AQ$200*1000,HLOOKUP(INDIRECT(ADDRESS(2,COLUMN())),OFFSET($BN$2,0,0,ROW()-1,60),ROW()-1,FALSE))</f>
        <v>0</v>
      </c>
      <c r="AR98">
        <f ca="1">IF(AND($B$183=1,LEN($AR$200)&gt;0),$AR$200*1000,HLOOKUP(INDIRECT(ADDRESS(2,COLUMN())),OFFSET($BN$2,0,0,ROW()-1,60),ROW()-1,FALSE))</f>
        <v>0</v>
      </c>
      <c r="AS98">
        <f ca="1">IF(AND($B$183=1,LEN($AS$200)&gt;0),$AS$200*1000,HLOOKUP(INDIRECT(ADDRESS(2,COLUMN())),OFFSET($BN$2,0,0,ROW()-1,60),ROW()-1,FALSE))</f>
        <v>0</v>
      </c>
      <c r="AT98">
        <f ca="1">IF(AND($B$183=1,LEN($AT$200)&gt;0),$AT$200*1000,HLOOKUP(INDIRECT(ADDRESS(2,COLUMN())),OFFSET($BN$2,0,0,ROW()-1,60),ROW()-1,FALSE))</f>
        <v>0</v>
      </c>
      <c r="AU98">
        <f ca="1">IF(AND($B$183=1,LEN($AU$200)&gt;0),$AU$200*1000,HLOOKUP(INDIRECT(ADDRESS(2,COLUMN())),OFFSET($BN$2,0,0,ROW()-1,60),ROW()-1,FALSE))</f>
        <v>0</v>
      </c>
      <c r="AV98">
        <f ca="1">IF(AND($B$183=1,LEN($AV$200)&gt;0),$AV$200*1000,HLOOKUP(INDIRECT(ADDRESS(2,COLUMN())),OFFSET($BN$2,0,0,ROW()-1,60),ROW()-1,FALSE))</f>
        <v>0</v>
      </c>
      <c r="AW98">
        <f ca="1">IF(AND($B$183=1,LEN($AW$200)&gt;0),$AW$200*1000,HLOOKUP(INDIRECT(ADDRESS(2,COLUMN())),OFFSET($BN$2,0,0,ROW()-1,60),ROW()-1,FALSE))</f>
        <v>0</v>
      </c>
      <c r="AX98">
        <f ca="1">IF(AND($B$183=1,LEN($AX$200)&gt;0),$AX$200*1000,HLOOKUP(INDIRECT(ADDRESS(2,COLUMN())),OFFSET($BN$2,0,0,ROW()-1,60),ROW()-1,FALSE))</f>
        <v>0</v>
      </c>
      <c r="AY98">
        <f ca="1">IF(AND($B$183=1,LEN($AY$200)&gt;0),$AY$200*1000,HLOOKUP(INDIRECT(ADDRESS(2,COLUMN())),OFFSET($BN$2,0,0,ROW()-1,60),ROW()-1,FALSE))</f>
        <v>0</v>
      </c>
      <c r="AZ98">
        <f ca="1">IF(AND($B$183=1,LEN($AZ$200)&gt;0),$AZ$200*1000,HLOOKUP(INDIRECT(ADDRESS(2,COLUMN())),OFFSET($BN$2,0,0,ROW()-1,60),ROW()-1,FALSE))</f>
        <v>0</v>
      </c>
      <c r="BA98">
        <f ca="1">IF(AND($B$183=1,LEN($BA$200)&gt;0),$BA$200*1000,HLOOKUP(INDIRECT(ADDRESS(2,COLUMN())),OFFSET($BN$2,0,0,ROW()-1,60),ROW()-1,FALSE))</f>
        <v>0</v>
      </c>
      <c r="BB98">
        <f ca="1">IF(AND($B$183=1,LEN($BB$200)&gt;0),$BB$200*1000,HLOOKUP(INDIRECT(ADDRESS(2,COLUMN())),OFFSET($BN$2,0,0,ROW()-1,60),ROW()-1,FALSE))</f>
        <v>0</v>
      </c>
      <c r="BC98">
        <f ca="1">IF(AND($B$183=1,LEN($BC$200)&gt;0),$BC$200*1000,HLOOKUP(INDIRECT(ADDRESS(2,COLUMN())),OFFSET($BN$2,0,0,ROW()-1,60),ROW()-1,FALSE))</f>
        <v>0</v>
      </c>
      <c r="BD98">
        <f ca="1">IF(AND($B$183=1,LEN($BD$200)&gt;0),$BD$200*1000,HLOOKUP(INDIRECT(ADDRESS(2,COLUMN())),OFFSET($BN$2,0,0,ROW()-1,60),ROW()-1,FALSE))</f>
        <v>0</v>
      </c>
      <c r="BE98">
        <f ca="1">IF(AND($B$183=1,LEN($BE$200)&gt;0),$BE$200*1000,HLOOKUP(INDIRECT(ADDRESS(2,COLUMN())),OFFSET($BN$2,0,0,ROW()-1,60),ROW()-1,FALSE))</f>
        <v>0</v>
      </c>
      <c r="BF98">
        <f ca="1">IF(AND($B$183=1,LEN($BF$200)&gt;0),$BF$200*1000,HLOOKUP(INDIRECT(ADDRESS(2,COLUMN())),OFFSET($BN$2,0,0,ROW()-1,60),ROW()-1,FALSE))</f>
        <v>0</v>
      </c>
      <c r="BG98">
        <f ca="1">IF(AND($B$183=1,LEN($BG$200)&gt;0),$BG$200*1000,HLOOKUP(INDIRECT(ADDRESS(2,COLUMN())),OFFSET($BN$2,0,0,ROW()-1,60),ROW()-1,FALSE))</f>
        <v>0</v>
      </c>
      <c r="BH98">
        <f ca="1">IF(AND($B$183=1,LEN($BH$200)&gt;0),$BH$200*1000,HLOOKUP(INDIRECT(ADDRESS(2,COLUMN())),OFFSET($BN$2,0,0,ROW()-1,60),ROW()-1,FALSE))</f>
        <v>0</v>
      </c>
      <c r="BI98">
        <f ca="1">IF(AND($B$183=1,LEN($BI$200)&gt;0),$BI$200*1000,HLOOKUP(INDIRECT(ADDRESS(2,COLUMN())),OFFSET($BN$2,0,0,ROW()-1,60),ROW()-1,FALSE))</f>
        <v>0</v>
      </c>
      <c r="BJ98">
        <f ca="1">IF(AND($B$183=1,LEN($BJ$200)&gt;0),$BJ$200*1000,HLOOKUP(INDIRECT(ADDRESS(2,COLUMN())),OFFSET($BN$2,0,0,ROW()-1,60),ROW()-1,FALSE))</f>
        <v>0</v>
      </c>
      <c r="BK98">
        <f ca="1">IF(AND($B$183=1,LEN($BK$200)&gt;0),$BK$200*1000,HLOOKUP(INDIRECT(ADDRESS(2,COLUMN())),OFFSET($BN$2,0,0,ROW()-1,60),ROW()-1,FALSE))</f>
        <v>0</v>
      </c>
      <c r="BL98">
        <f ca="1">IF(AND($B$183=1,LEN($BL$200)&gt;0),$BL$200*1000,HLOOKUP(INDIRECT(ADDRESS(2,COLUMN())),OFFSET($BN$2,0,0,ROW()-1,60),ROW()-1,FALSE))</f>
        <v>0</v>
      </c>
      <c r="BM98">
        <f ca="1">IF(AND($B$183=1,LEN($BM$200)&gt;0),$BM$200*1000,HLOOKUP(INDIRECT(ADDRESS(2,COLUMN())),OFFSET($BN$2,0,0,ROW()-1,60),ROW()-1,FALSE))</f>
        <v>0</v>
      </c>
      <c r="BN98">
        <f>0</f>
        <v>0</v>
      </c>
      <c r="BO98">
        <f>0</f>
        <v>0</v>
      </c>
      <c r="BP98">
        <f>0</f>
        <v>0</v>
      </c>
      <c r="BQ98">
        <f>0</f>
        <v>0</v>
      </c>
      <c r="BR98">
        <f>0</f>
        <v>0</v>
      </c>
      <c r="BS98">
        <f>0</f>
        <v>0</v>
      </c>
      <c r="BT98">
        <f>0</f>
        <v>0</v>
      </c>
      <c r="BU98">
        <f>0</f>
        <v>0</v>
      </c>
      <c r="BV98">
        <f>0</f>
        <v>0</v>
      </c>
      <c r="BW98">
        <f>0</f>
        <v>0</v>
      </c>
      <c r="BX98">
        <f>0</f>
        <v>0</v>
      </c>
      <c r="BY98">
        <f>0</f>
        <v>0</v>
      </c>
      <c r="BZ98">
        <f>0</f>
        <v>0</v>
      </c>
      <c r="CA98">
        <f>0</f>
        <v>0</v>
      </c>
      <c r="CB98">
        <f>0</f>
        <v>0</v>
      </c>
      <c r="CC98">
        <f>0</f>
        <v>0</v>
      </c>
      <c r="CD98">
        <f>0</f>
        <v>0</v>
      </c>
      <c r="CE98">
        <f>0</f>
        <v>0</v>
      </c>
      <c r="CF98">
        <f>0</f>
        <v>0</v>
      </c>
      <c r="CG98">
        <f>0</f>
        <v>0</v>
      </c>
      <c r="CH98">
        <f>0</f>
        <v>0</v>
      </c>
      <c r="CI98">
        <f>0</f>
        <v>0</v>
      </c>
      <c r="CJ98">
        <f>0</f>
        <v>0</v>
      </c>
      <c r="CK98">
        <f>0</f>
        <v>0</v>
      </c>
      <c r="CL98">
        <f>0</f>
        <v>0</v>
      </c>
      <c r="CM98">
        <f>0</f>
        <v>0</v>
      </c>
      <c r="CN98">
        <f>0</f>
        <v>0</v>
      </c>
      <c r="CO98">
        <f>0</f>
        <v>0</v>
      </c>
      <c r="CP98">
        <f>0</f>
        <v>0</v>
      </c>
      <c r="CQ98">
        <f>0</f>
        <v>0</v>
      </c>
      <c r="CR98">
        <f>0</f>
        <v>0</v>
      </c>
      <c r="CS98">
        <f>0</f>
        <v>0</v>
      </c>
      <c r="CT98">
        <f>0</f>
        <v>0</v>
      </c>
      <c r="CU98">
        <f>0</f>
        <v>0</v>
      </c>
      <c r="CV98">
        <f>0</f>
        <v>0</v>
      </c>
      <c r="CW98">
        <f>0</f>
        <v>0</v>
      </c>
      <c r="CX98">
        <f>0</f>
        <v>0</v>
      </c>
      <c r="CY98">
        <f>0</f>
        <v>0</v>
      </c>
      <c r="CZ98">
        <f>0</f>
        <v>0</v>
      </c>
      <c r="DA98">
        <f>0</f>
        <v>0</v>
      </c>
      <c r="DB98">
        <f>0</f>
        <v>0</v>
      </c>
      <c r="DC98">
        <f>0</f>
        <v>0</v>
      </c>
      <c r="DD98">
        <f>0</f>
        <v>0</v>
      </c>
      <c r="DE98">
        <f>0</f>
        <v>0</v>
      </c>
      <c r="DF98">
        <f>0</f>
        <v>0</v>
      </c>
      <c r="DG98">
        <f>0</f>
        <v>0</v>
      </c>
      <c r="DH98">
        <f>0</f>
        <v>0</v>
      </c>
      <c r="DI98">
        <f>0</f>
        <v>0</v>
      </c>
      <c r="DJ98">
        <f>0</f>
        <v>0</v>
      </c>
      <c r="DK98">
        <f>0</f>
        <v>0</v>
      </c>
      <c r="DL98">
        <f>0</f>
        <v>0</v>
      </c>
      <c r="DM98">
        <f>0</f>
        <v>0</v>
      </c>
      <c r="DN98">
        <f>0</f>
        <v>0</v>
      </c>
      <c r="DO98">
        <f>0</f>
        <v>0</v>
      </c>
      <c r="DP98">
        <f>0</f>
        <v>0</v>
      </c>
      <c r="DQ98">
        <f>0</f>
        <v>0</v>
      </c>
      <c r="DR98">
        <f>0</f>
        <v>0</v>
      </c>
      <c r="DS98">
        <f>0</f>
        <v>0</v>
      </c>
      <c r="DT98">
        <f>0</f>
        <v>0</v>
      </c>
      <c r="DU98">
        <f>0</f>
        <v>0</v>
      </c>
    </row>
    <row r="99" spans="1:125">
      <c r="A99" t="str">
        <f>"    Data Center REITs"</f>
        <v xml:space="preserve">    Data Center REITs</v>
      </c>
      <c r="B99" t="str">
        <f>"RECFTADC Index"</f>
        <v>RECFTADC Index</v>
      </c>
      <c r="E99" t="str">
        <f t="shared" si="21"/>
        <v>Expression</v>
      </c>
      <c r="F99">
        <f ca="1">IF(AND($B$183=1,LEN($F$201)&gt;0),$F$201*1000,HLOOKUP(INDIRECT(ADDRESS(2,COLUMN())),OFFSET($BN$2,0,0,ROW()-1,60),ROW()-1,FALSE))</f>
        <v>34</v>
      </c>
      <c r="G99">
        <f ca="1">IF(AND($B$183=1,LEN($G$201)&gt;0),$G$201*1000,HLOOKUP(INDIRECT(ADDRESS(2,COLUMN())),OFFSET($BN$2,0,0,ROW()-1,60),ROW()-1,FALSE))</f>
        <v>0</v>
      </c>
      <c r="H99">
        <f ca="1">IF(AND($B$183=1,LEN($H$201)&gt;0),$H$201*1000,HLOOKUP(INDIRECT(ADDRESS(2,COLUMN())),OFFSET($BN$2,0,0,ROW()-1,60),ROW()-1,FALSE))</f>
        <v>3614.1</v>
      </c>
      <c r="I99">
        <f ca="1">IF(AND($B$183=1,LEN($I$201)&gt;0),$I$201*1000,HLOOKUP(INDIRECT(ADDRESS(2,COLUMN())),OFFSET($BN$2,0,0,ROW()-1,60),ROW()-1,FALSE))</f>
        <v>529.70000000000005</v>
      </c>
      <c r="J99">
        <f ca="1">IF(AND($B$183=1,LEN($J$201)&gt;0),$J$201*1000,HLOOKUP(INDIRECT(ADDRESS(2,COLUMN())),OFFSET($BN$2,0,0,ROW()-1,60),ROW()-1,FALSE))</f>
        <v>115</v>
      </c>
      <c r="K99">
        <f ca="1">IF(AND($B$183=1,LEN($K$201)&gt;0),$K$201*1000,HLOOKUP(INDIRECT(ADDRESS(2,COLUMN())),OFFSET($BN$2,0,0,ROW()-1,60),ROW()-1,FALSE))</f>
        <v>1143.9780000000001</v>
      </c>
      <c r="L99">
        <f ca="1">IF(AND($B$183=1,LEN($L$201)&gt;0),$L$201*1000,HLOOKUP(INDIRECT(ADDRESS(2,COLUMN())),OFFSET($BN$2,0,0,ROW()-1,60),ROW()-1,FALSE))</f>
        <v>125.6</v>
      </c>
      <c r="M99">
        <f ca="1">IF(AND($B$183=1,LEN($M$201)&gt;0),$M$201*1000,HLOOKUP(INDIRECT(ADDRESS(2,COLUMN())),OFFSET($BN$2,0,0,ROW()-1,60),ROW()-1,FALSE))</f>
        <v>3917.1770000000001</v>
      </c>
      <c r="N99">
        <f ca="1">IF(AND($B$183=1,LEN($N$201)&gt;0),$N$201*1000,HLOOKUP(INDIRECT(ADDRESS(2,COLUMN())),OFFSET($BN$2,0,0,ROW()-1,60),ROW()-1,FALSE))</f>
        <v>1883.82</v>
      </c>
      <c r="O99">
        <f ca="1">IF(AND($B$183=1,LEN($O$201)&gt;0),$O$201*1000,HLOOKUP(INDIRECT(ADDRESS(2,COLUMN())),OFFSET($BN$2,0,0,ROW()-1,60),ROW()-1,FALSE))</f>
        <v>411.3</v>
      </c>
      <c r="P99">
        <f ca="1">IF(AND($B$183=1,LEN($P$201)&gt;0),$P$201*1000,HLOOKUP(INDIRECT(ADDRESS(2,COLUMN())),OFFSET($BN$2,0,0,ROW()-1,60),ROW()-1,FALSE))</f>
        <v>411.7</v>
      </c>
      <c r="Q99">
        <f ca="1">IF(AND($B$183=1,LEN($Q$201)&gt;0),$Q$201*1000,HLOOKUP(INDIRECT(ADDRESS(2,COLUMN())),OFFSET($BN$2,0,0,ROW()-1,60),ROW()-1,FALSE))</f>
        <v>0</v>
      </c>
      <c r="R99">
        <f ca="1">IF(AND($B$183=1,LEN($R$201)&gt;0),$R$201*1000,HLOOKUP(INDIRECT(ADDRESS(2,COLUMN())),OFFSET($BN$2,0,0,ROW()-1,60),ROW()-1,FALSE))</f>
        <v>0</v>
      </c>
      <c r="S99">
        <f ca="1">IF(AND($B$183=1,LEN($S$201)&gt;0),$S$201*1000,HLOOKUP(INDIRECT(ADDRESS(2,COLUMN())),OFFSET($BN$2,0,0,ROW()-1,60),ROW()-1,FALSE))</f>
        <v>18</v>
      </c>
      <c r="T99">
        <f ca="1">IF(AND($B$183=1,LEN($T$201)&gt;0),$T$201*1000,HLOOKUP(INDIRECT(ADDRESS(2,COLUMN())),OFFSET($BN$2,0,0,ROW()-1,60),ROW()-1,FALSE))</f>
        <v>73.3</v>
      </c>
      <c r="U99">
        <f ca="1">IF(AND($B$183=1,LEN($U$201)&gt;0),$U$201*1000,HLOOKUP(INDIRECT(ADDRESS(2,COLUMN())),OFFSET($BN$2,0,0,ROW()-1,60),ROW()-1,FALSE))</f>
        <v>0</v>
      </c>
      <c r="V99">
        <f ca="1">IF(AND($B$183=1,LEN($V$201)&gt;0),$V$201*1000,HLOOKUP(INDIRECT(ADDRESS(2,COLUMN())),OFFSET($BN$2,0,0,ROW()-1,60),ROW()-1,FALSE))</f>
        <v>35.25</v>
      </c>
      <c r="W99">
        <f ca="1">IF(AND($B$183=1,LEN($W$201)&gt;0),$W$201*1000,HLOOKUP(INDIRECT(ADDRESS(2,COLUMN())),OFFSET($BN$2,0,0,ROW()-1,60),ROW()-1,FALSE))</f>
        <v>0</v>
      </c>
      <c r="X99">
        <f ca="1">IF(AND($B$183=1,LEN($X$201)&gt;0),$X$201*1000,HLOOKUP(INDIRECT(ADDRESS(2,COLUMN())),OFFSET($BN$2,0,0,ROW()-1,60),ROW()-1,FALSE))</f>
        <v>35.755000000000003</v>
      </c>
      <c r="Y99">
        <f ca="1">IF(AND($B$183=1,LEN($Y$201)&gt;0),$Y$201*1000,HLOOKUP(INDIRECT(ADDRESS(2,COLUMN())),OFFSET($BN$2,0,0,ROW()-1,60),ROW()-1,FALSE))</f>
        <v>77.935000000000002</v>
      </c>
      <c r="Z99">
        <f ca="1">IF(AND($B$183=1,LEN($Z$201)&gt;0),$Z$201*1000,HLOOKUP(INDIRECT(ADDRESS(2,COLUMN())),OFFSET($BN$2,0,0,ROW()-1,60),ROW()-1,FALSE))</f>
        <v>108.5</v>
      </c>
      <c r="AA99">
        <f ca="1">IF(AND($B$183=1,LEN($AA$201)&gt;0),$AA$201*1000,HLOOKUP(INDIRECT(ADDRESS(2,COLUMN())),OFFSET($BN$2,0,0,ROW()-1,60),ROW()-1,FALSE))</f>
        <v>1229.4000000000001</v>
      </c>
      <c r="AB99">
        <f ca="1">IF(AND($B$183=1,LEN($AB$201)&gt;0),$AB$201*1000,HLOOKUP(INDIRECT(ADDRESS(2,COLUMN())),OFFSET($BN$2,0,0,ROW()-1,60),ROW()-1,FALSE))</f>
        <v>132.98099999999999</v>
      </c>
      <c r="AC99">
        <f ca="1">IF(AND($B$183=1,LEN($AC$201)&gt;0),$AC$201*1000,HLOOKUP(INDIRECT(ADDRESS(2,COLUMN())),OFFSET($BN$2,0,0,ROW()-1,60),ROW()-1,FALSE))</f>
        <v>123</v>
      </c>
      <c r="AD99">
        <f ca="1">IF(AND($B$183=1,LEN($AD$201)&gt;0),$AD$201*1000,HLOOKUP(INDIRECT(ADDRESS(2,COLUMN())),OFFSET($BN$2,0,0,ROW()-1,60),ROW()-1,FALSE))</f>
        <v>150.80000000000001</v>
      </c>
      <c r="AE99">
        <f ca="1">IF(AND($B$183=1,LEN($AE$201)&gt;0),$AE$201*1000,HLOOKUP(INDIRECT(ADDRESS(2,COLUMN())),OFFSET($BN$2,0,0,ROW()-1,60),ROW()-1,FALSE))</f>
        <v>51.1</v>
      </c>
      <c r="AF99">
        <f ca="1">IF(AND($B$183=1,LEN($AF$201)&gt;0),$AF$201*1000,HLOOKUP(INDIRECT(ADDRESS(2,COLUMN())),OFFSET($BN$2,0,0,ROW()-1,60),ROW()-1,FALSE))</f>
        <v>0</v>
      </c>
      <c r="AG99">
        <f ca="1">IF(AND($B$183=1,LEN($AG$201)&gt;0),$AG$201*1000,HLOOKUP(INDIRECT(ADDRESS(2,COLUMN())),OFFSET($BN$2,0,0,ROW()-1,60),ROW()-1,FALSE))</f>
        <v>0</v>
      </c>
      <c r="AH99">
        <f ca="1">IF(AND($B$183=1,LEN($AH$201)&gt;0),$AH$201*1000,HLOOKUP(INDIRECT(ADDRESS(2,COLUMN())),OFFSET($BN$2,0,0,ROW()-1,60),ROW()-1,FALSE))</f>
        <v>449.536</v>
      </c>
      <c r="AI99">
        <f ca="1">IF(AND($B$183=1,LEN($AI$201)&gt;0),$AI$201*1000,HLOOKUP(INDIRECT(ADDRESS(2,COLUMN())),OFFSET($BN$2,0,0,ROW()-1,60),ROW()-1,FALSE))</f>
        <v>812.7</v>
      </c>
      <c r="AJ99">
        <f ca="1">IF(AND($B$183=1,LEN($AJ$201)&gt;0),$AJ$201*1000,HLOOKUP(INDIRECT(ADDRESS(2,COLUMN())),OFFSET($BN$2,0,0,ROW()-1,60),ROW()-1,FALSE))</f>
        <v>24.1</v>
      </c>
      <c r="AK99">
        <f ca="1">IF(AND($B$183=1,LEN($AK$201)&gt;0),$AK$201*1000,HLOOKUP(INDIRECT(ADDRESS(2,COLUMN())),OFFSET($BN$2,0,0,ROW()-1,60),ROW()-1,FALSE))</f>
        <v>375</v>
      </c>
      <c r="AL99">
        <f ca="1">IF(AND($B$183=1,LEN($AL$201)&gt;0),$AL$201*1000,HLOOKUP(INDIRECT(ADDRESS(2,COLUMN())),OFFSET($BN$2,0,0,ROW()-1,60),ROW()-1,FALSE))</f>
        <v>153.80000000000001</v>
      </c>
      <c r="AM99">
        <f ca="1">IF(AND($B$183=1,LEN($AM$201)&gt;0),$AM$201*1000,HLOOKUP(INDIRECT(ADDRESS(2,COLUMN())),OFFSET($BN$2,0,0,ROW()-1,60),ROW()-1,FALSE))</f>
        <v>45.8</v>
      </c>
      <c r="AN99">
        <f ca="1">IF(AND($B$183=1,LEN($AN$201)&gt;0),$AN$201*1000,HLOOKUP(INDIRECT(ADDRESS(2,COLUMN())),OFFSET($BN$2,0,0,ROW()-1,60),ROW()-1,FALSE))</f>
        <v>0</v>
      </c>
      <c r="AO99">
        <f ca="1">IF(AND($B$183=1,LEN($AO$201)&gt;0),$AO$201*1000,HLOOKUP(INDIRECT(ADDRESS(2,COLUMN())),OFFSET($BN$2,0,0,ROW()-1,60),ROW()-1,FALSE))</f>
        <v>0</v>
      </c>
      <c r="AP99">
        <f ca="1">IF(AND($B$183=1,LEN($AP$201)&gt;0),$AP$201*1000,HLOOKUP(INDIRECT(ADDRESS(2,COLUMN())),OFFSET($BN$2,0,0,ROW()-1,60),ROW()-1,FALSE))</f>
        <v>31.2</v>
      </c>
      <c r="AQ99">
        <f ca="1">IF(AND($B$183=1,LEN($AQ$201)&gt;0),$AQ$201*1000,HLOOKUP(INDIRECT(ADDRESS(2,COLUMN())),OFFSET($BN$2,0,0,ROW()-1,60),ROW()-1,FALSE))</f>
        <v>0</v>
      </c>
      <c r="AR99">
        <f ca="1">IF(AND($B$183=1,LEN($AR$201)&gt;0),$AR$201*1000,HLOOKUP(INDIRECT(ADDRESS(2,COLUMN())),OFFSET($BN$2,0,0,ROW()-1,60),ROW()-1,FALSE))</f>
        <v>49.6</v>
      </c>
      <c r="AS99">
        <f ca="1">IF(AND($B$183=1,LEN($AS$201)&gt;0),$AS$201*1000,HLOOKUP(INDIRECT(ADDRESS(2,COLUMN())),OFFSET($BN$2,0,0,ROW()-1,60),ROW()-1,FALSE))</f>
        <v>20.399999999999999</v>
      </c>
      <c r="AT99">
        <f ca="1">IF(AND($B$183=1,LEN($AT$201)&gt;0),$AT$201*1000,HLOOKUP(INDIRECT(ADDRESS(2,COLUMN())),OFFSET($BN$2,0,0,ROW()-1,60),ROW()-1,FALSE))</f>
        <v>83.5</v>
      </c>
      <c r="AU99">
        <f ca="1">IF(AND($B$183=1,LEN($AU$201)&gt;0),$AU$201*1000,HLOOKUP(INDIRECT(ADDRESS(2,COLUMN())),OFFSET($BN$2,0,0,ROW()-1,60),ROW()-1,FALSE))</f>
        <v>86.7</v>
      </c>
      <c r="AV99">
        <f ca="1">IF(AND($B$183=1,LEN($AV$201)&gt;0),$AV$201*1000,HLOOKUP(INDIRECT(ADDRESS(2,COLUMN())),OFFSET($BN$2,0,0,ROW()-1,60),ROW()-1,FALSE))</f>
        <v>0</v>
      </c>
      <c r="AW99">
        <f ca="1">IF(AND($B$183=1,LEN($AW$201)&gt;0),$AW$201*1000,HLOOKUP(INDIRECT(ADDRESS(2,COLUMN())),OFFSET($BN$2,0,0,ROW()-1,60),ROW()-1,FALSE))</f>
        <v>161.4</v>
      </c>
      <c r="AX99">
        <f ca="1">IF(AND($B$183=1,LEN($AX$201)&gt;0),$AX$201*1000,HLOOKUP(INDIRECT(ADDRESS(2,COLUMN())),OFFSET($BN$2,0,0,ROW()-1,60),ROW()-1,FALSE))</f>
        <v>151.5</v>
      </c>
      <c r="AY99">
        <f ca="1">IF(AND($B$183=1,LEN($AY$201)&gt;0),$AY$201*1000,HLOOKUP(INDIRECT(ADDRESS(2,COLUMN())),OFFSET($BN$2,0,0,ROW()-1,60),ROW()-1,FALSE))</f>
        <v>200.5</v>
      </c>
      <c r="AZ99">
        <f ca="1">IF(AND($B$183=1,LEN($AZ$201)&gt;0),$AZ$201*1000,HLOOKUP(INDIRECT(ADDRESS(2,COLUMN())),OFFSET($BN$2,0,0,ROW()-1,60),ROW()-1,FALSE))</f>
        <v>122.4</v>
      </c>
      <c r="BA99">
        <f ca="1">IF(AND($B$183=1,LEN($BA$201)&gt;0),$BA$201*1000,HLOOKUP(INDIRECT(ADDRESS(2,COLUMN())),OFFSET($BN$2,0,0,ROW()-1,60),ROW()-1,FALSE))</f>
        <v>22.5</v>
      </c>
      <c r="BB99">
        <f ca="1">IF(AND($B$183=1,LEN($BB$201)&gt;0),$BB$201*1000,HLOOKUP(INDIRECT(ADDRESS(2,COLUMN())),OFFSET($BN$2,0,0,ROW()-1,60),ROW()-1,FALSE))</f>
        <v>67.599999999999994</v>
      </c>
      <c r="BC99">
        <f ca="1">IF(AND($B$183=1,LEN($BC$201)&gt;0),$BC$201*1000,HLOOKUP(INDIRECT(ADDRESS(2,COLUMN())),OFFSET($BN$2,0,0,ROW()-1,60),ROW()-1,FALSE))</f>
        <v>73.5</v>
      </c>
      <c r="BD99">
        <f ca="1">IF(AND($B$183=1,LEN($BD$201)&gt;0),$BD$201*1000,HLOOKUP(INDIRECT(ADDRESS(2,COLUMN())),OFFSET($BN$2,0,0,ROW()-1,60),ROW()-1,FALSE))</f>
        <v>250.6</v>
      </c>
      <c r="BE99">
        <f ca="1">IF(AND($B$183=1,LEN($BE$201)&gt;0),$BE$201*1000,HLOOKUP(INDIRECT(ADDRESS(2,COLUMN())),OFFSET($BN$2,0,0,ROW()-1,60),ROW()-1,FALSE))</f>
        <v>74.599999999999994</v>
      </c>
      <c r="BF99">
        <f ca="1">IF(AND($B$183=1,LEN($BF$201)&gt;0),$BF$201*1000,HLOOKUP(INDIRECT(ADDRESS(2,COLUMN())),OFFSET($BN$2,0,0,ROW()-1,60),ROW()-1,FALSE))</f>
        <v>16.600000000000001</v>
      </c>
      <c r="BG99">
        <f ca="1">IF(AND($B$183=1,LEN($BG$201)&gt;0),$BG$201*1000,HLOOKUP(INDIRECT(ADDRESS(2,COLUMN())),OFFSET($BN$2,0,0,ROW()-1,60),ROW()-1,FALSE))</f>
        <v>0</v>
      </c>
      <c r="BH99">
        <f ca="1">IF(AND($B$183=1,LEN($BH$201)&gt;0),$BH$201*1000,HLOOKUP(INDIRECT(ADDRESS(2,COLUMN())),OFFSET($BN$2,0,0,ROW()-1,60),ROW()-1,FALSE))</f>
        <v>0</v>
      </c>
      <c r="BI99">
        <f ca="1">IF(AND($B$183=1,LEN($BI$201)&gt;0),$BI$201*1000,HLOOKUP(INDIRECT(ADDRESS(2,COLUMN())),OFFSET($BN$2,0,0,ROW()-1,60),ROW()-1,FALSE))</f>
        <v>0</v>
      </c>
      <c r="BJ99">
        <f ca="1">IF(AND($B$183=1,LEN($BJ$201)&gt;0),$BJ$201*1000,HLOOKUP(INDIRECT(ADDRESS(2,COLUMN())),OFFSET($BN$2,0,0,ROW()-1,60),ROW()-1,FALSE))</f>
        <v>0</v>
      </c>
      <c r="BK99">
        <f ca="1">IF(AND($B$183=1,LEN($BK$201)&gt;0),$BK$201*1000,HLOOKUP(INDIRECT(ADDRESS(2,COLUMN())),OFFSET($BN$2,0,0,ROW()-1,60),ROW()-1,FALSE))</f>
        <v>0</v>
      </c>
      <c r="BL99">
        <f ca="1">IF(AND($B$183=1,LEN($BL$201)&gt;0),$BL$201*1000,HLOOKUP(INDIRECT(ADDRESS(2,COLUMN())),OFFSET($BN$2,0,0,ROW()-1,60),ROW()-1,FALSE))</f>
        <v>0</v>
      </c>
      <c r="BM99">
        <f ca="1">IF(AND($B$183=1,LEN($BM$201)&gt;0),$BM$201*1000,HLOOKUP(INDIRECT(ADDRESS(2,COLUMN())),OFFSET($BN$2,0,0,ROW()-1,60),ROW()-1,FALSE))</f>
        <v>0</v>
      </c>
      <c r="BN99">
        <f>34</f>
        <v>34</v>
      </c>
      <c r="BO99">
        <f>0</f>
        <v>0</v>
      </c>
      <c r="BP99">
        <f>3614.1</f>
        <v>3614.1</v>
      </c>
      <c r="BQ99">
        <f>529.7</f>
        <v>529.70000000000005</v>
      </c>
      <c r="BR99">
        <f>115</f>
        <v>115</v>
      </c>
      <c r="BS99">
        <f>1143.978</f>
        <v>1143.9780000000001</v>
      </c>
      <c r="BT99">
        <f>125.6</f>
        <v>125.6</v>
      </c>
      <c r="BU99">
        <f>3917.177</f>
        <v>3917.1770000000001</v>
      </c>
      <c r="BV99">
        <f>1883.82</f>
        <v>1883.82</v>
      </c>
      <c r="BW99">
        <f>411.3</f>
        <v>411.3</v>
      </c>
      <c r="BX99">
        <f>411.7</f>
        <v>411.7</v>
      </c>
      <c r="BY99">
        <f>0</f>
        <v>0</v>
      </c>
      <c r="BZ99">
        <f>0</f>
        <v>0</v>
      </c>
      <c r="CA99">
        <f>18</f>
        <v>18</v>
      </c>
      <c r="CB99">
        <f>73.3</f>
        <v>73.3</v>
      </c>
      <c r="CC99">
        <f>0</f>
        <v>0</v>
      </c>
      <c r="CD99">
        <f>35.25</f>
        <v>35.25</v>
      </c>
      <c r="CE99">
        <f>0</f>
        <v>0</v>
      </c>
      <c r="CF99">
        <f>35.755</f>
        <v>35.755000000000003</v>
      </c>
      <c r="CG99">
        <f>77.935</f>
        <v>77.935000000000002</v>
      </c>
      <c r="CH99">
        <f>108.5</f>
        <v>108.5</v>
      </c>
      <c r="CI99">
        <f>1229.4</f>
        <v>1229.4000000000001</v>
      </c>
      <c r="CJ99">
        <f>132.981</f>
        <v>132.98099999999999</v>
      </c>
      <c r="CK99">
        <f>123</f>
        <v>123</v>
      </c>
      <c r="CL99">
        <f>150.8</f>
        <v>150.80000000000001</v>
      </c>
      <c r="CM99">
        <f>51.1</f>
        <v>51.1</v>
      </c>
      <c r="CN99">
        <f>0</f>
        <v>0</v>
      </c>
      <c r="CO99">
        <f>0</f>
        <v>0</v>
      </c>
      <c r="CP99">
        <f>449.536</f>
        <v>449.536</v>
      </c>
      <c r="CQ99">
        <f>812.7</f>
        <v>812.7</v>
      </c>
      <c r="CR99">
        <f>24.1</f>
        <v>24.1</v>
      </c>
      <c r="CS99">
        <f>375</f>
        <v>375</v>
      </c>
      <c r="CT99">
        <f>153.8</f>
        <v>153.80000000000001</v>
      </c>
      <c r="CU99">
        <f>45.8</f>
        <v>45.8</v>
      </c>
      <c r="CV99">
        <f>0</f>
        <v>0</v>
      </c>
      <c r="CW99">
        <f>0</f>
        <v>0</v>
      </c>
      <c r="CX99">
        <f>31.2</f>
        <v>31.2</v>
      </c>
      <c r="CY99">
        <f>0</f>
        <v>0</v>
      </c>
      <c r="CZ99">
        <f>49.6</f>
        <v>49.6</v>
      </c>
      <c r="DA99">
        <f>20.4</f>
        <v>20.399999999999999</v>
      </c>
      <c r="DB99">
        <f>83.5</f>
        <v>83.5</v>
      </c>
      <c r="DC99">
        <f>86.7</f>
        <v>86.7</v>
      </c>
      <c r="DD99">
        <f>0</f>
        <v>0</v>
      </c>
      <c r="DE99">
        <f>161.4</f>
        <v>161.4</v>
      </c>
      <c r="DF99">
        <f>151.5</f>
        <v>151.5</v>
      </c>
      <c r="DG99">
        <f>200.5</f>
        <v>200.5</v>
      </c>
      <c r="DH99">
        <f>122.4</f>
        <v>122.4</v>
      </c>
      <c r="DI99">
        <f>22.5</f>
        <v>22.5</v>
      </c>
      <c r="DJ99">
        <f>67.6</f>
        <v>67.599999999999994</v>
      </c>
      <c r="DK99">
        <f>73.5</f>
        <v>73.5</v>
      </c>
      <c r="DL99">
        <f>250.6</f>
        <v>250.6</v>
      </c>
      <c r="DM99">
        <f>74.6</f>
        <v>74.599999999999994</v>
      </c>
      <c r="DN99">
        <f>16.6</f>
        <v>16.600000000000001</v>
      </c>
      <c r="DO99">
        <f>0</f>
        <v>0</v>
      </c>
      <c r="DP99">
        <f>0</f>
        <v>0</v>
      </c>
      <c r="DQ99">
        <f>0</f>
        <v>0</v>
      </c>
      <c r="DR99">
        <f>0</f>
        <v>0</v>
      </c>
      <c r="DS99">
        <f>0</f>
        <v>0</v>
      </c>
      <c r="DT99">
        <f>0</f>
        <v>0</v>
      </c>
      <c r="DU99">
        <f>0</f>
        <v>0</v>
      </c>
    </row>
    <row r="100" spans="1:125">
      <c r="A100" t="str">
        <f>"    Specialty REITs"</f>
        <v xml:space="preserve">    Specialty REITs</v>
      </c>
      <c r="B100" t="str">
        <f>"RECFTASP Index"</f>
        <v>RECFTASP Index</v>
      </c>
      <c r="E100" t="str">
        <f t="shared" si="21"/>
        <v>Expression</v>
      </c>
      <c r="F100">
        <f ca="1">IF(AND($B$183=1,LEN($F$202)&gt;0),$F$202*1000,HLOOKUP(INDIRECT(ADDRESS(2,COLUMN())),OFFSET($BN$2,0,0,ROW()-1,60),ROW()-1,FALSE))</f>
        <v>39.433</v>
      </c>
      <c r="G100">
        <f ca="1">IF(AND($B$183=1,LEN($G$202)&gt;0),$G$202*1000,HLOOKUP(INDIRECT(ADDRESS(2,COLUMN())),OFFSET($BN$2,0,0,ROW()-1,60),ROW()-1,FALSE))</f>
        <v>458.49700000000001</v>
      </c>
      <c r="H100">
        <f ca="1">IF(AND($B$183=1,LEN($H$202)&gt;0),$H$202*1000,HLOOKUP(INDIRECT(ADDRESS(2,COLUMN())),OFFSET($BN$2,0,0,ROW()-1,60),ROW()-1,FALSE))</f>
        <v>1564.624</v>
      </c>
      <c r="I100">
        <f ca="1">IF(AND($B$183=1,LEN($I$202)&gt;0),$I$202*1000,HLOOKUP(INDIRECT(ADDRESS(2,COLUMN())),OFFSET($BN$2,0,0,ROW()-1,60),ROW()-1,FALSE))</f>
        <v>494.65199999999999</v>
      </c>
      <c r="J100">
        <f ca="1">IF(AND($B$183=1,LEN($J$202)&gt;0),$J$202*1000,HLOOKUP(INDIRECT(ADDRESS(2,COLUMN())),OFFSET($BN$2,0,0,ROW()-1,60),ROW()-1,FALSE))</f>
        <v>112.51</v>
      </c>
      <c r="K100">
        <f ca="1">IF(AND($B$183=1,LEN($K$202)&gt;0),$K$202*1000,HLOOKUP(INDIRECT(ADDRESS(2,COLUMN())),OFFSET($BN$2,0,0,ROW()-1,60),ROW()-1,FALSE))</f>
        <v>409.68</v>
      </c>
      <c r="L100">
        <f ca="1">IF(AND($B$183=1,LEN($L$202)&gt;0),$L$202*1000,HLOOKUP(INDIRECT(ADDRESS(2,COLUMN())),OFFSET($BN$2,0,0,ROW()-1,60),ROW()-1,FALSE))</f>
        <v>4944.43</v>
      </c>
      <c r="M100">
        <f ca="1">IF(AND($B$183=1,LEN($M$202)&gt;0),$M$202*1000,HLOOKUP(INDIRECT(ADDRESS(2,COLUMN())),OFFSET($BN$2,0,0,ROW()-1,60),ROW()-1,FALSE))</f>
        <v>460.041</v>
      </c>
      <c r="N100">
        <f ca="1">IF(AND($B$183=1,LEN($N$202)&gt;0),$N$202*1000,HLOOKUP(INDIRECT(ADDRESS(2,COLUMN())),OFFSET($BN$2,0,0,ROW()-1,60),ROW()-1,FALSE))</f>
        <v>183.61500000000001</v>
      </c>
      <c r="O100">
        <f ca="1">IF(AND($B$183=1,LEN($O$202)&gt;0),$O$202*1000,HLOOKUP(INDIRECT(ADDRESS(2,COLUMN())),OFFSET($BN$2,0,0,ROW()-1,60),ROW()-1,FALSE))</f>
        <v>0</v>
      </c>
      <c r="P100">
        <f ca="1">IF(AND($B$183=1,LEN($P$202)&gt;0),$P$202*1000,HLOOKUP(INDIRECT(ADDRESS(2,COLUMN())),OFFSET($BN$2,0,0,ROW()-1,60),ROW()-1,FALSE))</f>
        <v>0</v>
      </c>
      <c r="Q100">
        <f ca="1">IF(AND($B$183=1,LEN($Q$202)&gt;0),$Q$202*1000,HLOOKUP(INDIRECT(ADDRESS(2,COLUMN())),OFFSET($BN$2,0,0,ROW()-1,60),ROW()-1,FALSE))</f>
        <v>0</v>
      </c>
      <c r="R100">
        <f ca="1">IF(AND($B$183=1,LEN($R$202)&gt;0),$R$202*1000,HLOOKUP(INDIRECT(ADDRESS(2,COLUMN())),OFFSET($BN$2,0,0,ROW()-1,60),ROW()-1,FALSE))</f>
        <v>0</v>
      </c>
      <c r="S100">
        <f ca="1">IF(AND($B$183=1,LEN($S$202)&gt;0),$S$202*1000,HLOOKUP(INDIRECT(ADDRESS(2,COLUMN())),OFFSET($BN$2,0,0,ROW()-1,60),ROW()-1,FALSE))</f>
        <v>0</v>
      </c>
      <c r="T100">
        <f ca="1">IF(AND($B$183=1,LEN($T$202)&gt;0),$T$202*1000,HLOOKUP(INDIRECT(ADDRESS(2,COLUMN())),OFFSET($BN$2,0,0,ROW()-1,60),ROW()-1,FALSE))</f>
        <v>0</v>
      </c>
      <c r="U100">
        <f ca="1">IF(AND($B$183=1,LEN($U$202)&gt;0),$U$202*1000,HLOOKUP(INDIRECT(ADDRESS(2,COLUMN())),OFFSET($BN$2,0,0,ROW()-1,60),ROW()-1,FALSE))</f>
        <v>0</v>
      </c>
      <c r="V100">
        <f ca="1">IF(AND($B$183=1,LEN($V$202)&gt;0),$V$202*1000,HLOOKUP(INDIRECT(ADDRESS(2,COLUMN())),OFFSET($BN$2,0,0,ROW()-1,60),ROW()-1,FALSE))</f>
        <v>0</v>
      </c>
      <c r="W100">
        <f ca="1">IF(AND($B$183=1,LEN($W$202)&gt;0),$W$202*1000,HLOOKUP(INDIRECT(ADDRESS(2,COLUMN())),OFFSET($BN$2,0,0,ROW()-1,60),ROW()-1,FALSE))</f>
        <v>0</v>
      </c>
      <c r="X100">
        <f ca="1">IF(AND($B$183=1,LEN($X$202)&gt;0),$X$202*1000,HLOOKUP(INDIRECT(ADDRESS(2,COLUMN())),OFFSET($BN$2,0,0,ROW()-1,60),ROW()-1,FALSE))</f>
        <v>0</v>
      </c>
      <c r="Y100">
        <f ca="1">IF(AND($B$183=1,LEN($Y$202)&gt;0),$Y$202*1000,HLOOKUP(INDIRECT(ADDRESS(2,COLUMN())),OFFSET($BN$2,0,0,ROW()-1,60),ROW()-1,FALSE))</f>
        <v>0</v>
      </c>
      <c r="Z100">
        <f ca="1">IF(AND($B$183=1,LEN($Z$202)&gt;0),$Z$202*1000,HLOOKUP(INDIRECT(ADDRESS(2,COLUMN())),OFFSET($BN$2,0,0,ROW()-1,60),ROW()-1,FALSE))</f>
        <v>0</v>
      </c>
      <c r="AA100">
        <f ca="1">IF(AND($B$183=1,LEN($AA$202)&gt;0),$AA$202*1000,HLOOKUP(INDIRECT(ADDRESS(2,COLUMN())),OFFSET($BN$2,0,0,ROW()-1,60),ROW()-1,FALSE))</f>
        <v>0</v>
      </c>
      <c r="AB100">
        <f ca="1">IF(AND($B$183=1,LEN($AB$202)&gt;0),$AB$202*1000,HLOOKUP(INDIRECT(ADDRESS(2,COLUMN())),OFFSET($BN$2,0,0,ROW()-1,60),ROW()-1,FALSE))</f>
        <v>0</v>
      </c>
      <c r="AC100">
        <f ca="1">IF(AND($B$183=1,LEN($AC$202)&gt;0),$AC$202*1000,HLOOKUP(INDIRECT(ADDRESS(2,COLUMN())),OFFSET($BN$2,0,0,ROW()-1,60),ROW()-1,FALSE))</f>
        <v>0</v>
      </c>
      <c r="AD100">
        <f ca="1">IF(AND($B$183=1,LEN($AD$202)&gt;0),$AD$202*1000,HLOOKUP(INDIRECT(ADDRESS(2,COLUMN())),OFFSET($BN$2,0,0,ROW()-1,60),ROW()-1,FALSE))</f>
        <v>0</v>
      </c>
      <c r="AE100">
        <f ca="1">IF(AND($B$183=1,LEN($AE$202)&gt;0),$AE$202*1000,HLOOKUP(INDIRECT(ADDRESS(2,COLUMN())),OFFSET($BN$2,0,0,ROW()-1,60),ROW()-1,FALSE))</f>
        <v>0</v>
      </c>
      <c r="AF100">
        <f ca="1">IF(AND($B$183=1,LEN($AF$202)&gt;0),$AF$202*1000,HLOOKUP(INDIRECT(ADDRESS(2,COLUMN())),OFFSET($BN$2,0,0,ROW()-1,60),ROW()-1,FALSE))</f>
        <v>0</v>
      </c>
      <c r="AG100">
        <f ca="1">IF(AND($B$183=1,LEN($AG$202)&gt;0),$AG$202*1000,HLOOKUP(INDIRECT(ADDRESS(2,COLUMN())),OFFSET($BN$2,0,0,ROW()-1,60),ROW()-1,FALSE))</f>
        <v>0</v>
      </c>
      <c r="AH100">
        <f ca="1">IF(AND($B$183=1,LEN($AH$202)&gt;0),$AH$202*1000,HLOOKUP(INDIRECT(ADDRESS(2,COLUMN())),OFFSET($BN$2,0,0,ROW()-1,60),ROW()-1,FALSE))</f>
        <v>0</v>
      </c>
      <c r="AI100">
        <f ca="1">IF(AND($B$183=1,LEN($AI$202)&gt;0),$AI$202*1000,HLOOKUP(INDIRECT(ADDRESS(2,COLUMN())),OFFSET($BN$2,0,0,ROW()-1,60),ROW()-1,FALSE))</f>
        <v>0</v>
      </c>
      <c r="AJ100">
        <f ca="1">IF(AND($B$183=1,LEN($AJ$202)&gt;0),$AJ$202*1000,HLOOKUP(INDIRECT(ADDRESS(2,COLUMN())),OFFSET($BN$2,0,0,ROW()-1,60),ROW()-1,FALSE))</f>
        <v>124.43600000000001</v>
      </c>
      <c r="AK100">
        <f ca="1">IF(AND($B$183=1,LEN($AK$202)&gt;0),$AK$202*1000,HLOOKUP(INDIRECT(ADDRESS(2,COLUMN())),OFFSET($BN$2,0,0,ROW()-1,60),ROW()-1,FALSE))</f>
        <v>155.82499999999999</v>
      </c>
      <c r="AL100">
        <f ca="1">IF(AND($B$183=1,LEN($AL$202)&gt;0),$AL$202*1000,HLOOKUP(INDIRECT(ADDRESS(2,COLUMN())),OFFSET($BN$2,0,0,ROW()-1,60),ROW()-1,FALSE))</f>
        <v>130</v>
      </c>
      <c r="AM100">
        <f ca="1">IF(AND($B$183=1,LEN($AM$202)&gt;0),$AM$202*1000,HLOOKUP(INDIRECT(ADDRESS(2,COLUMN())),OFFSET($BN$2,0,0,ROW()-1,60),ROW()-1,FALSE))</f>
        <v>0</v>
      </c>
      <c r="AN100">
        <f ca="1">IF(AND($B$183=1,LEN($AN$202)&gt;0),$AN$202*1000,HLOOKUP(INDIRECT(ADDRESS(2,COLUMN())),OFFSET($BN$2,0,0,ROW()-1,60),ROW()-1,FALSE))</f>
        <v>0</v>
      </c>
      <c r="AO100">
        <f ca="1">IF(AND($B$183=1,LEN($AO$202)&gt;0),$AO$202*1000,HLOOKUP(INDIRECT(ADDRESS(2,COLUMN())),OFFSET($BN$2,0,0,ROW()-1,60),ROW()-1,FALSE))</f>
        <v>0</v>
      </c>
      <c r="AP100">
        <f ca="1">IF(AND($B$183=1,LEN($AP$202)&gt;0),$AP$202*1000,HLOOKUP(INDIRECT(ADDRESS(2,COLUMN())),OFFSET($BN$2,0,0,ROW()-1,60),ROW()-1,FALSE))</f>
        <v>0</v>
      </c>
      <c r="AQ100">
        <f ca="1">IF(AND($B$183=1,LEN($AQ$202)&gt;0),$AQ$202*1000,HLOOKUP(INDIRECT(ADDRESS(2,COLUMN())),OFFSET($BN$2,0,0,ROW()-1,60),ROW()-1,FALSE))</f>
        <v>0</v>
      </c>
      <c r="AR100">
        <f ca="1">IF(AND($B$183=1,LEN($AR$202)&gt;0),$AR$202*1000,HLOOKUP(INDIRECT(ADDRESS(2,COLUMN())),OFFSET($BN$2,0,0,ROW()-1,60),ROW()-1,FALSE))</f>
        <v>238.3</v>
      </c>
      <c r="AS100">
        <f ca="1">IF(AND($B$183=1,LEN($AS$202)&gt;0),$AS$202*1000,HLOOKUP(INDIRECT(ADDRESS(2,COLUMN())),OFFSET($BN$2,0,0,ROW()-1,60),ROW()-1,FALSE))</f>
        <v>0</v>
      </c>
      <c r="AT100">
        <f ca="1">IF(AND($B$183=1,LEN($AT$202)&gt;0),$AT$202*1000,HLOOKUP(INDIRECT(ADDRESS(2,COLUMN())),OFFSET($BN$2,0,0,ROW()-1,60),ROW()-1,FALSE))</f>
        <v>39.5</v>
      </c>
      <c r="AU100">
        <f ca="1">IF(AND($B$183=1,LEN($AU$202)&gt;0),$AU$202*1000,HLOOKUP(INDIRECT(ADDRESS(2,COLUMN())),OFFSET($BN$2,0,0,ROW()-1,60),ROW()-1,FALSE))</f>
        <v>41.5</v>
      </c>
      <c r="AV100">
        <f ca="1">IF(AND($B$183=1,LEN($AV$202)&gt;0),$AV$202*1000,HLOOKUP(INDIRECT(ADDRESS(2,COLUMN())),OFFSET($BN$2,0,0,ROW()-1,60),ROW()-1,FALSE))</f>
        <v>178</v>
      </c>
      <c r="AW100">
        <f ca="1">IF(AND($B$183=1,LEN($AW$202)&gt;0),$AW$202*1000,HLOOKUP(INDIRECT(ADDRESS(2,COLUMN())),OFFSET($BN$2,0,0,ROW()-1,60),ROW()-1,FALSE))</f>
        <v>0</v>
      </c>
      <c r="AX100">
        <f ca="1">IF(AND($B$183=1,LEN($AX$202)&gt;0),$AX$202*1000,HLOOKUP(INDIRECT(ADDRESS(2,COLUMN())),OFFSET($BN$2,0,0,ROW()-1,60),ROW()-1,FALSE))</f>
        <v>27.4</v>
      </c>
      <c r="AY100">
        <f ca="1">IF(AND($B$183=1,LEN($AY$202)&gt;0),$AY$202*1000,HLOOKUP(INDIRECT(ADDRESS(2,COLUMN())),OFFSET($BN$2,0,0,ROW()-1,60),ROW()-1,FALSE))</f>
        <v>18.3</v>
      </c>
      <c r="AZ100">
        <f ca="1">IF(AND($B$183=1,LEN($AZ$202)&gt;0),$AZ$202*1000,HLOOKUP(INDIRECT(ADDRESS(2,COLUMN())),OFFSET($BN$2,0,0,ROW()-1,60),ROW()-1,FALSE))</f>
        <v>0</v>
      </c>
      <c r="BA100">
        <f ca="1">IF(AND($B$183=1,LEN($BA$202)&gt;0),$BA$202*1000,HLOOKUP(INDIRECT(ADDRESS(2,COLUMN())),OFFSET($BN$2,0,0,ROW()-1,60),ROW()-1,FALSE))</f>
        <v>35</v>
      </c>
      <c r="BB100">
        <f ca="1">IF(AND($B$183=1,LEN($BB$202)&gt;0),$BB$202*1000,HLOOKUP(INDIRECT(ADDRESS(2,COLUMN())),OFFSET($BN$2,0,0,ROW()-1,60),ROW()-1,FALSE))</f>
        <v>44.4</v>
      </c>
      <c r="BC100">
        <f ca="1">IF(AND($B$183=1,LEN($BC$202)&gt;0),$BC$202*1000,HLOOKUP(INDIRECT(ADDRESS(2,COLUMN())),OFFSET($BN$2,0,0,ROW()-1,60),ROW()-1,FALSE))</f>
        <v>0</v>
      </c>
      <c r="BD100">
        <f ca="1">IF(AND($B$183=1,LEN($BD$202)&gt;0),$BD$202*1000,HLOOKUP(INDIRECT(ADDRESS(2,COLUMN())),OFFSET($BN$2,0,0,ROW()-1,60),ROW()-1,FALSE))</f>
        <v>38.5</v>
      </c>
      <c r="BE100">
        <f ca="1">IF(AND($B$183=1,LEN($BE$202)&gt;0),$BE$202*1000,HLOOKUP(INDIRECT(ADDRESS(2,COLUMN())),OFFSET($BN$2,0,0,ROW()-1,60),ROW()-1,FALSE))</f>
        <v>238.892</v>
      </c>
      <c r="BF100">
        <f ca="1">IF(AND($B$183=1,LEN($BF$202)&gt;0),$BF$202*1000,HLOOKUP(INDIRECT(ADDRESS(2,COLUMN())),OFFSET($BN$2,0,0,ROW()-1,60),ROW()-1,FALSE))</f>
        <v>964.75400000000002</v>
      </c>
      <c r="BG100">
        <f ca="1">IF(AND($B$183=1,LEN($BG$202)&gt;0),$BG$202*1000,HLOOKUP(INDIRECT(ADDRESS(2,COLUMN())),OFFSET($BN$2,0,0,ROW()-1,60),ROW()-1,FALSE))</f>
        <v>654.76</v>
      </c>
      <c r="BH100">
        <f ca="1">IF(AND($B$183=1,LEN($BH$202)&gt;0),$BH$202*1000,HLOOKUP(INDIRECT(ADDRESS(2,COLUMN())),OFFSET($BN$2,0,0,ROW()-1,60),ROW()-1,FALSE))</f>
        <v>145.583</v>
      </c>
      <c r="BI100">
        <f ca="1">IF(AND($B$183=1,LEN($BI$202)&gt;0),$BI$202*1000,HLOOKUP(INDIRECT(ADDRESS(2,COLUMN())),OFFSET($BN$2,0,0,ROW()-1,60),ROW()-1,FALSE))</f>
        <v>870.625</v>
      </c>
      <c r="BJ100">
        <f ca="1">IF(AND($B$183=1,LEN($BJ$202)&gt;0),$BJ$202*1000,HLOOKUP(INDIRECT(ADDRESS(2,COLUMN())),OFFSET($BN$2,0,0,ROW()-1,60),ROW()-1,FALSE))</f>
        <v>133</v>
      </c>
      <c r="BK100">
        <f ca="1">IF(AND($B$183=1,LEN($BK$202)&gt;0),$BK$202*1000,HLOOKUP(INDIRECT(ADDRESS(2,COLUMN())),OFFSET($BN$2,0,0,ROW()-1,60),ROW()-1,FALSE))</f>
        <v>0</v>
      </c>
      <c r="BL100">
        <f ca="1">IF(AND($B$183=1,LEN($BL$202)&gt;0),$BL$202*1000,HLOOKUP(INDIRECT(ADDRESS(2,COLUMN())),OFFSET($BN$2,0,0,ROW()-1,60),ROW()-1,FALSE))</f>
        <v>61</v>
      </c>
      <c r="BM100">
        <f ca="1">IF(AND($B$183=1,LEN($BM$202)&gt;0),$BM$202*1000,HLOOKUP(INDIRECT(ADDRESS(2,COLUMN())),OFFSET($BN$2,0,0,ROW()-1,60),ROW()-1,FALSE))</f>
        <v>10.5</v>
      </c>
      <c r="BN100">
        <f>39.433</f>
        <v>39.433</v>
      </c>
      <c r="BO100">
        <f>458.497</f>
        <v>458.49700000000001</v>
      </c>
      <c r="BP100">
        <f>1564.624</f>
        <v>1564.624</v>
      </c>
      <c r="BQ100">
        <f>494.652</f>
        <v>494.65199999999999</v>
      </c>
      <c r="BR100">
        <f>112.51</f>
        <v>112.51</v>
      </c>
      <c r="BS100">
        <f>409.68</f>
        <v>409.68</v>
      </c>
      <c r="BT100">
        <f>4944.43</f>
        <v>4944.43</v>
      </c>
      <c r="BU100">
        <f>460.041</f>
        <v>460.041</v>
      </c>
      <c r="BV100">
        <f>183.615</f>
        <v>183.61500000000001</v>
      </c>
      <c r="BW100">
        <f>0</f>
        <v>0</v>
      </c>
      <c r="BX100">
        <f>0</f>
        <v>0</v>
      </c>
      <c r="BY100">
        <f>0</f>
        <v>0</v>
      </c>
      <c r="BZ100">
        <f>0</f>
        <v>0</v>
      </c>
      <c r="CA100">
        <f>0</f>
        <v>0</v>
      </c>
      <c r="CB100">
        <f>0</f>
        <v>0</v>
      </c>
      <c r="CC100">
        <f>0</f>
        <v>0</v>
      </c>
      <c r="CD100">
        <f>0</f>
        <v>0</v>
      </c>
      <c r="CE100">
        <f>0</f>
        <v>0</v>
      </c>
      <c r="CF100">
        <f>0</f>
        <v>0</v>
      </c>
      <c r="CG100">
        <f>0</f>
        <v>0</v>
      </c>
      <c r="CH100">
        <f>0</f>
        <v>0</v>
      </c>
      <c r="CI100">
        <f>0</f>
        <v>0</v>
      </c>
      <c r="CJ100">
        <f>0</f>
        <v>0</v>
      </c>
      <c r="CK100">
        <f>0</f>
        <v>0</v>
      </c>
      <c r="CL100">
        <f>0</f>
        <v>0</v>
      </c>
      <c r="CM100">
        <f>0</f>
        <v>0</v>
      </c>
      <c r="CN100">
        <f>0</f>
        <v>0</v>
      </c>
      <c r="CO100">
        <f>0</f>
        <v>0</v>
      </c>
      <c r="CP100">
        <f>0</f>
        <v>0</v>
      </c>
      <c r="CQ100">
        <f>0</f>
        <v>0</v>
      </c>
      <c r="CR100">
        <f>124.436</f>
        <v>124.43600000000001</v>
      </c>
      <c r="CS100">
        <f>155.825</f>
        <v>155.82499999999999</v>
      </c>
      <c r="CT100">
        <f>130</f>
        <v>130</v>
      </c>
      <c r="CU100">
        <f>0</f>
        <v>0</v>
      </c>
      <c r="CV100">
        <f>0</f>
        <v>0</v>
      </c>
      <c r="CW100">
        <f>0</f>
        <v>0</v>
      </c>
      <c r="CX100">
        <f>0</f>
        <v>0</v>
      </c>
      <c r="CY100">
        <f>0</f>
        <v>0</v>
      </c>
      <c r="CZ100">
        <f>238.3</f>
        <v>238.3</v>
      </c>
      <c r="DA100">
        <f>0</f>
        <v>0</v>
      </c>
      <c r="DB100">
        <f>39.5</f>
        <v>39.5</v>
      </c>
      <c r="DC100">
        <f>41.5</f>
        <v>41.5</v>
      </c>
      <c r="DD100">
        <f>178</f>
        <v>178</v>
      </c>
      <c r="DE100">
        <f>0</f>
        <v>0</v>
      </c>
      <c r="DF100">
        <f>27.4</f>
        <v>27.4</v>
      </c>
      <c r="DG100">
        <f>18.3</f>
        <v>18.3</v>
      </c>
      <c r="DH100">
        <f>0</f>
        <v>0</v>
      </c>
      <c r="DI100">
        <f>35</f>
        <v>35</v>
      </c>
      <c r="DJ100">
        <f>44.4</f>
        <v>44.4</v>
      </c>
      <c r="DK100">
        <f>0</f>
        <v>0</v>
      </c>
      <c r="DL100">
        <f>38.5</f>
        <v>38.5</v>
      </c>
      <c r="DM100">
        <f>238.892</f>
        <v>238.892</v>
      </c>
      <c r="DN100">
        <f>964.754</f>
        <v>964.75400000000002</v>
      </c>
      <c r="DO100">
        <f>654.76</f>
        <v>654.76</v>
      </c>
      <c r="DP100">
        <f>145.583</f>
        <v>145.583</v>
      </c>
      <c r="DQ100">
        <f>870.625</f>
        <v>870.625</v>
      </c>
      <c r="DR100">
        <f>133</f>
        <v>133</v>
      </c>
      <c r="DS100">
        <f>0</f>
        <v>0</v>
      </c>
      <c r="DT100">
        <f>61</f>
        <v>61</v>
      </c>
      <c r="DU100">
        <f>10.5</f>
        <v>10.5</v>
      </c>
    </row>
    <row r="101" spans="1:125">
      <c r="A101" t="str">
        <f>"    "</f>
        <v xml:space="preserve">    </v>
      </c>
      <c r="B101" t="str">
        <f>""</f>
        <v/>
      </c>
      <c r="E101" t="str">
        <f>"静态"</f>
        <v>静态</v>
      </c>
      <c r="F101" t="str">
        <f t="shared" ref="F101:AK101" ca="1" si="22">HLOOKUP(INDIRECT(ADDRESS(2,COLUMN())),OFFSET($BN$2,0,0,ROW()-1,60),ROW()-1,FALSE)</f>
        <v/>
      </c>
      <c r="G101" t="str">
        <f t="shared" ca="1" si="22"/>
        <v/>
      </c>
      <c r="H101" t="str">
        <f t="shared" ca="1" si="22"/>
        <v/>
      </c>
      <c r="I101" t="str">
        <f t="shared" ca="1" si="22"/>
        <v/>
      </c>
      <c r="J101" t="str">
        <f t="shared" ca="1" si="22"/>
        <v/>
      </c>
      <c r="K101" t="str">
        <f t="shared" ca="1" si="22"/>
        <v/>
      </c>
      <c r="L101" t="str">
        <f t="shared" ca="1" si="22"/>
        <v/>
      </c>
      <c r="M101" t="str">
        <f t="shared" ca="1" si="22"/>
        <v/>
      </c>
      <c r="N101" t="str">
        <f t="shared" ca="1" si="22"/>
        <v/>
      </c>
      <c r="O101" t="str">
        <f t="shared" ca="1" si="22"/>
        <v/>
      </c>
      <c r="P101" t="str">
        <f t="shared" ca="1" si="22"/>
        <v/>
      </c>
      <c r="Q101" t="str">
        <f t="shared" ca="1" si="22"/>
        <v/>
      </c>
      <c r="R101" t="str">
        <f t="shared" ca="1" si="22"/>
        <v/>
      </c>
      <c r="S101" t="str">
        <f t="shared" ca="1" si="22"/>
        <v/>
      </c>
      <c r="T101" t="str">
        <f t="shared" ca="1" si="22"/>
        <v/>
      </c>
      <c r="U101" t="str">
        <f t="shared" ca="1" si="22"/>
        <v/>
      </c>
      <c r="V101" t="str">
        <f t="shared" ca="1" si="22"/>
        <v/>
      </c>
      <c r="W101" t="str">
        <f t="shared" ca="1" si="22"/>
        <v/>
      </c>
      <c r="X101" t="str">
        <f t="shared" ca="1" si="22"/>
        <v/>
      </c>
      <c r="Y101" t="str">
        <f t="shared" ca="1" si="22"/>
        <v/>
      </c>
      <c r="Z101" t="str">
        <f t="shared" ca="1" si="22"/>
        <v/>
      </c>
      <c r="AA101" t="str">
        <f t="shared" ca="1" si="22"/>
        <v/>
      </c>
      <c r="AB101" t="str">
        <f t="shared" ca="1" si="22"/>
        <v/>
      </c>
      <c r="AC101" t="str">
        <f t="shared" ca="1" si="22"/>
        <v/>
      </c>
      <c r="AD101" t="str">
        <f t="shared" ca="1" si="22"/>
        <v/>
      </c>
      <c r="AE101" t="str">
        <f t="shared" ca="1" si="22"/>
        <v/>
      </c>
      <c r="AF101" t="str">
        <f t="shared" ca="1" si="22"/>
        <v/>
      </c>
      <c r="AG101" t="str">
        <f t="shared" ca="1" si="22"/>
        <v/>
      </c>
      <c r="AH101" t="str">
        <f t="shared" ca="1" si="22"/>
        <v/>
      </c>
      <c r="AI101" t="str">
        <f t="shared" ca="1" si="22"/>
        <v/>
      </c>
      <c r="AJ101" t="str">
        <f t="shared" ca="1" si="22"/>
        <v/>
      </c>
      <c r="AK101" t="str">
        <f t="shared" ca="1" si="22"/>
        <v/>
      </c>
      <c r="AL101" t="str">
        <f t="shared" ref="AL101:BM101" ca="1" si="23">HLOOKUP(INDIRECT(ADDRESS(2,COLUMN())),OFFSET($BN$2,0,0,ROW()-1,60),ROW()-1,FALSE)</f>
        <v/>
      </c>
      <c r="AM101" t="str">
        <f t="shared" ca="1" si="23"/>
        <v/>
      </c>
      <c r="AN101" t="str">
        <f t="shared" ca="1" si="23"/>
        <v/>
      </c>
      <c r="AO101" t="str">
        <f t="shared" ca="1" si="23"/>
        <v/>
      </c>
      <c r="AP101" t="str">
        <f t="shared" ca="1" si="23"/>
        <v/>
      </c>
      <c r="AQ101" t="str">
        <f t="shared" ca="1" si="23"/>
        <v/>
      </c>
      <c r="AR101" t="str">
        <f t="shared" ca="1" si="23"/>
        <v/>
      </c>
      <c r="AS101" t="str">
        <f t="shared" ca="1" si="23"/>
        <v/>
      </c>
      <c r="AT101" t="str">
        <f t="shared" ca="1" si="23"/>
        <v/>
      </c>
      <c r="AU101" t="str">
        <f t="shared" ca="1" si="23"/>
        <v/>
      </c>
      <c r="AV101" t="str">
        <f t="shared" ca="1" si="23"/>
        <v/>
      </c>
      <c r="AW101" t="str">
        <f t="shared" ca="1" si="23"/>
        <v/>
      </c>
      <c r="AX101" t="str">
        <f t="shared" ca="1" si="23"/>
        <v/>
      </c>
      <c r="AY101" t="str">
        <f t="shared" ca="1" si="23"/>
        <v/>
      </c>
      <c r="AZ101" t="str">
        <f t="shared" ca="1" si="23"/>
        <v/>
      </c>
      <c r="BA101" t="str">
        <f t="shared" ca="1" si="23"/>
        <v/>
      </c>
      <c r="BB101" t="str">
        <f t="shared" ca="1" si="23"/>
        <v/>
      </c>
      <c r="BC101" t="str">
        <f t="shared" ca="1" si="23"/>
        <v/>
      </c>
      <c r="BD101" t="str">
        <f t="shared" ca="1" si="23"/>
        <v/>
      </c>
      <c r="BE101" t="str">
        <f t="shared" ca="1" si="23"/>
        <v/>
      </c>
      <c r="BF101" t="str">
        <f t="shared" ca="1" si="23"/>
        <v/>
      </c>
      <c r="BG101" t="str">
        <f t="shared" ca="1" si="23"/>
        <v/>
      </c>
      <c r="BH101" t="str">
        <f t="shared" ca="1" si="23"/>
        <v/>
      </c>
      <c r="BI101" t="str">
        <f t="shared" ca="1" si="23"/>
        <v/>
      </c>
      <c r="BJ101" t="str">
        <f t="shared" ca="1" si="23"/>
        <v/>
      </c>
      <c r="BK101" t="str">
        <f t="shared" ca="1" si="23"/>
        <v/>
      </c>
      <c r="BL101" t="str">
        <f t="shared" ca="1" si="23"/>
        <v/>
      </c>
      <c r="BM101" t="str">
        <f t="shared" ca="1" si="23"/>
        <v/>
      </c>
      <c r="BN101" t="str">
        <f>""</f>
        <v/>
      </c>
      <c r="BO101" t="str">
        <f>""</f>
        <v/>
      </c>
      <c r="BP101" t="str">
        <f>""</f>
        <v/>
      </c>
      <c r="BQ101" t="str">
        <f>""</f>
        <v/>
      </c>
      <c r="BR101" t="str">
        <f>""</f>
        <v/>
      </c>
      <c r="BS101" t="str">
        <f>""</f>
        <v/>
      </c>
      <c r="BT101" t="str">
        <f>""</f>
        <v/>
      </c>
      <c r="BU101" t="str">
        <f>""</f>
        <v/>
      </c>
      <c r="BV101" t="str">
        <f>""</f>
        <v/>
      </c>
      <c r="BW101" t="str">
        <f>""</f>
        <v/>
      </c>
      <c r="BX101" t="str">
        <f>""</f>
        <v/>
      </c>
      <c r="BY101" t="str">
        <f>""</f>
        <v/>
      </c>
      <c r="BZ101" t="str">
        <f>""</f>
        <v/>
      </c>
      <c r="CA101" t="str">
        <f>""</f>
        <v/>
      </c>
      <c r="CB101" t="str">
        <f>""</f>
        <v/>
      </c>
      <c r="CC101" t="str">
        <f>""</f>
        <v/>
      </c>
      <c r="CD101" t="str">
        <f>""</f>
        <v/>
      </c>
      <c r="CE101" t="str">
        <f>""</f>
        <v/>
      </c>
      <c r="CF101" t="str">
        <f>""</f>
        <v/>
      </c>
      <c r="CG101" t="str">
        <f>""</f>
        <v/>
      </c>
      <c r="CH101" t="str">
        <f>""</f>
        <v/>
      </c>
      <c r="CI101" t="str">
        <f>""</f>
        <v/>
      </c>
      <c r="CJ101" t="str">
        <f>""</f>
        <v/>
      </c>
      <c r="CK101" t="str">
        <f>""</f>
        <v/>
      </c>
      <c r="CL101" t="str">
        <f>""</f>
        <v/>
      </c>
      <c r="CM101" t="str">
        <f>""</f>
        <v/>
      </c>
      <c r="CN101" t="str">
        <f>""</f>
        <v/>
      </c>
      <c r="CO101" t="str">
        <f>""</f>
        <v/>
      </c>
      <c r="CP101" t="str">
        <f>""</f>
        <v/>
      </c>
      <c r="CQ101" t="str">
        <f>""</f>
        <v/>
      </c>
      <c r="CR101" t="str">
        <f>""</f>
        <v/>
      </c>
      <c r="CS101" t="str">
        <f>""</f>
        <v/>
      </c>
      <c r="CT101" t="str">
        <f>""</f>
        <v/>
      </c>
      <c r="CU101" t="str">
        <f>""</f>
        <v/>
      </c>
      <c r="CV101" t="str">
        <f>""</f>
        <v/>
      </c>
      <c r="CW101" t="str">
        <f>""</f>
        <v/>
      </c>
      <c r="CX101" t="str">
        <f>""</f>
        <v/>
      </c>
      <c r="CY101" t="str">
        <f>""</f>
        <v/>
      </c>
      <c r="CZ101" t="str">
        <f>""</f>
        <v/>
      </c>
      <c r="DA101" t="str">
        <f>""</f>
        <v/>
      </c>
      <c r="DB101" t="str">
        <f>""</f>
        <v/>
      </c>
      <c r="DC101" t="str">
        <f>""</f>
        <v/>
      </c>
      <c r="DD101" t="str">
        <f>""</f>
        <v/>
      </c>
      <c r="DE101" t="str">
        <f>""</f>
        <v/>
      </c>
      <c r="DF101" t="str">
        <f>""</f>
        <v/>
      </c>
      <c r="DG101" t="str">
        <f>""</f>
        <v/>
      </c>
      <c r="DH101" t="str">
        <f>""</f>
        <v/>
      </c>
      <c r="DI101" t="str">
        <f>""</f>
        <v/>
      </c>
      <c r="DJ101" t="str">
        <f>""</f>
        <v/>
      </c>
      <c r="DK101" t="str">
        <f>""</f>
        <v/>
      </c>
      <c r="DL101" t="str">
        <f>""</f>
        <v/>
      </c>
      <c r="DM101" t="str">
        <f>""</f>
        <v/>
      </c>
      <c r="DN101" t="str">
        <f>""</f>
        <v/>
      </c>
      <c r="DO101" t="str">
        <f>""</f>
        <v/>
      </c>
      <c r="DP101" t="str">
        <f>""</f>
        <v/>
      </c>
      <c r="DQ101" t="str">
        <f>""</f>
        <v/>
      </c>
      <c r="DR101" t="str">
        <f>""</f>
        <v/>
      </c>
      <c r="DS101" t="str">
        <f>""</f>
        <v/>
      </c>
      <c r="DT101" t="str">
        <f>""</f>
        <v/>
      </c>
      <c r="DU101" t="str">
        <f>""</f>
        <v/>
      </c>
    </row>
    <row r="102" spans="1:125">
      <c r="A102" t="str">
        <f>"总处置-所有房地产投资信托"</f>
        <v>总处置-所有房地产投资信托</v>
      </c>
      <c r="B102" t="str">
        <f>"RECFDSEQ Index"</f>
        <v>RECFDSEQ Index</v>
      </c>
      <c r="E102" t="str">
        <f t="shared" ref="E102:E118" si="24">"Expression"</f>
        <v>Expression</v>
      </c>
      <c r="F102">
        <f ca="1">IF(AND($B$183=1,LEN($F$203)&gt;0),$F$203*1000,HLOOKUP(INDIRECT(ADDRESS(2,COLUMN())),OFFSET($BN$2,0,0,ROW()-1,60),ROW()-1,FALSE))</f>
        <v>10247.741</v>
      </c>
      <c r="G102">
        <f ca="1">IF(AND($B$183=1,LEN($G$203)&gt;0),$G$203*1000,HLOOKUP(INDIRECT(ADDRESS(2,COLUMN())),OFFSET($BN$2,0,0,ROW()-1,60),ROW()-1,FALSE))</f>
        <v>13552.985000000001</v>
      </c>
      <c r="H102">
        <f ca="1">IF(AND($B$183=1,LEN($H$203)&gt;0),$H$203*1000,HLOOKUP(INDIRECT(ADDRESS(2,COLUMN())),OFFSET($BN$2,0,0,ROW()-1,60),ROW()-1,FALSE))</f>
        <v>10308.040000000001</v>
      </c>
      <c r="I102">
        <f ca="1">IF(AND($B$183=1,LEN($I$203)&gt;0),$I$203*1000,HLOOKUP(INDIRECT(ADDRESS(2,COLUMN())),OFFSET($BN$2,0,0,ROW()-1,60),ROW()-1,FALSE))</f>
        <v>11232.778</v>
      </c>
      <c r="J102">
        <f ca="1">IF(AND($B$183=1,LEN($J$203)&gt;0),$J$203*1000,HLOOKUP(INDIRECT(ADDRESS(2,COLUMN())),OFFSET($BN$2,0,0,ROW()-1,60),ROW()-1,FALSE))</f>
        <v>10998.668</v>
      </c>
      <c r="K102">
        <f ca="1">IF(AND($B$183=1,LEN($K$203)&gt;0),$K$203*1000,HLOOKUP(INDIRECT(ADDRESS(2,COLUMN())),OFFSET($BN$2,0,0,ROW()-1,60),ROW()-1,FALSE))</f>
        <v>14313.844999999999</v>
      </c>
      <c r="L102">
        <f ca="1">IF(AND($B$183=1,LEN($L$203)&gt;0),$L$203*1000,HLOOKUP(INDIRECT(ADDRESS(2,COLUMN())),OFFSET($BN$2,0,0,ROW()-1,60),ROW()-1,FALSE))</f>
        <v>12727.74</v>
      </c>
      <c r="M102">
        <f ca="1">IF(AND($B$183=1,LEN($M$203)&gt;0),$M$203*1000,HLOOKUP(INDIRECT(ADDRESS(2,COLUMN())),OFFSET($BN$2,0,0,ROW()-1,60),ROW()-1,FALSE))</f>
        <v>17893.911</v>
      </c>
      <c r="N102">
        <f ca="1">IF(AND($B$183=1,LEN($N$203)&gt;0),$N$203*1000,HLOOKUP(INDIRECT(ADDRESS(2,COLUMN())),OFFSET($BN$2,0,0,ROW()-1,60),ROW()-1,FALSE))</f>
        <v>13635.867</v>
      </c>
      <c r="O102">
        <f ca="1">IF(AND($B$183=1,LEN($O$203)&gt;0),$O$203*1000,HLOOKUP(INDIRECT(ADDRESS(2,COLUMN())),OFFSET($BN$2,0,0,ROW()-1,60),ROW()-1,FALSE))</f>
        <v>7080.6760000000004</v>
      </c>
      <c r="P102">
        <f ca="1">IF(AND($B$183=1,LEN($P$203)&gt;0),$P$203*1000,HLOOKUP(INDIRECT(ADDRESS(2,COLUMN())),OFFSET($BN$2,0,0,ROW()-1,60),ROW()-1,FALSE))</f>
        <v>10890.209000000001</v>
      </c>
      <c r="Q102">
        <f ca="1">IF(AND($B$183=1,LEN($Q$203)&gt;0),$Q$203*1000,HLOOKUP(INDIRECT(ADDRESS(2,COLUMN())),OFFSET($BN$2,0,0,ROW()-1,60),ROW()-1,FALSE))</f>
        <v>8355.5689999999995</v>
      </c>
      <c r="R102">
        <f ca="1">IF(AND($B$183=1,LEN($R$203)&gt;0),$R$203*1000,HLOOKUP(INDIRECT(ADDRESS(2,COLUMN())),OFFSET($BN$2,0,0,ROW()-1,60),ROW()-1,FALSE))</f>
        <v>17356.365000000002</v>
      </c>
      <c r="S102">
        <f ca="1">IF(AND($B$183=1,LEN($S$203)&gt;0),$S$203*1000,HLOOKUP(INDIRECT(ADDRESS(2,COLUMN())),OFFSET($BN$2,0,0,ROW()-1,60),ROW()-1,FALSE))</f>
        <v>7329.8109999999997</v>
      </c>
      <c r="T102">
        <f ca="1">IF(AND($B$183=1,LEN($T$203)&gt;0),$T$203*1000,HLOOKUP(INDIRECT(ADDRESS(2,COLUMN())),OFFSET($BN$2,0,0,ROW()-1,60),ROW()-1,FALSE))</f>
        <v>6762.4</v>
      </c>
      <c r="U102">
        <f ca="1">IF(AND($B$183=1,LEN($U$203)&gt;0),$U$203*1000,HLOOKUP(INDIRECT(ADDRESS(2,COLUMN())),OFFSET($BN$2,0,0,ROW()-1,60),ROW()-1,FALSE))</f>
        <v>5880.2939999999999</v>
      </c>
      <c r="V102">
        <f ca="1">IF(AND($B$183=1,LEN($V$203)&gt;0),$V$203*1000,HLOOKUP(INDIRECT(ADDRESS(2,COLUMN())),OFFSET($BN$2,0,0,ROW()-1,60),ROW()-1,FALSE))</f>
        <v>9934.8880000000008</v>
      </c>
      <c r="W102">
        <f ca="1">IF(AND($B$183=1,LEN($W$203)&gt;0),$W$203*1000,HLOOKUP(INDIRECT(ADDRESS(2,COLUMN())),OFFSET($BN$2,0,0,ROW()-1,60),ROW()-1,FALSE))</f>
        <v>6669.4480000000003</v>
      </c>
      <c r="X102">
        <f ca="1">IF(AND($B$183=1,LEN($X$203)&gt;0),$X$203*1000,HLOOKUP(INDIRECT(ADDRESS(2,COLUMN())),OFFSET($BN$2,0,0,ROW()-1,60),ROW()-1,FALSE))</f>
        <v>8773.4779999999992</v>
      </c>
      <c r="Y102">
        <f ca="1">IF(AND($B$183=1,LEN($Y$203)&gt;0),$Y$203*1000,HLOOKUP(INDIRECT(ADDRESS(2,COLUMN())),OFFSET($BN$2,0,0,ROW()-1,60),ROW()-1,FALSE))</f>
        <v>7101.2139999999999</v>
      </c>
      <c r="Z102">
        <f ca="1">IF(AND($B$183=1,LEN($Z$203)&gt;0),$Z$203*1000,HLOOKUP(INDIRECT(ADDRESS(2,COLUMN())),OFFSET($BN$2,0,0,ROW()-1,60),ROW()-1,FALSE))</f>
        <v>9358.732</v>
      </c>
      <c r="AA102">
        <f ca="1">IF(AND($B$183=1,LEN($AA$203)&gt;0),$AA$203*1000,HLOOKUP(INDIRECT(ADDRESS(2,COLUMN())),OFFSET($BN$2,0,0,ROW()-1,60),ROW()-1,FALSE))</f>
        <v>4550.7190000000001</v>
      </c>
      <c r="AB102">
        <f ca="1">IF(AND($B$183=1,LEN($AB$203)&gt;0),$AB$203*1000,HLOOKUP(INDIRECT(ADDRESS(2,COLUMN())),OFFSET($BN$2,0,0,ROW()-1,60),ROW()-1,FALSE))</f>
        <v>4387.7920000000004</v>
      </c>
      <c r="AC102">
        <f ca="1">IF(AND($B$183=1,LEN($AC$203)&gt;0),$AC$203*1000,HLOOKUP(INDIRECT(ADDRESS(2,COLUMN())),OFFSET($BN$2,0,0,ROW()-1,60),ROW()-1,FALSE))</f>
        <v>4468.4080000000004</v>
      </c>
      <c r="AD102">
        <f ca="1">IF(AND($B$183=1,LEN($AD$203)&gt;0),$AD$203*1000,HLOOKUP(INDIRECT(ADDRESS(2,COLUMN())),OFFSET($BN$2,0,0,ROW()-1,60),ROW()-1,FALSE))</f>
        <v>6396.9679999999998</v>
      </c>
      <c r="AE102">
        <f ca="1">IF(AND($B$183=1,LEN($AE$203)&gt;0),$AE$203*1000,HLOOKUP(INDIRECT(ADDRESS(2,COLUMN())),OFFSET($BN$2,0,0,ROW()-1,60),ROW()-1,FALSE))</f>
        <v>3060.7339999999999</v>
      </c>
      <c r="AF102">
        <f ca="1">IF(AND($B$183=1,LEN($AF$203)&gt;0),$AF$203*1000,HLOOKUP(INDIRECT(ADDRESS(2,COLUMN())),OFFSET($BN$2,0,0,ROW()-1,60),ROW()-1,FALSE))</f>
        <v>4275.0590000000002</v>
      </c>
      <c r="AG102">
        <f ca="1">IF(AND($B$183=1,LEN($AG$203)&gt;0),$AG$203*1000,HLOOKUP(INDIRECT(ADDRESS(2,COLUMN())),OFFSET($BN$2,0,0,ROW()-1,60),ROW()-1,FALSE))</f>
        <v>2586.7249999999999</v>
      </c>
      <c r="AH102">
        <f ca="1">IF(AND($B$183=1,LEN($AH$203)&gt;0),$AH$203*1000,HLOOKUP(INDIRECT(ADDRESS(2,COLUMN())),OFFSET($BN$2,0,0,ROW()-1,60),ROW()-1,FALSE))</f>
        <v>4637.7030000000004</v>
      </c>
      <c r="AI102">
        <f ca="1">IF(AND($B$183=1,LEN($AI$203)&gt;0),$AI$203*1000,HLOOKUP(INDIRECT(ADDRESS(2,COLUMN())),OFFSET($BN$2,0,0,ROW()-1,60),ROW()-1,FALSE))</f>
        <v>3268.375</v>
      </c>
      <c r="AJ102">
        <f ca="1">IF(AND($B$183=1,LEN($AJ$203)&gt;0),$AJ$203*1000,HLOOKUP(INDIRECT(ADDRESS(2,COLUMN())),OFFSET($BN$2,0,0,ROW()-1,60),ROW()-1,FALSE))</f>
        <v>2966.8530000000001</v>
      </c>
      <c r="AK102">
        <f ca="1">IF(AND($B$183=1,LEN($AK$203)&gt;0),$AK$203*1000,HLOOKUP(INDIRECT(ADDRESS(2,COLUMN())),OFFSET($BN$2,0,0,ROW()-1,60),ROW()-1,FALSE))</f>
        <v>1445.17</v>
      </c>
      <c r="AL102">
        <f ca="1">IF(AND($B$183=1,LEN($AL$203)&gt;0),$AL$203*1000,HLOOKUP(INDIRECT(ADDRESS(2,COLUMN())),OFFSET($BN$2,0,0,ROW()-1,60),ROW()-1,FALSE))</f>
        <v>2904.355</v>
      </c>
      <c r="AM102">
        <f ca="1">IF(AND($B$183=1,LEN($AM$203)&gt;0),$AM$203*1000,HLOOKUP(INDIRECT(ADDRESS(2,COLUMN())),OFFSET($BN$2,0,0,ROW()-1,60),ROW()-1,FALSE))</f>
        <v>2237.8440000000001</v>
      </c>
      <c r="AN102">
        <f ca="1">IF(AND($B$183=1,LEN($AN$203)&gt;0),$AN$203*1000,HLOOKUP(INDIRECT(ADDRESS(2,COLUMN())),OFFSET($BN$2,0,0,ROW()-1,60),ROW()-1,FALSE))</f>
        <v>2740.23</v>
      </c>
      <c r="AO102">
        <f ca="1">IF(AND($B$183=1,LEN($AO$203)&gt;0),$AO$203*1000,HLOOKUP(INDIRECT(ADDRESS(2,COLUMN())),OFFSET($BN$2,0,0,ROW()-1,60),ROW()-1,FALSE))</f>
        <v>2896.1849999999999</v>
      </c>
      <c r="AP102">
        <f ca="1">IF(AND($B$183=1,LEN($AP$203)&gt;0),$AP$203*1000,HLOOKUP(INDIRECT(ADDRESS(2,COLUMN())),OFFSET($BN$2,0,0,ROW()-1,60),ROW()-1,FALSE))</f>
        <v>4356.8329999999996</v>
      </c>
      <c r="AQ102">
        <f ca="1">IF(AND($B$183=1,LEN($AQ$203)&gt;0),$AQ$203*1000,HLOOKUP(INDIRECT(ADDRESS(2,COLUMN())),OFFSET($BN$2,0,0,ROW()-1,60),ROW()-1,FALSE))</f>
        <v>4071.4209999999998</v>
      </c>
      <c r="AR102">
        <f ca="1">IF(AND($B$183=1,LEN($AR$203)&gt;0),$AR$203*1000,HLOOKUP(INDIRECT(ADDRESS(2,COLUMN())),OFFSET($BN$2,0,0,ROW()-1,60),ROW()-1,FALSE))</f>
        <v>6271.1180000000004</v>
      </c>
      <c r="AS102">
        <f ca="1">IF(AND($B$183=1,LEN($AS$203)&gt;0),$AS$203*1000,HLOOKUP(INDIRECT(ADDRESS(2,COLUMN())),OFFSET($BN$2,0,0,ROW()-1,60),ROW()-1,FALSE))</f>
        <v>5843.8109999999997</v>
      </c>
      <c r="AT102">
        <f ca="1">IF(AND($B$183=1,LEN($AT$203)&gt;0),$AT$203*1000,HLOOKUP(INDIRECT(ADDRESS(2,COLUMN())),OFFSET($BN$2,0,0,ROW()-1,60),ROW()-1,FALSE))</f>
        <v>4704.5209999999997</v>
      </c>
      <c r="AU102">
        <f ca="1">IF(AND($B$183=1,LEN($AU$203)&gt;0),$AU$203*1000,HLOOKUP(INDIRECT(ADDRESS(2,COLUMN())),OFFSET($BN$2,0,0,ROW()-1,60),ROW()-1,FALSE))</f>
        <v>9073.0759999999991</v>
      </c>
      <c r="AV102">
        <f ca="1">IF(AND($B$183=1,LEN($AV$203)&gt;0),$AV$203*1000,HLOOKUP(INDIRECT(ADDRESS(2,COLUMN())),OFFSET($BN$2,0,0,ROW()-1,60),ROW()-1,FALSE))</f>
        <v>8297.48</v>
      </c>
      <c r="AW102">
        <f ca="1">IF(AND($B$183=1,LEN($AW$203)&gt;0),$AW$203*1000,HLOOKUP(INDIRECT(ADDRESS(2,COLUMN())),OFFSET($BN$2,0,0,ROW()-1,60),ROW()-1,FALSE))</f>
        <v>6939.0649999999996</v>
      </c>
      <c r="AX102">
        <f ca="1">IF(AND($B$183=1,LEN($AX$203)&gt;0),$AX$203*1000,HLOOKUP(INDIRECT(ADDRESS(2,COLUMN())),OFFSET($BN$2,0,0,ROW()-1,60),ROW()-1,FALSE))</f>
        <v>10063.036</v>
      </c>
      <c r="AY102">
        <f ca="1">IF(AND($B$183=1,LEN($AY$203)&gt;0),$AY$203*1000,HLOOKUP(INDIRECT(ADDRESS(2,COLUMN())),OFFSET($BN$2,0,0,ROW()-1,60),ROW()-1,FALSE))</f>
        <v>5253.5889999999999</v>
      </c>
      <c r="AZ102">
        <f ca="1">IF(AND($B$183=1,LEN($AZ$203)&gt;0),$AZ$203*1000,HLOOKUP(INDIRECT(ADDRESS(2,COLUMN())),OFFSET($BN$2,0,0,ROW()-1,60),ROW()-1,FALSE))</f>
        <v>6450.7449999999999</v>
      </c>
      <c r="BA102">
        <f ca="1">IF(AND($B$183=1,LEN($BA$203)&gt;0),$BA$203*1000,HLOOKUP(INDIRECT(ADDRESS(2,COLUMN())),OFFSET($BN$2,0,0,ROW()-1,60),ROW()-1,FALSE))</f>
        <v>6125.5609999999997</v>
      </c>
      <c r="BB102">
        <f ca="1">IF(AND($B$183=1,LEN($BB$203)&gt;0),$BB$203*1000,HLOOKUP(INDIRECT(ADDRESS(2,COLUMN())),OFFSET($BN$2,0,0,ROW()-1,60),ROW()-1,FALSE))</f>
        <v>7788.232</v>
      </c>
      <c r="BC102">
        <f ca="1">IF(AND($B$183=1,LEN($BC$203)&gt;0),$BC$203*1000,HLOOKUP(INDIRECT(ADDRESS(2,COLUMN())),OFFSET($BN$2,0,0,ROW()-1,60),ROW()-1,FALSE))</f>
        <v>7265.723</v>
      </c>
      <c r="BD102">
        <f ca="1">IF(AND($B$183=1,LEN($BD$203)&gt;0),$BD$203*1000,HLOOKUP(INDIRECT(ADDRESS(2,COLUMN())),OFFSET($BN$2,0,0,ROW()-1,60),ROW()-1,FALSE))</f>
        <v>5454.4430000000002</v>
      </c>
      <c r="BE102">
        <f ca="1">IF(AND($B$183=1,LEN($BE$203)&gt;0),$BE$203*1000,HLOOKUP(INDIRECT(ADDRESS(2,COLUMN())),OFFSET($BN$2,0,0,ROW()-1,60),ROW()-1,FALSE))</f>
        <v>3721.431</v>
      </c>
      <c r="BF102">
        <f ca="1">IF(AND($B$183=1,LEN($BF$203)&gt;0),$BF$203*1000,HLOOKUP(INDIRECT(ADDRESS(2,COLUMN())),OFFSET($BN$2,0,0,ROW()-1,60),ROW()-1,FALSE))</f>
        <v>4690.8310000000001</v>
      </c>
      <c r="BG102">
        <f ca="1">IF(AND($B$183=1,LEN($BG$203)&gt;0),$BG$203*1000,HLOOKUP(INDIRECT(ADDRESS(2,COLUMN())),OFFSET($BN$2,0,0,ROW()-1,60),ROW()-1,FALSE))</f>
        <v>3545.4760000000001</v>
      </c>
      <c r="BH102">
        <f ca="1">IF(AND($B$183=1,LEN($BH$203)&gt;0),$BH$203*1000,HLOOKUP(INDIRECT(ADDRESS(2,COLUMN())),OFFSET($BN$2,0,0,ROW()-1,60),ROW()-1,FALSE))</f>
        <v>2724.52</v>
      </c>
      <c r="BI102">
        <f ca="1">IF(AND($B$183=1,LEN($BI$203)&gt;0),$BI$203*1000,HLOOKUP(INDIRECT(ADDRESS(2,COLUMN())),OFFSET($BN$2,0,0,ROW()-1,60),ROW()-1,FALSE))</f>
        <v>2015.1010000000001</v>
      </c>
      <c r="BJ102">
        <f ca="1">IF(AND($B$183=1,LEN($BJ$203)&gt;0),$BJ$203*1000,HLOOKUP(INDIRECT(ADDRESS(2,COLUMN())),OFFSET($BN$2,0,0,ROW()-1,60),ROW()-1,FALSE))</f>
        <v>1269.8810000000001</v>
      </c>
      <c r="BK102">
        <f ca="1">IF(AND($B$183=1,LEN($BK$203)&gt;0),$BK$203*1000,HLOOKUP(INDIRECT(ADDRESS(2,COLUMN())),OFFSET($BN$2,0,0,ROW()-1,60),ROW()-1,FALSE))</f>
        <v>331.16199999999998</v>
      </c>
      <c r="BL102">
        <f ca="1">IF(AND($B$183=1,LEN($BL$203)&gt;0),$BL$203*1000,HLOOKUP(INDIRECT(ADDRESS(2,COLUMN())),OFFSET($BN$2,0,0,ROW()-1,60),ROW()-1,FALSE))</f>
        <v>208.88499999999999</v>
      </c>
      <c r="BM102">
        <f ca="1">IF(AND($B$183=1,LEN($BM$203)&gt;0),$BM$203*1000,HLOOKUP(INDIRECT(ADDRESS(2,COLUMN())),OFFSET($BN$2,0,0,ROW()-1,60),ROW()-1,FALSE))</f>
        <v>959.71900000000005</v>
      </c>
      <c r="BN102">
        <f>10247.741</f>
        <v>10247.741</v>
      </c>
      <c r="BO102">
        <f>13552.985</f>
        <v>13552.985000000001</v>
      </c>
      <c r="BP102">
        <f>10308.04</f>
        <v>10308.040000000001</v>
      </c>
      <c r="BQ102">
        <f>11232.778</f>
        <v>11232.778</v>
      </c>
      <c r="BR102">
        <f>10998.668</f>
        <v>10998.668</v>
      </c>
      <c r="BS102">
        <f>14313.845</f>
        <v>14313.844999999999</v>
      </c>
      <c r="BT102">
        <f>12727.74</f>
        <v>12727.74</v>
      </c>
      <c r="BU102">
        <f>17893.911</f>
        <v>17893.911</v>
      </c>
      <c r="BV102">
        <f>13635.867</f>
        <v>13635.867</v>
      </c>
      <c r="BW102">
        <f>7080.676</f>
        <v>7080.6760000000004</v>
      </c>
      <c r="BX102">
        <f>10890.209</f>
        <v>10890.209000000001</v>
      </c>
      <c r="BY102">
        <f>8355.569</f>
        <v>8355.5689999999995</v>
      </c>
      <c r="BZ102">
        <f>17356.365</f>
        <v>17356.365000000002</v>
      </c>
      <c r="CA102">
        <f>7329.811</f>
        <v>7329.8109999999997</v>
      </c>
      <c r="CB102">
        <f>6762.4</f>
        <v>6762.4</v>
      </c>
      <c r="CC102">
        <f>5880.294</f>
        <v>5880.2939999999999</v>
      </c>
      <c r="CD102">
        <f>9934.888</f>
        <v>9934.8880000000008</v>
      </c>
      <c r="CE102">
        <f>6669.448</f>
        <v>6669.4480000000003</v>
      </c>
      <c r="CF102">
        <f>8773.478</f>
        <v>8773.4779999999992</v>
      </c>
      <c r="CG102">
        <f>7101.214</f>
        <v>7101.2139999999999</v>
      </c>
      <c r="CH102">
        <f>9358.732</f>
        <v>9358.732</v>
      </c>
      <c r="CI102">
        <f>4550.719</f>
        <v>4550.7190000000001</v>
      </c>
      <c r="CJ102">
        <f>4387.792</f>
        <v>4387.7920000000004</v>
      </c>
      <c r="CK102">
        <f>4468.408</f>
        <v>4468.4080000000004</v>
      </c>
      <c r="CL102">
        <f>6396.968</f>
        <v>6396.9679999999998</v>
      </c>
      <c r="CM102">
        <f>3060.734</f>
        <v>3060.7339999999999</v>
      </c>
      <c r="CN102">
        <f>4275.059</f>
        <v>4275.0590000000002</v>
      </c>
      <c r="CO102">
        <f>2586.725</f>
        <v>2586.7249999999999</v>
      </c>
      <c r="CP102">
        <f>4637.703</f>
        <v>4637.7030000000004</v>
      </c>
      <c r="CQ102">
        <f>3268.375</f>
        <v>3268.375</v>
      </c>
      <c r="CR102">
        <f>2966.853</f>
        <v>2966.8530000000001</v>
      </c>
      <c r="CS102">
        <f>1445.17</f>
        <v>1445.17</v>
      </c>
      <c r="CT102">
        <f>2904.355</f>
        <v>2904.355</v>
      </c>
      <c r="CU102">
        <f>2237.844</f>
        <v>2237.8440000000001</v>
      </c>
      <c r="CV102">
        <f>2740.23</f>
        <v>2740.23</v>
      </c>
      <c r="CW102">
        <f>2896.185</f>
        <v>2896.1849999999999</v>
      </c>
      <c r="CX102">
        <f>4356.833</f>
        <v>4356.8329999999996</v>
      </c>
      <c r="CY102">
        <f>4071.421</f>
        <v>4071.4209999999998</v>
      </c>
      <c r="CZ102">
        <f>6271.118</f>
        <v>6271.1180000000004</v>
      </c>
      <c r="DA102">
        <f>5843.811</f>
        <v>5843.8109999999997</v>
      </c>
      <c r="DB102">
        <f>4704.521</f>
        <v>4704.5209999999997</v>
      </c>
      <c r="DC102">
        <f>9073.076</f>
        <v>9073.0759999999991</v>
      </c>
      <c r="DD102">
        <f>8297.48</f>
        <v>8297.48</v>
      </c>
      <c r="DE102">
        <f>6939.065</f>
        <v>6939.0649999999996</v>
      </c>
      <c r="DF102">
        <f>10063.036</f>
        <v>10063.036</v>
      </c>
      <c r="DG102">
        <f>5253.589</f>
        <v>5253.5889999999999</v>
      </c>
      <c r="DH102">
        <f>6450.745</f>
        <v>6450.7449999999999</v>
      </c>
      <c r="DI102">
        <f>6125.561</f>
        <v>6125.5609999999997</v>
      </c>
      <c r="DJ102">
        <f>7788.232</f>
        <v>7788.232</v>
      </c>
      <c r="DK102">
        <f>7265.723</f>
        <v>7265.723</v>
      </c>
      <c r="DL102">
        <f>5454.443</f>
        <v>5454.4430000000002</v>
      </c>
      <c r="DM102">
        <f>3721.431</f>
        <v>3721.431</v>
      </c>
      <c r="DN102">
        <f>4690.831</f>
        <v>4690.8310000000001</v>
      </c>
      <c r="DO102">
        <f>3545.476</f>
        <v>3545.4760000000001</v>
      </c>
      <c r="DP102">
        <f>2724.52</f>
        <v>2724.52</v>
      </c>
      <c r="DQ102">
        <f>2015.101</f>
        <v>2015.1010000000001</v>
      </c>
      <c r="DR102">
        <f>1269.881</f>
        <v>1269.8810000000001</v>
      </c>
      <c r="DS102">
        <f>331.162</f>
        <v>331.16199999999998</v>
      </c>
      <c r="DT102">
        <f>208.885</f>
        <v>208.88499999999999</v>
      </c>
      <c r="DU102">
        <f>959.719</f>
        <v>959.71900000000005</v>
      </c>
    </row>
    <row r="103" spans="1:125">
      <c r="A103" t="str">
        <f>"    Office REITs"</f>
        <v xml:space="preserve">    Office REITs</v>
      </c>
      <c r="B103" t="str">
        <f>"RECFDSOF Index"</f>
        <v>RECFDSOF Index</v>
      </c>
      <c r="E103" t="str">
        <f t="shared" si="24"/>
        <v>Expression</v>
      </c>
      <c r="F103">
        <f ca="1">IF(AND($B$183=1,LEN($F$204)&gt;0),$F$204*1000,HLOOKUP(INDIRECT(ADDRESS(2,COLUMN())),OFFSET($BN$2,0,0,ROW()-1,60),ROW()-1,FALSE))</f>
        <v>3481.201</v>
      </c>
      <c r="G103">
        <f ca="1">IF(AND($B$183=1,LEN($G$204)&gt;0),$G$204*1000,HLOOKUP(INDIRECT(ADDRESS(2,COLUMN())),OFFSET($BN$2,0,0,ROW()-1,60),ROW()-1,FALSE))</f>
        <v>2442.4810000000002</v>
      </c>
      <c r="H103">
        <f ca="1">IF(AND($B$183=1,LEN($H$204)&gt;0),$H$204*1000,HLOOKUP(INDIRECT(ADDRESS(2,COLUMN())),OFFSET($BN$2,0,0,ROW()-1,60),ROW()-1,FALSE))</f>
        <v>1791.797</v>
      </c>
      <c r="I103">
        <f ca="1">IF(AND($B$183=1,LEN($I$204)&gt;0),$I$204*1000,HLOOKUP(INDIRECT(ADDRESS(2,COLUMN())),OFFSET($BN$2,0,0,ROW()-1,60),ROW()-1,FALSE))</f>
        <v>1815.7739999999999</v>
      </c>
      <c r="J103">
        <f ca="1">IF(AND($B$183=1,LEN($J$204)&gt;0),$J$204*1000,HLOOKUP(INDIRECT(ADDRESS(2,COLUMN())),OFFSET($BN$2,0,0,ROW()-1,60),ROW()-1,FALSE))</f>
        <v>1359.627</v>
      </c>
      <c r="K103">
        <f ca="1">IF(AND($B$183=1,LEN($K$204)&gt;0),$K$204*1000,HLOOKUP(INDIRECT(ADDRESS(2,COLUMN())),OFFSET($BN$2,0,0,ROW()-1,60),ROW()-1,FALSE))</f>
        <v>5137.1899999999996</v>
      </c>
      <c r="L103">
        <f ca="1">IF(AND($B$183=1,LEN($L$204)&gt;0),$L$204*1000,HLOOKUP(INDIRECT(ADDRESS(2,COLUMN())),OFFSET($BN$2,0,0,ROW()-1,60),ROW()-1,FALSE))</f>
        <v>4196.3590000000004</v>
      </c>
      <c r="M103">
        <f ca="1">IF(AND($B$183=1,LEN($M$204)&gt;0),$M$204*1000,HLOOKUP(INDIRECT(ADDRESS(2,COLUMN())),OFFSET($BN$2,0,0,ROW()-1,60),ROW()-1,FALSE))</f>
        <v>4357.4139999999998</v>
      </c>
      <c r="N103">
        <f ca="1">IF(AND($B$183=1,LEN($N$204)&gt;0),$N$204*1000,HLOOKUP(INDIRECT(ADDRESS(2,COLUMN())),OFFSET($BN$2,0,0,ROW()-1,60),ROW()-1,FALSE))</f>
        <v>3327.2629999999999</v>
      </c>
      <c r="O103">
        <f ca="1">IF(AND($B$183=1,LEN($O$204)&gt;0),$O$204*1000,HLOOKUP(INDIRECT(ADDRESS(2,COLUMN())),OFFSET($BN$2,0,0,ROW()-1,60),ROW()-1,FALSE))</f>
        <v>3079.549</v>
      </c>
      <c r="P103">
        <f ca="1">IF(AND($B$183=1,LEN($P$204)&gt;0),$P$204*1000,HLOOKUP(INDIRECT(ADDRESS(2,COLUMN())),OFFSET($BN$2,0,0,ROW()-1,60),ROW()-1,FALSE))</f>
        <v>1945.999</v>
      </c>
      <c r="Q103">
        <f ca="1">IF(AND($B$183=1,LEN($Q$204)&gt;0),$Q$204*1000,HLOOKUP(INDIRECT(ADDRESS(2,COLUMN())),OFFSET($BN$2,0,0,ROW()-1,60),ROW()-1,FALSE))</f>
        <v>1094.021</v>
      </c>
      <c r="R103">
        <f ca="1">IF(AND($B$183=1,LEN($R$204)&gt;0),$R$204*1000,HLOOKUP(INDIRECT(ADDRESS(2,COLUMN())),OFFSET($BN$2,0,0,ROW()-1,60),ROW()-1,FALSE))</f>
        <v>6330.97</v>
      </c>
      <c r="S103">
        <f ca="1">IF(AND($B$183=1,LEN($S$204)&gt;0),$S$204*1000,HLOOKUP(INDIRECT(ADDRESS(2,COLUMN())),OFFSET($BN$2,0,0,ROW()-1,60),ROW()-1,FALSE))</f>
        <v>1727.183</v>
      </c>
      <c r="T103">
        <f ca="1">IF(AND($B$183=1,LEN($T$204)&gt;0),$T$204*1000,HLOOKUP(INDIRECT(ADDRESS(2,COLUMN())),OFFSET($BN$2,0,0,ROW()-1,60),ROW()-1,FALSE))</f>
        <v>869.447</v>
      </c>
      <c r="U103">
        <f ca="1">IF(AND($B$183=1,LEN($U$204)&gt;0),$U$204*1000,HLOOKUP(INDIRECT(ADDRESS(2,COLUMN())),OFFSET($BN$2,0,0,ROW()-1,60),ROW()-1,FALSE))</f>
        <v>1262.499</v>
      </c>
      <c r="V103">
        <f ca="1">IF(AND($B$183=1,LEN($V$204)&gt;0),$V$204*1000,HLOOKUP(INDIRECT(ADDRESS(2,COLUMN())),OFFSET($BN$2,0,0,ROW()-1,60),ROW()-1,FALSE))</f>
        <v>2428.52</v>
      </c>
      <c r="W103">
        <f ca="1">IF(AND($B$183=1,LEN($W$204)&gt;0),$W$204*1000,HLOOKUP(INDIRECT(ADDRESS(2,COLUMN())),OFFSET($BN$2,0,0,ROW()-1,60),ROW()-1,FALSE))</f>
        <v>930.94399999999996</v>
      </c>
      <c r="X103">
        <f ca="1">IF(AND($B$183=1,LEN($X$204)&gt;0),$X$204*1000,HLOOKUP(INDIRECT(ADDRESS(2,COLUMN())),OFFSET($BN$2,0,0,ROW()-1,60),ROW()-1,FALSE))</f>
        <v>1352.7180000000001</v>
      </c>
      <c r="Y103">
        <f ca="1">IF(AND($B$183=1,LEN($Y$204)&gt;0),$Y$204*1000,HLOOKUP(INDIRECT(ADDRESS(2,COLUMN())),OFFSET($BN$2,0,0,ROW()-1,60),ROW()-1,FALSE))</f>
        <v>354.43200000000002</v>
      </c>
      <c r="Z103">
        <f ca="1">IF(AND($B$183=1,LEN($Z$204)&gt;0),$Z$204*1000,HLOOKUP(INDIRECT(ADDRESS(2,COLUMN())),OFFSET($BN$2,0,0,ROW()-1,60),ROW()-1,FALSE))</f>
        <v>1434.434</v>
      </c>
      <c r="AA103">
        <f ca="1">IF(AND($B$183=1,LEN($AA$204)&gt;0),$AA$204*1000,HLOOKUP(INDIRECT(ADDRESS(2,COLUMN())),OFFSET($BN$2,0,0,ROW()-1,60),ROW()-1,FALSE))</f>
        <v>1384.979</v>
      </c>
      <c r="AB103">
        <f ca="1">IF(AND($B$183=1,LEN($AB$204)&gt;0),$AB$204*1000,HLOOKUP(INDIRECT(ADDRESS(2,COLUMN())),OFFSET($BN$2,0,0,ROW()-1,60),ROW()-1,FALSE))</f>
        <v>1189.6189999999999</v>
      </c>
      <c r="AC103">
        <f ca="1">IF(AND($B$183=1,LEN($AC$204)&gt;0),$AC$204*1000,HLOOKUP(INDIRECT(ADDRESS(2,COLUMN())),OFFSET($BN$2,0,0,ROW()-1,60),ROW()-1,FALSE))</f>
        <v>987.58900000000006</v>
      </c>
      <c r="AD103">
        <f ca="1">IF(AND($B$183=1,LEN($AD$204)&gt;0),$AD$204*1000,HLOOKUP(INDIRECT(ADDRESS(2,COLUMN())),OFFSET($BN$2,0,0,ROW()-1,60),ROW()-1,FALSE))</f>
        <v>1485.605</v>
      </c>
      <c r="AE103">
        <f ca="1">IF(AND($B$183=1,LEN($AE$204)&gt;0),$AE$204*1000,HLOOKUP(INDIRECT(ADDRESS(2,COLUMN())),OFFSET($BN$2,0,0,ROW()-1,60),ROW()-1,FALSE))</f>
        <v>798.03200000000004</v>
      </c>
      <c r="AF103">
        <f ca="1">IF(AND($B$183=1,LEN($AF$204)&gt;0),$AF$204*1000,HLOOKUP(INDIRECT(ADDRESS(2,COLUMN())),OFFSET($BN$2,0,0,ROW()-1,60),ROW()-1,FALSE))</f>
        <v>872.09199999999998</v>
      </c>
      <c r="AG103">
        <f ca="1">IF(AND($B$183=1,LEN($AG$204)&gt;0),$AG$204*1000,HLOOKUP(INDIRECT(ADDRESS(2,COLUMN())),OFFSET($BN$2,0,0,ROW()-1,60),ROW()-1,FALSE))</f>
        <v>187.52699999999999</v>
      </c>
      <c r="AH103">
        <f ca="1">IF(AND($B$183=1,LEN($AH$204)&gt;0),$AH$204*1000,HLOOKUP(INDIRECT(ADDRESS(2,COLUMN())),OFFSET($BN$2,0,0,ROW()-1,60),ROW()-1,FALSE))</f>
        <v>786.36900000000003</v>
      </c>
      <c r="AI103">
        <f ca="1">IF(AND($B$183=1,LEN($AI$204)&gt;0),$AI$204*1000,HLOOKUP(INDIRECT(ADDRESS(2,COLUMN())),OFFSET($BN$2,0,0,ROW()-1,60),ROW()-1,FALSE))</f>
        <v>450.11</v>
      </c>
      <c r="AJ103">
        <f ca="1">IF(AND($B$183=1,LEN($AJ$204)&gt;0),$AJ$204*1000,HLOOKUP(INDIRECT(ADDRESS(2,COLUMN())),OFFSET($BN$2,0,0,ROW()-1,60),ROW()-1,FALSE))</f>
        <v>1556.8879999999999</v>
      </c>
      <c r="AK103">
        <f ca="1">IF(AND($B$183=1,LEN($AK$204)&gt;0),$AK$204*1000,HLOOKUP(INDIRECT(ADDRESS(2,COLUMN())),OFFSET($BN$2,0,0,ROW()-1,60),ROW()-1,FALSE))</f>
        <v>143.51</v>
      </c>
      <c r="AL103">
        <f ca="1">IF(AND($B$183=1,LEN($AL$204)&gt;0),$AL$204*1000,HLOOKUP(INDIRECT(ADDRESS(2,COLUMN())),OFFSET($BN$2,0,0,ROW()-1,60),ROW()-1,FALSE))</f>
        <v>320.61099999999999</v>
      </c>
      <c r="AM103">
        <f ca="1">IF(AND($B$183=1,LEN($AM$204)&gt;0),$AM$204*1000,HLOOKUP(INDIRECT(ADDRESS(2,COLUMN())),OFFSET($BN$2,0,0,ROW()-1,60),ROW()-1,FALSE))</f>
        <v>189.43199999999999</v>
      </c>
      <c r="AN103">
        <f ca="1">IF(AND($B$183=1,LEN($AN$204)&gt;0),$AN$204*1000,HLOOKUP(INDIRECT(ADDRESS(2,COLUMN())),OFFSET($BN$2,0,0,ROW()-1,60),ROW()-1,FALSE))</f>
        <v>432.613</v>
      </c>
      <c r="AO103">
        <f ca="1">IF(AND($B$183=1,LEN($AO$204)&gt;0),$AO$204*1000,HLOOKUP(INDIRECT(ADDRESS(2,COLUMN())),OFFSET($BN$2,0,0,ROW()-1,60),ROW()-1,FALSE))</f>
        <v>303.71600000000001</v>
      </c>
      <c r="AP103">
        <f ca="1">IF(AND($B$183=1,LEN($AP$204)&gt;0),$AP$204*1000,HLOOKUP(INDIRECT(ADDRESS(2,COLUMN())),OFFSET($BN$2,0,0,ROW()-1,60),ROW()-1,FALSE))</f>
        <v>920.08299999999997</v>
      </c>
      <c r="AQ103">
        <f ca="1">IF(AND($B$183=1,LEN($AQ$204)&gt;0),$AQ$204*1000,HLOOKUP(INDIRECT(ADDRESS(2,COLUMN())),OFFSET($BN$2,0,0,ROW()-1,60),ROW()-1,FALSE))</f>
        <v>243.37299999999999</v>
      </c>
      <c r="AR103">
        <f ca="1">IF(AND($B$183=1,LEN($AR$204)&gt;0),$AR$204*1000,HLOOKUP(INDIRECT(ADDRESS(2,COLUMN())),OFFSET($BN$2,0,0,ROW()-1,60),ROW()-1,FALSE))</f>
        <v>500.10500000000002</v>
      </c>
      <c r="AS103">
        <f ca="1">IF(AND($B$183=1,LEN($AS$204)&gt;0),$AS$204*1000,HLOOKUP(INDIRECT(ADDRESS(2,COLUMN())),OFFSET($BN$2,0,0,ROW()-1,60),ROW()-1,FALSE))</f>
        <v>502.1</v>
      </c>
      <c r="AT103">
        <f ca="1">IF(AND($B$183=1,LEN($AT$204)&gt;0),$AT$204*1000,HLOOKUP(INDIRECT(ADDRESS(2,COLUMN())),OFFSET($BN$2,0,0,ROW()-1,60),ROW()-1,FALSE))</f>
        <v>715.92399999999998</v>
      </c>
      <c r="AU103">
        <f ca="1">IF(AND($B$183=1,LEN($AU$204)&gt;0),$AU$204*1000,HLOOKUP(INDIRECT(ADDRESS(2,COLUMN())),OFFSET($BN$2,0,0,ROW()-1,60),ROW()-1,FALSE))</f>
        <v>956.36099999999999</v>
      </c>
      <c r="AV103">
        <f ca="1">IF(AND($B$183=1,LEN($AV$204)&gt;0),$AV$204*1000,HLOOKUP(INDIRECT(ADDRESS(2,COLUMN())),OFFSET($BN$2,0,0,ROW()-1,60),ROW()-1,FALSE))</f>
        <v>1111.5899999999999</v>
      </c>
      <c r="AW103">
        <f ca="1">IF(AND($B$183=1,LEN($AW$204)&gt;0),$AW$204*1000,HLOOKUP(INDIRECT(ADDRESS(2,COLUMN())),OFFSET($BN$2,0,0,ROW()-1,60),ROW()-1,FALSE))</f>
        <v>2574.1709999999998</v>
      </c>
      <c r="AX103">
        <f ca="1">IF(AND($B$183=1,LEN($AX$204)&gt;0),$AX$204*1000,HLOOKUP(INDIRECT(ADDRESS(2,COLUMN())),OFFSET($BN$2,0,0,ROW()-1,60),ROW()-1,FALSE))</f>
        <v>3407.8449999999998</v>
      </c>
      <c r="AY103">
        <f ca="1">IF(AND($B$183=1,LEN($AY$204)&gt;0),$AY$204*1000,HLOOKUP(INDIRECT(ADDRESS(2,COLUMN())),OFFSET($BN$2,0,0,ROW()-1,60),ROW()-1,FALSE))</f>
        <v>1112.4469999999999</v>
      </c>
      <c r="AZ103">
        <f ca="1">IF(AND($B$183=1,LEN($AZ$204)&gt;0),$AZ$204*1000,HLOOKUP(INDIRECT(ADDRESS(2,COLUMN())),OFFSET($BN$2,0,0,ROW()-1,60),ROW()-1,FALSE))</f>
        <v>2125.0790000000002</v>
      </c>
      <c r="BA103">
        <f ca="1">IF(AND($B$183=1,LEN($BA$204)&gt;0),$BA$204*1000,HLOOKUP(INDIRECT(ADDRESS(2,COLUMN())),OFFSET($BN$2,0,0,ROW()-1,60),ROW()-1,FALSE))</f>
        <v>918.721</v>
      </c>
      <c r="BB103">
        <f ca="1">IF(AND($B$183=1,LEN($BB$204)&gt;0),$BB$204*1000,HLOOKUP(INDIRECT(ADDRESS(2,COLUMN())),OFFSET($BN$2,0,0,ROW()-1,60),ROW()-1,FALSE))</f>
        <v>2911.5360000000001</v>
      </c>
      <c r="BC103">
        <f ca="1">IF(AND($B$183=1,LEN($BC$204)&gt;0),$BC$204*1000,HLOOKUP(INDIRECT(ADDRESS(2,COLUMN())),OFFSET($BN$2,0,0,ROW()-1,60),ROW()-1,FALSE))</f>
        <v>2049.7849999999999</v>
      </c>
      <c r="BD103">
        <f ca="1">IF(AND($B$183=1,LEN($BD$204)&gt;0),$BD$204*1000,HLOOKUP(INDIRECT(ADDRESS(2,COLUMN())),OFFSET($BN$2,0,0,ROW()-1,60),ROW()-1,FALSE))</f>
        <v>2292.0320000000002</v>
      </c>
      <c r="BE103">
        <f ca="1">IF(AND($B$183=1,LEN($BE$204)&gt;0),$BE$204*1000,HLOOKUP(INDIRECT(ADDRESS(2,COLUMN())),OFFSET($BN$2,0,0,ROW()-1,60),ROW()-1,FALSE))</f>
        <v>765.63499999999999</v>
      </c>
      <c r="BF103">
        <f ca="1">IF(AND($B$183=1,LEN($BF$204)&gt;0),$BF$204*1000,HLOOKUP(INDIRECT(ADDRESS(2,COLUMN())),OFFSET($BN$2,0,0,ROW()-1,60),ROW()-1,FALSE))</f>
        <v>1319.269</v>
      </c>
      <c r="BG103">
        <f ca="1">IF(AND($B$183=1,LEN($BG$204)&gt;0),$BG$204*1000,HLOOKUP(INDIRECT(ADDRESS(2,COLUMN())),OFFSET($BN$2,0,0,ROW()-1,60),ROW()-1,FALSE))</f>
        <v>681.99</v>
      </c>
      <c r="BH103">
        <f ca="1">IF(AND($B$183=1,LEN($BH$204)&gt;0),$BH$204*1000,HLOOKUP(INDIRECT(ADDRESS(2,COLUMN())),OFFSET($BN$2,0,0,ROW()-1,60),ROW()-1,FALSE))</f>
        <v>695.28599999999994</v>
      </c>
      <c r="BI103">
        <f ca="1">IF(AND($B$183=1,LEN($BI$204)&gt;0),$BI$204*1000,HLOOKUP(INDIRECT(ADDRESS(2,COLUMN())),OFFSET($BN$2,0,0,ROW()-1,60),ROW()-1,FALSE))</f>
        <v>404.26299999999998</v>
      </c>
      <c r="BJ103">
        <f ca="1">IF(AND($B$183=1,LEN($BJ$204)&gt;0),$BJ$204*1000,HLOOKUP(INDIRECT(ADDRESS(2,COLUMN())),OFFSET($BN$2,0,0,ROW()-1,60),ROW()-1,FALSE))</f>
        <v>569.375</v>
      </c>
      <c r="BK103">
        <f ca="1">IF(AND($B$183=1,LEN($BK$204)&gt;0),$BK$204*1000,HLOOKUP(INDIRECT(ADDRESS(2,COLUMN())),OFFSET($BN$2,0,0,ROW()-1,60),ROW()-1,FALSE))</f>
        <v>133.66200000000001</v>
      </c>
      <c r="BL103">
        <f ca="1">IF(AND($B$183=1,LEN($BL$204)&gt;0),$BL$204*1000,HLOOKUP(INDIRECT(ADDRESS(2,COLUMN())),OFFSET($BN$2,0,0,ROW()-1,60),ROW()-1,FALSE))</f>
        <v>31.085000000000001</v>
      </c>
      <c r="BM103">
        <f ca="1">IF(AND($B$183=1,LEN($BM$204)&gt;0),$BM$204*1000,HLOOKUP(INDIRECT(ADDRESS(2,COLUMN())),OFFSET($BN$2,0,0,ROW()-1,60),ROW()-1,FALSE))</f>
        <v>561.96699999999998</v>
      </c>
      <c r="BN103">
        <f>3481.201</f>
        <v>3481.201</v>
      </c>
      <c r="BO103">
        <f>2442.481</f>
        <v>2442.4810000000002</v>
      </c>
      <c r="BP103">
        <f>1791.797</f>
        <v>1791.797</v>
      </c>
      <c r="BQ103">
        <f>1815.774</f>
        <v>1815.7739999999999</v>
      </c>
      <c r="BR103">
        <f>1359.627</f>
        <v>1359.627</v>
      </c>
      <c r="BS103">
        <f>5137.19</f>
        <v>5137.1899999999996</v>
      </c>
      <c r="BT103">
        <f>4196.359</f>
        <v>4196.3590000000004</v>
      </c>
      <c r="BU103">
        <f>4357.414</f>
        <v>4357.4139999999998</v>
      </c>
      <c r="BV103">
        <f>3327.263</f>
        <v>3327.2629999999999</v>
      </c>
      <c r="BW103">
        <f>3079.549</f>
        <v>3079.549</v>
      </c>
      <c r="BX103">
        <f>1945.999</f>
        <v>1945.999</v>
      </c>
      <c r="BY103">
        <f>1094.021</f>
        <v>1094.021</v>
      </c>
      <c r="BZ103">
        <f>6330.97</f>
        <v>6330.97</v>
      </c>
      <c r="CA103">
        <f>1727.183</f>
        <v>1727.183</v>
      </c>
      <c r="CB103">
        <f>869.447</f>
        <v>869.447</v>
      </c>
      <c r="CC103">
        <f>1262.499</f>
        <v>1262.499</v>
      </c>
      <c r="CD103">
        <f>2428.52</f>
        <v>2428.52</v>
      </c>
      <c r="CE103">
        <f>930.944</f>
        <v>930.94399999999996</v>
      </c>
      <c r="CF103">
        <f>1352.718</f>
        <v>1352.7180000000001</v>
      </c>
      <c r="CG103">
        <f>354.432</f>
        <v>354.43200000000002</v>
      </c>
      <c r="CH103">
        <f>1434.434</f>
        <v>1434.434</v>
      </c>
      <c r="CI103">
        <f>1384.979</f>
        <v>1384.979</v>
      </c>
      <c r="CJ103">
        <f>1189.619</f>
        <v>1189.6189999999999</v>
      </c>
      <c r="CK103">
        <f>987.589</f>
        <v>987.58900000000006</v>
      </c>
      <c r="CL103">
        <f>1485.605</f>
        <v>1485.605</v>
      </c>
      <c r="CM103">
        <f>798.032</f>
        <v>798.03200000000004</v>
      </c>
      <c r="CN103">
        <f>872.092</f>
        <v>872.09199999999998</v>
      </c>
      <c r="CO103">
        <f>187.527</f>
        <v>187.52699999999999</v>
      </c>
      <c r="CP103">
        <f>786.369</f>
        <v>786.36900000000003</v>
      </c>
      <c r="CQ103">
        <f>450.11</f>
        <v>450.11</v>
      </c>
      <c r="CR103">
        <f>1556.888</f>
        <v>1556.8879999999999</v>
      </c>
      <c r="CS103">
        <f>143.51</f>
        <v>143.51</v>
      </c>
      <c r="CT103">
        <f>320.611</f>
        <v>320.61099999999999</v>
      </c>
      <c r="CU103">
        <f>189.432</f>
        <v>189.43199999999999</v>
      </c>
      <c r="CV103">
        <f>432.613</f>
        <v>432.613</v>
      </c>
      <c r="CW103">
        <f>303.716</f>
        <v>303.71600000000001</v>
      </c>
      <c r="CX103">
        <f>920.083</f>
        <v>920.08299999999997</v>
      </c>
      <c r="CY103">
        <f>243.373</f>
        <v>243.37299999999999</v>
      </c>
      <c r="CZ103">
        <f>500.105</f>
        <v>500.10500000000002</v>
      </c>
      <c r="DA103">
        <f>502.1</f>
        <v>502.1</v>
      </c>
      <c r="DB103">
        <f>715.924</f>
        <v>715.92399999999998</v>
      </c>
      <c r="DC103">
        <f>956.361</f>
        <v>956.36099999999999</v>
      </c>
      <c r="DD103">
        <f>1111.59</f>
        <v>1111.5899999999999</v>
      </c>
      <c r="DE103">
        <f>2574.171</f>
        <v>2574.1709999999998</v>
      </c>
      <c r="DF103">
        <f>3407.845</f>
        <v>3407.8449999999998</v>
      </c>
      <c r="DG103">
        <f>1112.447</f>
        <v>1112.4469999999999</v>
      </c>
      <c r="DH103">
        <f>2125.079</f>
        <v>2125.0790000000002</v>
      </c>
      <c r="DI103">
        <f>918.721</f>
        <v>918.721</v>
      </c>
      <c r="DJ103">
        <f>2911.536</f>
        <v>2911.5360000000001</v>
      </c>
      <c r="DK103">
        <f>2049.785</f>
        <v>2049.7849999999999</v>
      </c>
      <c r="DL103">
        <f>2292.032</f>
        <v>2292.0320000000002</v>
      </c>
      <c r="DM103">
        <f>765.635</f>
        <v>765.63499999999999</v>
      </c>
      <c r="DN103">
        <f>1319.269</f>
        <v>1319.269</v>
      </c>
      <c r="DO103">
        <f>681.99</f>
        <v>681.99</v>
      </c>
      <c r="DP103">
        <f>695.286</f>
        <v>695.28599999999994</v>
      </c>
      <c r="DQ103">
        <f>404.263</f>
        <v>404.26299999999998</v>
      </c>
      <c r="DR103">
        <f>569.375</f>
        <v>569.375</v>
      </c>
      <c r="DS103">
        <f>133.662</f>
        <v>133.66200000000001</v>
      </c>
      <c r="DT103">
        <f>31.085</f>
        <v>31.085000000000001</v>
      </c>
      <c r="DU103">
        <f>561.967</f>
        <v>561.96699999999998</v>
      </c>
    </row>
    <row r="104" spans="1:125">
      <c r="A104" t="str">
        <f>"    Industrial REITs"</f>
        <v xml:space="preserve">    Industrial REITs</v>
      </c>
      <c r="B104" t="str">
        <f>"RECFDSIN Index"</f>
        <v>RECFDSIN Index</v>
      </c>
      <c r="E104" t="str">
        <f t="shared" si="24"/>
        <v>Expression</v>
      </c>
      <c r="F104">
        <f ca="1">IF(AND($B$183=1,LEN($F$205)&gt;0),$F$205*1000,HLOOKUP(INDIRECT(ADDRESS(2,COLUMN())),OFFSET($BN$2,0,0,ROW()-1,60),ROW()-1,FALSE))</f>
        <v>1687.569</v>
      </c>
      <c r="G104">
        <f ca="1">IF(AND($B$183=1,LEN($G$205)&gt;0),$G$205*1000,HLOOKUP(INDIRECT(ADDRESS(2,COLUMN())),OFFSET($BN$2,0,0,ROW()-1,60),ROW()-1,FALSE))</f>
        <v>803.17100000000005</v>
      </c>
      <c r="H104">
        <f ca="1">IF(AND($B$183=1,LEN($H$205)&gt;0),$H$205*1000,HLOOKUP(INDIRECT(ADDRESS(2,COLUMN())),OFFSET($BN$2,0,0,ROW()-1,60),ROW()-1,FALSE))</f>
        <v>3293.2460000000001</v>
      </c>
      <c r="I104">
        <f ca="1">IF(AND($B$183=1,LEN($I$205)&gt;0),$I$205*1000,HLOOKUP(INDIRECT(ADDRESS(2,COLUMN())),OFFSET($BN$2,0,0,ROW()-1,60),ROW()-1,FALSE))</f>
        <v>364.00799999999998</v>
      </c>
      <c r="J104">
        <f ca="1">IF(AND($B$183=1,LEN($J$205)&gt;0),$J$205*1000,HLOOKUP(INDIRECT(ADDRESS(2,COLUMN())),OFFSET($BN$2,0,0,ROW()-1,60),ROW()-1,FALSE))</f>
        <v>1878.9349999999999</v>
      </c>
      <c r="K104">
        <f ca="1">IF(AND($B$183=1,LEN($K$205)&gt;0),$K$205*1000,HLOOKUP(INDIRECT(ADDRESS(2,COLUMN())),OFFSET($BN$2,0,0,ROW()-1,60),ROW()-1,FALSE))</f>
        <v>917.43899999999996</v>
      </c>
      <c r="L104">
        <f ca="1">IF(AND($B$183=1,LEN($L$205)&gt;0),$L$205*1000,HLOOKUP(INDIRECT(ADDRESS(2,COLUMN())),OFFSET($BN$2,0,0,ROW()-1,60),ROW()-1,FALSE))</f>
        <v>1127.3520000000001</v>
      </c>
      <c r="M104">
        <f ca="1">IF(AND($B$183=1,LEN($M$205)&gt;0),$M$205*1000,HLOOKUP(INDIRECT(ADDRESS(2,COLUMN())),OFFSET($BN$2,0,0,ROW()-1,60),ROW()-1,FALSE))</f>
        <v>812.69500000000005</v>
      </c>
      <c r="N104">
        <f ca="1">IF(AND($B$183=1,LEN($N$205)&gt;0),$N$205*1000,HLOOKUP(INDIRECT(ADDRESS(2,COLUMN())),OFFSET($BN$2,0,0,ROW()-1,60),ROW()-1,FALSE))</f>
        <v>1502.346</v>
      </c>
      <c r="O104">
        <f ca="1">IF(AND($B$183=1,LEN($O$205)&gt;0),$O$205*1000,HLOOKUP(INDIRECT(ADDRESS(2,COLUMN())),OFFSET($BN$2,0,0,ROW()-1,60),ROW()-1,FALSE))</f>
        <v>980.95799999999997</v>
      </c>
      <c r="P104">
        <f ca="1">IF(AND($B$183=1,LEN($P$205)&gt;0),$P$205*1000,HLOOKUP(INDIRECT(ADDRESS(2,COLUMN())),OFFSET($BN$2,0,0,ROW()-1,60),ROW()-1,FALSE))</f>
        <v>1807.7750000000001</v>
      </c>
      <c r="Q104">
        <f ca="1">IF(AND($B$183=1,LEN($Q$205)&gt;0),$Q$205*1000,HLOOKUP(INDIRECT(ADDRESS(2,COLUMN())),OFFSET($BN$2,0,0,ROW()-1,60),ROW()-1,FALSE))</f>
        <v>824.19500000000005</v>
      </c>
      <c r="R104">
        <f ca="1">IF(AND($B$183=1,LEN($R$205)&gt;0),$R$205*1000,HLOOKUP(INDIRECT(ADDRESS(2,COLUMN())),OFFSET($BN$2,0,0,ROW()-1,60),ROW()-1,FALSE))</f>
        <v>1397.99</v>
      </c>
      <c r="S104">
        <f ca="1">IF(AND($B$183=1,LEN($S$205)&gt;0),$S$205*1000,HLOOKUP(INDIRECT(ADDRESS(2,COLUMN())),OFFSET($BN$2,0,0,ROW()-1,60),ROW()-1,FALSE))</f>
        <v>721.43299999999999</v>
      </c>
      <c r="T104">
        <f ca="1">IF(AND($B$183=1,LEN($T$205)&gt;0),$T$205*1000,HLOOKUP(INDIRECT(ADDRESS(2,COLUMN())),OFFSET($BN$2,0,0,ROW()-1,60),ROW()-1,FALSE))</f>
        <v>996.07399999999996</v>
      </c>
      <c r="U104">
        <f ca="1">IF(AND($B$183=1,LEN($U$205)&gt;0),$U$205*1000,HLOOKUP(INDIRECT(ADDRESS(2,COLUMN())),OFFSET($BN$2,0,0,ROW()-1,60),ROW()-1,FALSE))</f>
        <v>565.15200000000004</v>
      </c>
      <c r="V104">
        <f ca="1">IF(AND($B$183=1,LEN($V$205)&gt;0),$V$205*1000,HLOOKUP(INDIRECT(ADDRESS(2,COLUMN())),OFFSET($BN$2,0,0,ROW()-1,60),ROW()-1,FALSE))</f>
        <v>1480.3689999999999</v>
      </c>
      <c r="W104">
        <f ca="1">IF(AND($B$183=1,LEN($W$205)&gt;0),$W$205*1000,HLOOKUP(INDIRECT(ADDRESS(2,COLUMN())),OFFSET($BN$2,0,0,ROW()-1,60),ROW()-1,FALSE))</f>
        <v>665.17200000000003</v>
      </c>
      <c r="X104">
        <f ca="1">IF(AND($B$183=1,LEN($X$205)&gt;0),$X$205*1000,HLOOKUP(INDIRECT(ADDRESS(2,COLUMN())),OFFSET($BN$2,0,0,ROW()-1,60),ROW()-1,FALSE))</f>
        <v>797.47</v>
      </c>
      <c r="Y104">
        <f ca="1">IF(AND($B$183=1,LEN($Y$205)&gt;0),$Y$205*1000,HLOOKUP(INDIRECT(ADDRESS(2,COLUMN())),OFFSET($BN$2,0,0,ROW()-1,60),ROW()-1,FALSE))</f>
        <v>508.904</v>
      </c>
      <c r="Z104">
        <f ca="1">IF(AND($B$183=1,LEN($Z$205)&gt;0),$Z$205*1000,HLOOKUP(INDIRECT(ADDRESS(2,COLUMN())),OFFSET($BN$2,0,0,ROW()-1,60),ROW()-1,FALSE))</f>
        <v>1033.579</v>
      </c>
      <c r="AA104">
        <f ca="1">IF(AND($B$183=1,LEN($AA$205)&gt;0),$AA$205*1000,HLOOKUP(INDIRECT(ADDRESS(2,COLUMN())),OFFSET($BN$2,0,0,ROW()-1,60),ROW()-1,FALSE))</f>
        <v>234.131</v>
      </c>
      <c r="AB104">
        <f ca="1">IF(AND($B$183=1,LEN($AB$205)&gt;0),$AB$205*1000,HLOOKUP(INDIRECT(ADDRESS(2,COLUMN())),OFFSET($BN$2,0,0,ROW()-1,60),ROW()-1,FALSE))</f>
        <v>450.608</v>
      </c>
      <c r="AC104">
        <f ca="1">IF(AND($B$183=1,LEN($AC$205)&gt;0),$AC$205*1000,HLOOKUP(INDIRECT(ADDRESS(2,COLUMN())),OFFSET($BN$2,0,0,ROW()-1,60),ROW()-1,FALSE))</f>
        <v>1059.0889999999999</v>
      </c>
      <c r="AD104">
        <f ca="1">IF(AND($B$183=1,LEN($AD$205)&gt;0),$AD$205*1000,HLOOKUP(INDIRECT(ADDRESS(2,COLUMN())),OFFSET($BN$2,0,0,ROW()-1,60),ROW()-1,FALSE))</f>
        <v>1593.972</v>
      </c>
      <c r="AE104">
        <f ca="1">IF(AND($B$183=1,LEN($AE$205)&gt;0),$AE$205*1000,HLOOKUP(INDIRECT(ADDRESS(2,COLUMN())),OFFSET($BN$2,0,0,ROW()-1,60),ROW()-1,FALSE))</f>
        <v>389.565</v>
      </c>
      <c r="AF104">
        <f ca="1">IF(AND($B$183=1,LEN($AF$205)&gt;0),$AF$205*1000,HLOOKUP(INDIRECT(ADDRESS(2,COLUMN())),OFFSET($BN$2,0,0,ROW()-1,60),ROW()-1,FALSE))</f>
        <v>473.12200000000001</v>
      </c>
      <c r="AG104">
        <f ca="1">IF(AND($B$183=1,LEN($AG$205)&gt;0),$AG$205*1000,HLOOKUP(INDIRECT(ADDRESS(2,COLUMN())),OFFSET($BN$2,0,0,ROW()-1,60),ROW()-1,FALSE))</f>
        <v>943.60400000000004</v>
      </c>
      <c r="AH104">
        <f ca="1">IF(AND($B$183=1,LEN($AH$205)&gt;0),$AH$205*1000,HLOOKUP(INDIRECT(ADDRESS(2,COLUMN())),OFFSET($BN$2,0,0,ROW()-1,60),ROW()-1,FALSE))</f>
        <v>1476.59</v>
      </c>
      <c r="AI104">
        <f ca="1">IF(AND($B$183=1,LEN($AI$205)&gt;0),$AI$205*1000,HLOOKUP(INDIRECT(ADDRESS(2,COLUMN())),OFFSET($BN$2,0,0,ROW()-1,60),ROW()-1,FALSE))</f>
        <v>443.41399999999999</v>
      </c>
      <c r="AJ104">
        <f ca="1">IF(AND($B$183=1,LEN($AJ$205)&gt;0),$AJ$205*1000,HLOOKUP(INDIRECT(ADDRESS(2,COLUMN())),OFFSET($BN$2,0,0,ROW()-1,60),ROW()-1,FALSE))</f>
        <v>146.49100000000001</v>
      </c>
      <c r="AK104">
        <f ca="1">IF(AND($B$183=1,LEN($AK$205)&gt;0),$AK$205*1000,HLOOKUP(INDIRECT(ADDRESS(2,COLUMN())),OFFSET($BN$2,0,0,ROW()-1,60),ROW()-1,FALSE))</f>
        <v>276.76</v>
      </c>
      <c r="AL104">
        <f ca="1">IF(AND($B$183=1,LEN($AL$205)&gt;0),$AL$205*1000,HLOOKUP(INDIRECT(ADDRESS(2,COLUMN())),OFFSET($BN$2,0,0,ROW()-1,60),ROW()-1,FALSE))</f>
        <v>620.74599999999998</v>
      </c>
      <c r="AM104">
        <f ca="1">IF(AND($B$183=1,LEN($AM$205)&gt;0),$AM$205*1000,HLOOKUP(INDIRECT(ADDRESS(2,COLUMN())),OFFSET($BN$2,0,0,ROW()-1,60),ROW()-1,FALSE))</f>
        <v>338.55599999999998</v>
      </c>
      <c r="AN104">
        <f ca="1">IF(AND($B$183=1,LEN($AN$205)&gt;0),$AN$205*1000,HLOOKUP(INDIRECT(ADDRESS(2,COLUMN())),OFFSET($BN$2,0,0,ROW()-1,60),ROW()-1,FALSE))</f>
        <v>1039.9760000000001</v>
      </c>
      <c r="AO104">
        <f ca="1">IF(AND($B$183=1,LEN($AO$205)&gt;0),$AO$205*1000,HLOOKUP(INDIRECT(ADDRESS(2,COLUMN())),OFFSET($BN$2,0,0,ROW()-1,60),ROW()-1,FALSE))</f>
        <v>1646.4939999999999</v>
      </c>
      <c r="AP104">
        <f ca="1">IF(AND($B$183=1,LEN($AP$205)&gt;0),$AP$205*1000,HLOOKUP(INDIRECT(ADDRESS(2,COLUMN())),OFFSET($BN$2,0,0,ROW()-1,60),ROW()-1,FALSE))</f>
        <v>1524.308</v>
      </c>
      <c r="AQ104">
        <f ca="1">IF(AND($B$183=1,LEN($AQ$205)&gt;0),$AQ$205*1000,HLOOKUP(INDIRECT(ADDRESS(2,COLUMN())),OFFSET($BN$2,0,0,ROW()-1,60),ROW()-1,FALSE))</f>
        <v>1191.845</v>
      </c>
      <c r="AR104">
        <f ca="1">IF(AND($B$183=1,LEN($AR$205)&gt;0),$AR$205*1000,HLOOKUP(INDIRECT(ADDRESS(2,COLUMN())),OFFSET($BN$2,0,0,ROW()-1,60),ROW()-1,FALSE))</f>
        <v>1882.229</v>
      </c>
      <c r="AS104">
        <f ca="1">IF(AND($B$183=1,LEN($AS$205)&gt;0),$AS$205*1000,HLOOKUP(INDIRECT(ADDRESS(2,COLUMN())),OFFSET($BN$2,0,0,ROW()-1,60),ROW()-1,FALSE))</f>
        <v>1823.9970000000001</v>
      </c>
      <c r="AT104">
        <f ca="1">IF(AND($B$183=1,LEN($AT$205)&gt;0),$AT$205*1000,HLOOKUP(INDIRECT(ADDRESS(2,COLUMN())),OFFSET($BN$2,0,0,ROW()-1,60),ROW()-1,FALSE))</f>
        <v>1320.9369999999999</v>
      </c>
      <c r="AU104">
        <f ca="1">IF(AND($B$183=1,LEN($AU$205)&gt;0),$AU$205*1000,HLOOKUP(INDIRECT(ADDRESS(2,COLUMN())),OFFSET($BN$2,0,0,ROW()-1,60),ROW()-1,FALSE))</f>
        <v>4571.308</v>
      </c>
      <c r="AV104">
        <f ca="1">IF(AND($B$183=1,LEN($AV$205)&gt;0),$AV$205*1000,HLOOKUP(INDIRECT(ADDRESS(2,COLUMN())),OFFSET($BN$2,0,0,ROW()-1,60),ROW()-1,FALSE))</f>
        <v>2154.3240000000001</v>
      </c>
      <c r="AW104">
        <f ca="1">IF(AND($B$183=1,LEN($AW$205)&gt;0),$AW$205*1000,HLOOKUP(INDIRECT(ADDRESS(2,COLUMN())),OFFSET($BN$2,0,0,ROW()-1,60),ROW()-1,FALSE))</f>
        <v>1529.38</v>
      </c>
      <c r="AX104">
        <f ca="1">IF(AND($B$183=1,LEN($AX$205)&gt;0),$AX$205*1000,HLOOKUP(INDIRECT(ADDRESS(2,COLUMN())),OFFSET($BN$2,0,0,ROW()-1,60),ROW()-1,FALSE))</f>
        <v>1271.8889999999999</v>
      </c>
      <c r="AY104">
        <f ca="1">IF(AND($B$183=1,LEN($AY$205)&gt;0),$AY$205*1000,HLOOKUP(INDIRECT(ADDRESS(2,COLUMN())),OFFSET($BN$2,0,0,ROW()-1,60),ROW()-1,FALSE))</f>
        <v>935.16300000000001</v>
      </c>
      <c r="AZ104">
        <f ca="1">IF(AND($B$183=1,LEN($AZ$205)&gt;0),$AZ$205*1000,HLOOKUP(INDIRECT(ADDRESS(2,COLUMN())),OFFSET($BN$2,0,0,ROW()-1,60),ROW()-1,FALSE))</f>
        <v>1056.9090000000001</v>
      </c>
      <c r="BA104">
        <f ca="1">IF(AND($B$183=1,LEN($BA$205)&gt;0),$BA$205*1000,HLOOKUP(INDIRECT(ADDRESS(2,COLUMN())),OFFSET($BN$2,0,0,ROW()-1,60),ROW()-1,FALSE))</f>
        <v>1042.473</v>
      </c>
      <c r="BB104">
        <f ca="1">IF(AND($B$183=1,LEN($BB$205)&gt;0),$BB$205*1000,HLOOKUP(INDIRECT(ADDRESS(2,COLUMN())),OFFSET($BN$2,0,0,ROW()-1,60),ROW()-1,FALSE))</f>
        <v>1438.579</v>
      </c>
      <c r="BC104">
        <f ca="1">IF(AND($B$183=1,LEN($BC$205)&gt;0),$BC$205*1000,HLOOKUP(INDIRECT(ADDRESS(2,COLUMN())),OFFSET($BN$2,0,0,ROW()-1,60),ROW()-1,FALSE))</f>
        <v>2081.627</v>
      </c>
      <c r="BD104">
        <f ca="1">IF(AND($B$183=1,LEN($BD$205)&gt;0),$BD$205*1000,HLOOKUP(INDIRECT(ADDRESS(2,COLUMN())),OFFSET($BN$2,0,0,ROW()-1,60),ROW()-1,FALSE))</f>
        <v>833.96600000000001</v>
      </c>
      <c r="BE104">
        <f ca="1">IF(AND($B$183=1,LEN($BE$205)&gt;0),$BE$205*1000,HLOOKUP(INDIRECT(ADDRESS(2,COLUMN())),OFFSET($BN$2,0,0,ROW()-1,60),ROW()-1,FALSE))</f>
        <v>761.87199999999996</v>
      </c>
      <c r="BF104">
        <f ca="1">IF(AND($B$183=1,LEN($BF$205)&gt;0),$BF$205*1000,HLOOKUP(INDIRECT(ADDRESS(2,COLUMN())),OFFSET($BN$2,0,0,ROW()-1,60),ROW()-1,FALSE))</f>
        <v>506.137</v>
      </c>
      <c r="BG104">
        <f ca="1">IF(AND($B$183=1,LEN($BG$205)&gt;0),$BG$205*1000,HLOOKUP(INDIRECT(ADDRESS(2,COLUMN())),OFFSET($BN$2,0,0,ROW()-1,60),ROW()-1,FALSE))</f>
        <v>362.64699999999999</v>
      </c>
      <c r="BH104">
        <f ca="1">IF(AND($B$183=1,LEN($BH$205)&gt;0),$BH$205*1000,HLOOKUP(INDIRECT(ADDRESS(2,COLUMN())),OFFSET($BN$2,0,0,ROW()-1,60),ROW()-1,FALSE))</f>
        <v>146.773</v>
      </c>
      <c r="BI104">
        <f ca="1">IF(AND($B$183=1,LEN($BI$205)&gt;0),$BI$205*1000,HLOOKUP(INDIRECT(ADDRESS(2,COLUMN())),OFFSET($BN$2,0,0,ROW()-1,60),ROW()-1,FALSE))</f>
        <v>165.58500000000001</v>
      </c>
      <c r="BJ104">
        <f ca="1">IF(AND($B$183=1,LEN($BJ$205)&gt;0),$BJ$205*1000,HLOOKUP(INDIRECT(ADDRESS(2,COLUMN())),OFFSET($BN$2,0,0,ROW()-1,60),ROW()-1,FALSE))</f>
        <v>105.9</v>
      </c>
      <c r="BK104">
        <f ca="1">IF(AND($B$183=1,LEN($BK$205)&gt;0),$BK$205*1000,HLOOKUP(INDIRECT(ADDRESS(2,COLUMN())),OFFSET($BN$2,0,0,ROW()-1,60),ROW()-1,FALSE))</f>
        <v>138.1</v>
      </c>
      <c r="BL104">
        <f ca="1">IF(AND($B$183=1,LEN($BL$205)&gt;0),$BL$205*1000,HLOOKUP(INDIRECT(ADDRESS(2,COLUMN())),OFFSET($BN$2,0,0,ROW()-1,60),ROW()-1,FALSE))</f>
        <v>74.5</v>
      </c>
      <c r="BM104">
        <f ca="1">IF(AND($B$183=1,LEN($BM$205)&gt;0),$BM$205*1000,HLOOKUP(INDIRECT(ADDRESS(2,COLUMN())),OFFSET($BN$2,0,0,ROW()-1,60),ROW()-1,FALSE))</f>
        <v>64.400000000000006</v>
      </c>
      <c r="BN104">
        <f>1687.569</f>
        <v>1687.569</v>
      </c>
      <c r="BO104">
        <f>803.171</f>
        <v>803.17100000000005</v>
      </c>
      <c r="BP104">
        <f>3293.246</f>
        <v>3293.2460000000001</v>
      </c>
      <c r="BQ104">
        <f>364.008</f>
        <v>364.00799999999998</v>
      </c>
      <c r="BR104">
        <f>1878.935</f>
        <v>1878.9349999999999</v>
      </c>
      <c r="BS104">
        <f>917.439</f>
        <v>917.43899999999996</v>
      </c>
      <c r="BT104">
        <f>1127.352</f>
        <v>1127.3520000000001</v>
      </c>
      <c r="BU104">
        <f>812.695</f>
        <v>812.69500000000005</v>
      </c>
      <c r="BV104">
        <f>1502.346</f>
        <v>1502.346</v>
      </c>
      <c r="BW104">
        <f>980.958</f>
        <v>980.95799999999997</v>
      </c>
      <c r="BX104">
        <f>1807.775</f>
        <v>1807.7750000000001</v>
      </c>
      <c r="BY104">
        <f>824.195</f>
        <v>824.19500000000005</v>
      </c>
      <c r="BZ104">
        <f>1397.99</f>
        <v>1397.99</v>
      </c>
      <c r="CA104">
        <f>721.433</f>
        <v>721.43299999999999</v>
      </c>
      <c r="CB104">
        <f>996.074</f>
        <v>996.07399999999996</v>
      </c>
      <c r="CC104">
        <f>565.152</f>
        <v>565.15200000000004</v>
      </c>
      <c r="CD104">
        <f>1480.369</f>
        <v>1480.3689999999999</v>
      </c>
      <c r="CE104">
        <f>665.172</f>
        <v>665.17200000000003</v>
      </c>
      <c r="CF104">
        <f>797.47</f>
        <v>797.47</v>
      </c>
      <c r="CG104">
        <f>508.904</f>
        <v>508.904</v>
      </c>
      <c r="CH104">
        <f>1033.579</f>
        <v>1033.579</v>
      </c>
      <c r="CI104">
        <f>234.131</f>
        <v>234.131</v>
      </c>
      <c r="CJ104">
        <f>450.608</f>
        <v>450.608</v>
      </c>
      <c r="CK104">
        <f>1059.089</f>
        <v>1059.0889999999999</v>
      </c>
      <c r="CL104">
        <f>1593.972</f>
        <v>1593.972</v>
      </c>
      <c r="CM104">
        <f>389.565</f>
        <v>389.565</v>
      </c>
      <c r="CN104">
        <f>473.122</f>
        <v>473.12200000000001</v>
      </c>
      <c r="CO104">
        <f>943.604</f>
        <v>943.60400000000004</v>
      </c>
      <c r="CP104">
        <f>1476.59</f>
        <v>1476.59</v>
      </c>
      <c r="CQ104">
        <f>443.414</f>
        <v>443.41399999999999</v>
      </c>
      <c r="CR104">
        <f>146.491</f>
        <v>146.49100000000001</v>
      </c>
      <c r="CS104">
        <f>276.76</f>
        <v>276.76</v>
      </c>
      <c r="CT104">
        <f>620.746</f>
        <v>620.74599999999998</v>
      </c>
      <c r="CU104">
        <f>338.556</f>
        <v>338.55599999999998</v>
      </c>
      <c r="CV104">
        <f>1039.976</f>
        <v>1039.9760000000001</v>
      </c>
      <c r="CW104">
        <f>1646.494</f>
        <v>1646.4939999999999</v>
      </c>
      <c r="CX104">
        <f>1524.308</f>
        <v>1524.308</v>
      </c>
      <c r="CY104">
        <f>1191.845</f>
        <v>1191.845</v>
      </c>
      <c r="CZ104">
        <f>1882.229</f>
        <v>1882.229</v>
      </c>
      <c r="DA104">
        <f>1823.997</f>
        <v>1823.9970000000001</v>
      </c>
      <c r="DB104">
        <f>1320.937</f>
        <v>1320.9369999999999</v>
      </c>
      <c r="DC104">
        <f>4571.308</f>
        <v>4571.308</v>
      </c>
      <c r="DD104">
        <f>2154.324</f>
        <v>2154.3240000000001</v>
      </c>
      <c r="DE104">
        <f>1529.38</f>
        <v>1529.38</v>
      </c>
      <c r="DF104">
        <f>1271.889</f>
        <v>1271.8889999999999</v>
      </c>
      <c r="DG104">
        <f>935.163</f>
        <v>935.16300000000001</v>
      </c>
      <c r="DH104">
        <f>1056.909</f>
        <v>1056.9090000000001</v>
      </c>
      <c r="DI104">
        <f>1042.473</f>
        <v>1042.473</v>
      </c>
      <c r="DJ104">
        <f>1438.579</f>
        <v>1438.579</v>
      </c>
      <c r="DK104">
        <f>2081.627</f>
        <v>2081.627</v>
      </c>
      <c r="DL104">
        <f>833.966</f>
        <v>833.96600000000001</v>
      </c>
      <c r="DM104">
        <f>761.872</f>
        <v>761.87199999999996</v>
      </c>
      <c r="DN104">
        <f>506.137</f>
        <v>506.137</v>
      </c>
      <c r="DO104">
        <f>362.647</f>
        <v>362.64699999999999</v>
      </c>
      <c r="DP104">
        <f>146.773</f>
        <v>146.773</v>
      </c>
      <c r="DQ104">
        <f>165.585</f>
        <v>165.58500000000001</v>
      </c>
      <c r="DR104">
        <f>105.9</f>
        <v>105.9</v>
      </c>
      <c r="DS104">
        <f>138.1</f>
        <v>138.1</v>
      </c>
      <c r="DT104">
        <f>74.5</f>
        <v>74.5</v>
      </c>
      <c r="DU104">
        <f>64.4</f>
        <v>64.400000000000006</v>
      </c>
    </row>
    <row r="105" spans="1:125">
      <c r="A105" t="str">
        <f>"    Retail REITs"</f>
        <v xml:space="preserve">    Retail REITs</v>
      </c>
      <c r="B105" t="str">
        <f>"RECFDSRT Index"</f>
        <v>RECFDSRT Index</v>
      </c>
      <c r="E105" t="str">
        <f t="shared" si="24"/>
        <v>Expression</v>
      </c>
      <c r="F105">
        <f ca="1">IF(AND($B$183=1,LEN($F$206)&gt;0),$F$206*1000,HLOOKUP(INDIRECT(ADDRESS(2,COLUMN())),OFFSET($BN$2,0,0,ROW()-1,60),ROW()-1,FALSE))</f>
        <v>2255.9110000000001</v>
      </c>
      <c r="G105">
        <f ca="1">IF(AND($B$183=1,LEN($G$206)&gt;0),$G$206*1000,HLOOKUP(INDIRECT(ADDRESS(2,COLUMN())),OFFSET($BN$2,0,0,ROW()-1,60),ROW()-1,FALSE))</f>
        <v>1923.7070000000001</v>
      </c>
      <c r="H105">
        <f ca="1">IF(AND($B$183=1,LEN($H$206)&gt;0),$H$206*1000,HLOOKUP(INDIRECT(ADDRESS(2,COLUMN())),OFFSET($BN$2,0,0,ROW()-1,60),ROW()-1,FALSE))</f>
        <v>1979.6479999999999</v>
      </c>
      <c r="I105">
        <f ca="1">IF(AND($B$183=1,LEN($I$206)&gt;0),$I$206*1000,HLOOKUP(INDIRECT(ADDRESS(2,COLUMN())),OFFSET($BN$2,0,0,ROW()-1,60),ROW()-1,FALSE))</f>
        <v>1288.7159999999999</v>
      </c>
      <c r="J105">
        <f ca="1">IF(AND($B$183=1,LEN($J$206)&gt;0),$J$206*1000,HLOOKUP(INDIRECT(ADDRESS(2,COLUMN())),OFFSET($BN$2,0,0,ROW()-1,60),ROW()-1,FALSE))</f>
        <v>1791.838</v>
      </c>
      <c r="K105">
        <f ca="1">IF(AND($B$183=1,LEN($K$206)&gt;0),$K$206*1000,HLOOKUP(INDIRECT(ADDRESS(2,COLUMN())),OFFSET($BN$2,0,0,ROW()-1,60),ROW()-1,FALSE))</f>
        <v>2377.9050000000002</v>
      </c>
      <c r="L105">
        <f ca="1">IF(AND($B$183=1,LEN($L$206)&gt;0),$L$206*1000,HLOOKUP(INDIRECT(ADDRESS(2,COLUMN())),OFFSET($BN$2,0,0,ROW()-1,60),ROW()-1,FALSE))</f>
        <v>2066.817</v>
      </c>
      <c r="M105">
        <f ca="1">IF(AND($B$183=1,LEN($M$206)&gt;0),$M$206*1000,HLOOKUP(INDIRECT(ADDRESS(2,COLUMN())),OFFSET($BN$2,0,0,ROW()-1,60),ROW()-1,FALSE))</f>
        <v>3378.7080000000001</v>
      </c>
      <c r="N105">
        <f ca="1">IF(AND($B$183=1,LEN($N$206)&gt;0),$N$206*1000,HLOOKUP(INDIRECT(ADDRESS(2,COLUMN())),OFFSET($BN$2,0,0,ROW()-1,60),ROW()-1,FALSE))</f>
        <v>3585.2220000000002</v>
      </c>
      <c r="O105">
        <f ca="1">IF(AND($B$183=1,LEN($O$206)&gt;0),$O$206*1000,HLOOKUP(INDIRECT(ADDRESS(2,COLUMN())),OFFSET($BN$2,0,0,ROW()-1,60),ROW()-1,FALSE))</f>
        <v>1189.374</v>
      </c>
      <c r="P105">
        <f ca="1">IF(AND($B$183=1,LEN($P$206)&gt;0),$P$206*1000,HLOOKUP(INDIRECT(ADDRESS(2,COLUMN())),OFFSET($BN$2,0,0,ROW()-1,60),ROW()-1,FALSE))</f>
        <v>2776.634</v>
      </c>
      <c r="Q105">
        <f ca="1">IF(AND($B$183=1,LEN($Q$206)&gt;0),$Q$206*1000,HLOOKUP(INDIRECT(ADDRESS(2,COLUMN())),OFFSET($BN$2,0,0,ROW()-1,60),ROW()-1,FALSE))</f>
        <v>3122.4110000000001</v>
      </c>
      <c r="R105">
        <f ca="1">IF(AND($B$183=1,LEN($R$206)&gt;0),$R$206*1000,HLOOKUP(INDIRECT(ADDRESS(2,COLUMN())),OFFSET($BN$2,0,0,ROW()-1,60),ROW()-1,FALSE))</f>
        <v>6081.49</v>
      </c>
      <c r="S105">
        <f ca="1">IF(AND($B$183=1,LEN($S$206)&gt;0),$S$206*1000,HLOOKUP(INDIRECT(ADDRESS(2,COLUMN())),OFFSET($BN$2,0,0,ROW()-1,60),ROW()-1,FALSE))</f>
        <v>1784.2929999999999</v>
      </c>
      <c r="T105">
        <f ca="1">IF(AND($B$183=1,LEN($T$206)&gt;0),$T$206*1000,HLOOKUP(INDIRECT(ADDRESS(2,COLUMN())),OFFSET($BN$2,0,0,ROW()-1,60),ROW()-1,FALSE))</f>
        <v>1422.4469999999999</v>
      </c>
      <c r="U105">
        <f ca="1">IF(AND($B$183=1,LEN($U$206)&gt;0),$U$206*1000,HLOOKUP(INDIRECT(ADDRESS(2,COLUMN())),OFFSET($BN$2,0,0,ROW()-1,60),ROW()-1,FALSE))</f>
        <v>1685.778</v>
      </c>
      <c r="V105">
        <f ca="1">IF(AND($B$183=1,LEN($V$206)&gt;0),$V$206*1000,HLOOKUP(INDIRECT(ADDRESS(2,COLUMN())),OFFSET($BN$2,0,0,ROW()-1,60),ROW()-1,FALSE))</f>
        <v>2539.8470000000002</v>
      </c>
      <c r="W105">
        <f ca="1">IF(AND($B$183=1,LEN($W$206)&gt;0),$W$206*1000,HLOOKUP(INDIRECT(ADDRESS(2,COLUMN())),OFFSET($BN$2,0,0,ROW()-1,60),ROW()-1,FALSE))</f>
        <v>2415.2060000000001</v>
      </c>
      <c r="X105">
        <f ca="1">IF(AND($B$183=1,LEN($X$206)&gt;0),$X$206*1000,HLOOKUP(INDIRECT(ADDRESS(2,COLUMN())),OFFSET($BN$2,0,0,ROW()-1,60),ROW()-1,FALSE))</f>
        <v>2523.922</v>
      </c>
      <c r="Y105">
        <f ca="1">IF(AND($B$183=1,LEN($Y$206)&gt;0),$Y$206*1000,HLOOKUP(INDIRECT(ADDRESS(2,COLUMN())),OFFSET($BN$2,0,0,ROW()-1,60),ROW()-1,FALSE))</f>
        <v>664.66600000000005</v>
      </c>
      <c r="Z105">
        <f ca="1">IF(AND($B$183=1,LEN($Z$206)&gt;0),$Z$206*1000,HLOOKUP(INDIRECT(ADDRESS(2,COLUMN())),OFFSET($BN$2,0,0,ROW()-1,60),ROW()-1,FALSE))</f>
        <v>2924.7959999999998</v>
      </c>
      <c r="AA105">
        <f ca="1">IF(AND($B$183=1,LEN($AA$206)&gt;0),$AA$206*1000,HLOOKUP(INDIRECT(ADDRESS(2,COLUMN())),OFFSET($BN$2,0,0,ROW()-1,60),ROW()-1,FALSE))</f>
        <v>1170.596</v>
      </c>
      <c r="AB105">
        <f ca="1">IF(AND($B$183=1,LEN($AB$206)&gt;0),$AB$206*1000,HLOOKUP(INDIRECT(ADDRESS(2,COLUMN())),OFFSET($BN$2,0,0,ROW()-1,60),ROW()-1,FALSE))</f>
        <v>711.745</v>
      </c>
      <c r="AC105">
        <f ca="1">IF(AND($B$183=1,LEN($AC$206)&gt;0),$AC$206*1000,HLOOKUP(INDIRECT(ADDRESS(2,COLUMN())),OFFSET($BN$2,0,0,ROW()-1,60),ROW()-1,FALSE))</f>
        <v>679.14700000000005</v>
      </c>
      <c r="AD105">
        <f ca="1">IF(AND($B$183=1,LEN($AD$206)&gt;0),$AD$206*1000,HLOOKUP(INDIRECT(ADDRESS(2,COLUMN())),OFFSET($BN$2,0,0,ROW()-1,60),ROW()-1,FALSE))</f>
        <v>1719.163</v>
      </c>
      <c r="AE105">
        <f ca="1">IF(AND($B$183=1,LEN($AE$206)&gt;0),$AE$206*1000,HLOOKUP(INDIRECT(ADDRESS(2,COLUMN())),OFFSET($BN$2,0,0,ROW()-1,60),ROW()-1,FALSE))</f>
        <v>679.02599999999995</v>
      </c>
      <c r="AF105">
        <f ca="1">IF(AND($B$183=1,LEN($AF$206)&gt;0),$AF$206*1000,HLOOKUP(INDIRECT(ADDRESS(2,COLUMN())),OFFSET($BN$2,0,0,ROW()-1,60),ROW()-1,FALSE))</f>
        <v>721.572</v>
      </c>
      <c r="AG105">
        <f ca="1">IF(AND($B$183=1,LEN($AG$206)&gt;0),$AG$206*1000,HLOOKUP(INDIRECT(ADDRESS(2,COLUMN())),OFFSET($BN$2,0,0,ROW()-1,60),ROW()-1,FALSE))</f>
        <v>314.976</v>
      </c>
      <c r="AH105">
        <f ca="1">IF(AND($B$183=1,LEN($AH$206)&gt;0),$AH$206*1000,HLOOKUP(INDIRECT(ADDRESS(2,COLUMN())),OFFSET($BN$2,0,0,ROW()-1,60),ROW()-1,FALSE))</f>
        <v>640.31200000000001</v>
      </c>
      <c r="AI105">
        <f ca="1">IF(AND($B$183=1,LEN($AI$206)&gt;0),$AI$206*1000,HLOOKUP(INDIRECT(ADDRESS(2,COLUMN())),OFFSET($BN$2,0,0,ROW()-1,60),ROW()-1,FALSE))</f>
        <v>1277.7360000000001</v>
      </c>
      <c r="AJ105">
        <f ca="1">IF(AND($B$183=1,LEN($AJ$206)&gt;0),$AJ$206*1000,HLOOKUP(INDIRECT(ADDRESS(2,COLUMN())),OFFSET($BN$2,0,0,ROW()-1,60),ROW()-1,FALSE))</f>
        <v>705.34199999999998</v>
      </c>
      <c r="AK105">
        <f ca="1">IF(AND($B$183=1,LEN($AK$206)&gt;0),$AK$206*1000,HLOOKUP(INDIRECT(ADDRESS(2,COLUMN())),OFFSET($BN$2,0,0,ROW()-1,60),ROW()-1,FALSE))</f>
        <v>528.03200000000004</v>
      </c>
      <c r="AL105">
        <f ca="1">IF(AND($B$183=1,LEN($AL$206)&gt;0),$AL$206*1000,HLOOKUP(INDIRECT(ADDRESS(2,COLUMN())),OFFSET($BN$2,0,0,ROW()-1,60),ROW()-1,FALSE))</f>
        <v>642.13800000000003</v>
      </c>
      <c r="AM105">
        <f ca="1">IF(AND($B$183=1,LEN($AM$206)&gt;0),$AM$206*1000,HLOOKUP(INDIRECT(ADDRESS(2,COLUMN())),OFFSET($BN$2,0,0,ROW()-1,60),ROW()-1,FALSE))</f>
        <v>415.72899999999998</v>
      </c>
      <c r="AN105">
        <f ca="1">IF(AND($B$183=1,LEN($AN$206)&gt;0),$AN$206*1000,HLOOKUP(INDIRECT(ADDRESS(2,COLUMN())),OFFSET($BN$2,0,0,ROW()-1,60),ROW()-1,FALSE))</f>
        <v>205.78100000000001</v>
      </c>
      <c r="AO105">
        <f ca="1">IF(AND($B$183=1,LEN($AO$206)&gt;0),$AO$206*1000,HLOOKUP(INDIRECT(ADDRESS(2,COLUMN())),OFFSET($BN$2,0,0,ROW()-1,60),ROW()-1,FALSE))</f>
        <v>195.756</v>
      </c>
      <c r="AP105">
        <f ca="1">IF(AND($B$183=1,LEN($AP$206)&gt;0),$AP$206*1000,HLOOKUP(INDIRECT(ADDRESS(2,COLUMN())),OFFSET($BN$2,0,0,ROW()-1,60),ROW()-1,FALSE))</f>
        <v>229.28899999999999</v>
      </c>
      <c r="AQ105">
        <f ca="1">IF(AND($B$183=1,LEN($AQ$206)&gt;0),$AQ$206*1000,HLOOKUP(INDIRECT(ADDRESS(2,COLUMN())),OFFSET($BN$2,0,0,ROW()-1,60),ROW()-1,FALSE))</f>
        <v>281.99400000000003</v>
      </c>
      <c r="AR105">
        <f ca="1">IF(AND($B$183=1,LEN($AR$206)&gt;0),$AR$206*1000,HLOOKUP(INDIRECT(ADDRESS(2,COLUMN())),OFFSET($BN$2,0,0,ROW()-1,60),ROW()-1,FALSE))</f>
        <v>704.96600000000001</v>
      </c>
      <c r="AS105">
        <f ca="1">IF(AND($B$183=1,LEN($AS$206)&gt;0),$AS$206*1000,HLOOKUP(INDIRECT(ADDRESS(2,COLUMN())),OFFSET($BN$2,0,0,ROW()-1,60),ROW()-1,FALSE))</f>
        <v>173.98099999999999</v>
      </c>
      <c r="AT105">
        <f ca="1">IF(AND($B$183=1,LEN($AT$206)&gt;0),$AT$206*1000,HLOOKUP(INDIRECT(ADDRESS(2,COLUMN())),OFFSET($BN$2,0,0,ROW()-1,60),ROW()-1,FALSE))</f>
        <v>682.33500000000004</v>
      </c>
      <c r="AU105">
        <f ca="1">IF(AND($B$183=1,LEN($AU$206)&gt;0),$AU$206*1000,HLOOKUP(INDIRECT(ADDRESS(2,COLUMN())),OFFSET($BN$2,0,0,ROW()-1,60),ROW()-1,FALSE))</f>
        <v>492.38900000000001</v>
      </c>
      <c r="AV105">
        <f ca="1">IF(AND($B$183=1,LEN($AV$206)&gt;0),$AV$206*1000,HLOOKUP(INDIRECT(ADDRESS(2,COLUMN())),OFFSET($BN$2,0,0,ROW()-1,60),ROW()-1,FALSE))</f>
        <v>1363.8789999999999</v>
      </c>
      <c r="AW105">
        <f ca="1">IF(AND($B$183=1,LEN($AW$206)&gt;0),$AW$206*1000,HLOOKUP(INDIRECT(ADDRESS(2,COLUMN())),OFFSET($BN$2,0,0,ROW()-1,60),ROW()-1,FALSE))</f>
        <v>384.50700000000001</v>
      </c>
      <c r="AX105">
        <f ca="1">IF(AND($B$183=1,LEN($AX$206)&gt;0),$AX$206*1000,HLOOKUP(INDIRECT(ADDRESS(2,COLUMN())),OFFSET($BN$2,0,0,ROW()-1,60),ROW()-1,FALSE))</f>
        <v>1031.146</v>
      </c>
      <c r="AY105">
        <f ca="1">IF(AND($B$183=1,LEN($AY$206)&gt;0),$AY$206*1000,HLOOKUP(INDIRECT(ADDRESS(2,COLUMN())),OFFSET($BN$2,0,0,ROW()-1,60),ROW()-1,FALSE))</f>
        <v>709.42499999999995</v>
      </c>
      <c r="AZ105">
        <f ca="1">IF(AND($B$183=1,LEN($AZ$206)&gt;0),$AZ$206*1000,HLOOKUP(INDIRECT(ADDRESS(2,COLUMN())),OFFSET($BN$2,0,0,ROW()-1,60),ROW()-1,FALSE))</f>
        <v>1318.2449999999999</v>
      </c>
      <c r="BA105">
        <f ca="1">IF(AND($B$183=1,LEN($BA$206)&gt;0),$BA$206*1000,HLOOKUP(INDIRECT(ADDRESS(2,COLUMN())),OFFSET($BN$2,0,0,ROW()-1,60),ROW()-1,FALSE))</f>
        <v>667.23699999999997</v>
      </c>
      <c r="BB105">
        <f ca="1">IF(AND($B$183=1,LEN($BB$206)&gt;0),$BB$206*1000,HLOOKUP(INDIRECT(ADDRESS(2,COLUMN())),OFFSET($BN$2,0,0,ROW()-1,60),ROW()-1,FALSE))</f>
        <v>664.69600000000003</v>
      </c>
      <c r="BC105">
        <f ca="1">IF(AND($B$183=1,LEN($BC$206)&gt;0),$BC$206*1000,HLOOKUP(INDIRECT(ADDRESS(2,COLUMN())),OFFSET($BN$2,0,0,ROW()-1,60),ROW()-1,FALSE))</f>
        <v>590.697</v>
      </c>
      <c r="BD105">
        <f ca="1">IF(AND($B$183=1,LEN($BD$206)&gt;0),$BD$206*1000,HLOOKUP(INDIRECT(ADDRESS(2,COLUMN())),OFFSET($BN$2,0,0,ROW()-1,60),ROW()-1,FALSE))</f>
        <v>636.59799999999996</v>
      </c>
      <c r="BE105">
        <f ca="1">IF(AND($B$183=1,LEN($BE$206)&gt;0),$BE$206*1000,HLOOKUP(INDIRECT(ADDRESS(2,COLUMN())),OFFSET($BN$2,0,0,ROW()-1,60),ROW()-1,FALSE))</f>
        <v>350.00099999999998</v>
      </c>
      <c r="BF105">
        <f ca="1">IF(AND($B$183=1,LEN($BF$206)&gt;0),$BF$206*1000,HLOOKUP(INDIRECT(ADDRESS(2,COLUMN())),OFFSET($BN$2,0,0,ROW()-1,60),ROW()-1,FALSE))</f>
        <v>393.505</v>
      </c>
      <c r="BG105">
        <f ca="1">IF(AND($B$183=1,LEN($BG$206)&gt;0),$BG$206*1000,HLOOKUP(INDIRECT(ADDRESS(2,COLUMN())),OFFSET($BN$2,0,0,ROW()-1,60),ROW()-1,FALSE))</f>
        <v>605.346</v>
      </c>
      <c r="BH105">
        <f ca="1">IF(AND($B$183=1,LEN($BH$206)&gt;0),$BH$206*1000,HLOOKUP(INDIRECT(ADDRESS(2,COLUMN())),OFFSET($BN$2,0,0,ROW()-1,60),ROW()-1,FALSE))</f>
        <v>281.96100000000001</v>
      </c>
      <c r="BI105">
        <f ca="1">IF(AND($B$183=1,LEN($BI$206)&gt;0),$BI$206*1000,HLOOKUP(INDIRECT(ADDRESS(2,COLUMN())),OFFSET($BN$2,0,0,ROW()-1,60),ROW()-1,FALSE))</f>
        <v>258.86399999999998</v>
      </c>
      <c r="BJ105">
        <f ca="1">IF(AND($B$183=1,LEN($BJ$206)&gt;0),$BJ$206*1000,HLOOKUP(INDIRECT(ADDRESS(2,COLUMN())),OFFSET($BN$2,0,0,ROW()-1,60),ROW()-1,FALSE))</f>
        <v>104.4</v>
      </c>
      <c r="BK105">
        <f ca="1">IF(AND($B$183=1,LEN($BK$206)&gt;0),$BK$206*1000,HLOOKUP(INDIRECT(ADDRESS(2,COLUMN())),OFFSET($BN$2,0,0,ROW()-1,60),ROW()-1,FALSE))</f>
        <v>40</v>
      </c>
      <c r="BL105">
        <f ca="1">IF(AND($B$183=1,LEN($BL$206)&gt;0),$BL$206*1000,HLOOKUP(INDIRECT(ADDRESS(2,COLUMN())),OFFSET($BN$2,0,0,ROW()-1,60),ROW()-1,FALSE))</f>
        <v>64</v>
      </c>
      <c r="BM105">
        <f ca="1">IF(AND($B$183=1,LEN($BM$206)&gt;0),$BM$206*1000,HLOOKUP(INDIRECT(ADDRESS(2,COLUMN())),OFFSET($BN$2,0,0,ROW()-1,60),ROW()-1,FALSE))</f>
        <v>98.1</v>
      </c>
      <c r="BN105">
        <f>2255.911</f>
        <v>2255.9110000000001</v>
      </c>
      <c r="BO105">
        <f>1923.707</f>
        <v>1923.7070000000001</v>
      </c>
      <c r="BP105">
        <f>1979.648</f>
        <v>1979.6479999999999</v>
      </c>
      <c r="BQ105">
        <f>1288.716</f>
        <v>1288.7159999999999</v>
      </c>
      <c r="BR105">
        <f>1791.838</f>
        <v>1791.838</v>
      </c>
      <c r="BS105">
        <f>2377.905</f>
        <v>2377.9050000000002</v>
      </c>
      <c r="BT105">
        <f>2066.817</f>
        <v>2066.817</v>
      </c>
      <c r="BU105">
        <f>3378.708</f>
        <v>3378.7080000000001</v>
      </c>
      <c r="BV105">
        <f>3585.222</f>
        <v>3585.2220000000002</v>
      </c>
      <c r="BW105">
        <f>1189.374</f>
        <v>1189.374</v>
      </c>
      <c r="BX105">
        <f>2776.634</f>
        <v>2776.634</v>
      </c>
      <c r="BY105">
        <f>3122.411</f>
        <v>3122.4110000000001</v>
      </c>
      <c r="BZ105">
        <f>6081.49</f>
        <v>6081.49</v>
      </c>
      <c r="CA105">
        <f>1784.293</f>
        <v>1784.2929999999999</v>
      </c>
      <c r="CB105">
        <f>1422.447</f>
        <v>1422.4469999999999</v>
      </c>
      <c r="CC105">
        <f>1685.778</f>
        <v>1685.778</v>
      </c>
      <c r="CD105">
        <f>2539.847</f>
        <v>2539.8470000000002</v>
      </c>
      <c r="CE105">
        <f>2415.206</f>
        <v>2415.2060000000001</v>
      </c>
      <c r="CF105">
        <f>2523.922</f>
        <v>2523.922</v>
      </c>
      <c r="CG105">
        <f>664.666</f>
        <v>664.66600000000005</v>
      </c>
      <c r="CH105">
        <f>2924.796</f>
        <v>2924.7959999999998</v>
      </c>
      <c r="CI105">
        <f>1170.596</f>
        <v>1170.596</v>
      </c>
      <c r="CJ105">
        <f>711.745</f>
        <v>711.745</v>
      </c>
      <c r="CK105">
        <f>679.147</f>
        <v>679.14700000000005</v>
      </c>
      <c r="CL105">
        <f>1719.163</f>
        <v>1719.163</v>
      </c>
      <c r="CM105">
        <f>679.026</f>
        <v>679.02599999999995</v>
      </c>
      <c r="CN105">
        <f>721.572</f>
        <v>721.572</v>
      </c>
      <c r="CO105">
        <f>314.976</f>
        <v>314.976</v>
      </c>
      <c r="CP105">
        <f>640.312</f>
        <v>640.31200000000001</v>
      </c>
      <c r="CQ105">
        <f>1277.736</f>
        <v>1277.7360000000001</v>
      </c>
      <c r="CR105">
        <f>705.342</f>
        <v>705.34199999999998</v>
      </c>
      <c r="CS105">
        <f>528.032</f>
        <v>528.03200000000004</v>
      </c>
      <c r="CT105">
        <f>642.138</f>
        <v>642.13800000000003</v>
      </c>
      <c r="CU105">
        <f>415.729</f>
        <v>415.72899999999998</v>
      </c>
      <c r="CV105">
        <f>205.781</f>
        <v>205.78100000000001</v>
      </c>
      <c r="CW105">
        <f>195.756</f>
        <v>195.756</v>
      </c>
      <c r="CX105">
        <f>229.289</f>
        <v>229.28899999999999</v>
      </c>
      <c r="CY105">
        <f>281.994</f>
        <v>281.99400000000003</v>
      </c>
      <c r="CZ105">
        <f>704.966</f>
        <v>704.96600000000001</v>
      </c>
      <c r="DA105">
        <f>173.981</f>
        <v>173.98099999999999</v>
      </c>
      <c r="DB105">
        <f>682.335</f>
        <v>682.33500000000004</v>
      </c>
      <c r="DC105">
        <f>492.389</f>
        <v>492.38900000000001</v>
      </c>
      <c r="DD105">
        <f>1363.879</f>
        <v>1363.8789999999999</v>
      </c>
      <c r="DE105">
        <f>384.507</f>
        <v>384.50700000000001</v>
      </c>
      <c r="DF105">
        <f>1031.146</f>
        <v>1031.146</v>
      </c>
      <c r="DG105">
        <f>709.425</f>
        <v>709.42499999999995</v>
      </c>
      <c r="DH105">
        <f>1318.245</f>
        <v>1318.2449999999999</v>
      </c>
      <c r="DI105">
        <f>667.237</f>
        <v>667.23699999999997</v>
      </c>
      <c r="DJ105">
        <f>664.696</f>
        <v>664.69600000000003</v>
      </c>
      <c r="DK105">
        <f>590.697</f>
        <v>590.697</v>
      </c>
      <c r="DL105">
        <f>636.598</f>
        <v>636.59799999999996</v>
      </c>
      <c r="DM105">
        <f>350.001</f>
        <v>350.00099999999998</v>
      </c>
      <c r="DN105">
        <f>393.505</f>
        <v>393.505</v>
      </c>
      <c r="DO105">
        <f>605.346</f>
        <v>605.346</v>
      </c>
      <c r="DP105">
        <f>281.961</f>
        <v>281.96100000000001</v>
      </c>
      <c r="DQ105">
        <f>258.864</f>
        <v>258.86399999999998</v>
      </c>
      <c r="DR105">
        <f>104.4</f>
        <v>104.4</v>
      </c>
      <c r="DS105">
        <f>40</f>
        <v>40</v>
      </c>
      <c r="DT105">
        <f>64</f>
        <v>64</v>
      </c>
      <c r="DU105">
        <f>98.1</f>
        <v>98.1</v>
      </c>
    </row>
    <row r="106" spans="1:125">
      <c r="A106" t="str">
        <f>"    Shopping Center REITs"</f>
        <v xml:space="preserve">    Shopping Center REITs</v>
      </c>
      <c r="B106" t="str">
        <f>"RECFDSSC Index"</f>
        <v>RECFDSSC Index</v>
      </c>
      <c r="E106" t="str">
        <f t="shared" si="24"/>
        <v>Expression</v>
      </c>
      <c r="F106">
        <f ca="1">IF(AND($B$183=1,LEN($F$207)&gt;0),$F$207*1000,HLOOKUP(INDIRECT(ADDRESS(2,COLUMN())),OFFSET($BN$2,0,0,ROW()-1,60),ROW()-1,FALSE))</f>
        <v>1832.684</v>
      </c>
      <c r="G106">
        <f ca="1">IF(AND($B$183=1,LEN($G$207)&gt;0),$G$207*1000,HLOOKUP(INDIRECT(ADDRESS(2,COLUMN())),OFFSET($BN$2,0,0,ROW()-1,60),ROW()-1,FALSE))</f>
        <v>1252.345</v>
      </c>
      <c r="H106">
        <f ca="1">IF(AND($B$183=1,LEN($H$207)&gt;0),$H$207*1000,HLOOKUP(INDIRECT(ADDRESS(2,COLUMN())),OFFSET($BN$2,0,0,ROW()-1,60),ROW()-1,FALSE))</f>
        <v>1038.826</v>
      </c>
      <c r="I106">
        <f ca="1">IF(AND($B$183=1,LEN($I$207)&gt;0),$I$207*1000,HLOOKUP(INDIRECT(ADDRESS(2,COLUMN())),OFFSET($BN$2,0,0,ROW()-1,60),ROW()-1,FALSE))</f>
        <v>557.12199999999996</v>
      </c>
      <c r="J106">
        <f ca="1">IF(AND($B$183=1,LEN($J$207)&gt;0),$J$207*1000,HLOOKUP(INDIRECT(ADDRESS(2,COLUMN())),OFFSET($BN$2,0,0,ROW()-1,60),ROW()-1,FALSE))</f>
        <v>1294.8130000000001</v>
      </c>
      <c r="K106">
        <f ca="1">IF(AND($B$183=1,LEN($K$207)&gt;0),$K$207*1000,HLOOKUP(INDIRECT(ADDRESS(2,COLUMN())),OFFSET($BN$2,0,0,ROW()-1,60),ROW()-1,FALSE))</f>
        <v>670.68499999999995</v>
      </c>
      <c r="L106">
        <f ca="1">IF(AND($B$183=1,LEN($L$207)&gt;0),$L$207*1000,HLOOKUP(INDIRECT(ADDRESS(2,COLUMN())),OFFSET($BN$2,0,0,ROW()-1,60),ROW()-1,FALSE))</f>
        <v>1008.597</v>
      </c>
      <c r="M106">
        <f ca="1">IF(AND($B$183=1,LEN($M$207)&gt;0),$M$207*1000,HLOOKUP(INDIRECT(ADDRESS(2,COLUMN())),OFFSET($BN$2,0,0,ROW()-1,60),ROW()-1,FALSE))</f>
        <v>1254.2919999999999</v>
      </c>
      <c r="N106">
        <f ca="1">IF(AND($B$183=1,LEN($N$207)&gt;0),$N$207*1000,HLOOKUP(INDIRECT(ADDRESS(2,COLUMN())),OFFSET($BN$2,0,0,ROW()-1,60),ROW()-1,FALSE))</f>
        <v>1940.259</v>
      </c>
      <c r="O106">
        <f ca="1">IF(AND($B$183=1,LEN($O$207)&gt;0),$O$207*1000,HLOOKUP(INDIRECT(ADDRESS(2,COLUMN())),OFFSET($BN$2,0,0,ROW()-1,60),ROW()-1,FALSE))</f>
        <v>951.92200000000003</v>
      </c>
      <c r="P106">
        <f ca="1">IF(AND($B$183=1,LEN($P$207)&gt;0),$P$207*1000,HLOOKUP(INDIRECT(ADDRESS(2,COLUMN())),OFFSET($BN$2,0,0,ROW()-1,60),ROW()-1,FALSE))</f>
        <v>734.72699999999998</v>
      </c>
      <c r="Q106">
        <f ca="1">IF(AND($B$183=1,LEN($Q$207)&gt;0),$Q$207*1000,HLOOKUP(INDIRECT(ADDRESS(2,COLUMN())),OFFSET($BN$2,0,0,ROW()-1,60),ROW()-1,FALSE))</f>
        <v>1140.9770000000001</v>
      </c>
      <c r="R106">
        <f ca="1">IF(AND($B$183=1,LEN($R$207)&gt;0),$R$207*1000,HLOOKUP(INDIRECT(ADDRESS(2,COLUMN())),OFFSET($BN$2,0,0,ROW()-1,60),ROW()-1,FALSE))</f>
        <v>1900.3409999999999</v>
      </c>
      <c r="S106">
        <f ca="1">IF(AND($B$183=1,LEN($S$207)&gt;0),$S$207*1000,HLOOKUP(INDIRECT(ADDRESS(2,COLUMN())),OFFSET($BN$2,0,0,ROW()-1,60),ROW()-1,FALSE))</f>
        <v>1260.547</v>
      </c>
      <c r="T106">
        <f ca="1">IF(AND($B$183=1,LEN($T$207)&gt;0),$T$207*1000,HLOOKUP(INDIRECT(ADDRESS(2,COLUMN())),OFFSET($BN$2,0,0,ROW()-1,60),ROW()-1,FALSE))</f>
        <v>1094.057</v>
      </c>
      <c r="U106">
        <f ca="1">IF(AND($B$183=1,LEN($U$207)&gt;0),$U$207*1000,HLOOKUP(INDIRECT(ADDRESS(2,COLUMN())),OFFSET($BN$2,0,0,ROW()-1,60),ROW()-1,FALSE))</f>
        <v>735.85699999999997</v>
      </c>
      <c r="V106">
        <f ca="1">IF(AND($B$183=1,LEN($V$207)&gt;0),$V$207*1000,HLOOKUP(INDIRECT(ADDRESS(2,COLUMN())),OFFSET($BN$2,0,0,ROW()-1,60),ROW()-1,FALSE))</f>
        <v>1757.1569999999999</v>
      </c>
      <c r="W106">
        <f ca="1">IF(AND($B$183=1,LEN($W$207)&gt;0),$W$207*1000,HLOOKUP(INDIRECT(ADDRESS(2,COLUMN())),OFFSET($BN$2,0,0,ROW()-1,60),ROW()-1,FALSE))</f>
        <v>1027.1130000000001</v>
      </c>
      <c r="X106">
        <f ca="1">IF(AND($B$183=1,LEN($X$207)&gt;0),$X$207*1000,HLOOKUP(INDIRECT(ADDRESS(2,COLUMN())),OFFSET($BN$2,0,0,ROW()-1,60),ROW()-1,FALSE))</f>
        <v>712.32600000000002</v>
      </c>
      <c r="Y106">
        <f ca="1">IF(AND($B$183=1,LEN($Y$207)&gt;0),$Y$207*1000,HLOOKUP(INDIRECT(ADDRESS(2,COLUMN())),OFFSET($BN$2,0,0,ROW()-1,60),ROW()-1,FALSE))</f>
        <v>314.01299999999998</v>
      </c>
      <c r="Z106">
        <f ca="1">IF(AND($B$183=1,LEN($Z$207)&gt;0),$Z$207*1000,HLOOKUP(INDIRECT(ADDRESS(2,COLUMN())),OFFSET($BN$2,0,0,ROW()-1,60),ROW()-1,FALSE))</f>
        <v>2619.8690000000001</v>
      </c>
      <c r="AA106">
        <f ca="1">IF(AND($B$183=1,LEN($AA$207)&gt;0),$AA$207*1000,HLOOKUP(INDIRECT(ADDRESS(2,COLUMN())),OFFSET($BN$2,0,0,ROW()-1,60),ROW()-1,FALSE))</f>
        <v>779.4</v>
      </c>
      <c r="AB106">
        <f ca="1">IF(AND($B$183=1,LEN($AB$207)&gt;0),$AB$207*1000,HLOOKUP(INDIRECT(ADDRESS(2,COLUMN())),OFFSET($BN$2,0,0,ROW()-1,60),ROW()-1,FALSE))</f>
        <v>431.21800000000002</v>
      </c>
      <c r="AC106">
        <f ca="1">IF(AND($B$183=1,LEN($AC$207)&gt;0),$AC$207*1000,HLOOKUP(INDIRECT(ADDRESS(2,COLUMN())),OFFSET($BN$2,0,0,ROW()-1,60),ROW()-1,FALSE))</f>
        <v>438.07400000000001</v>
      </c>
      <c r="AD106">
        <f ca="1">IF(AND($B$183=1,LEN($AD$207)&gt;0),$AD$207*1000,HLOOKUP(INDIRECT(ADDRESS(2,COLUMN())),OFFSET($BN$2,0,0,ROW()-1,60),ROW()-1,FALSE))</f>
        <v>1088.07</v>
      </c>
      <c r="AE106">
        <f ca="1">IF(AND($B$183=1,LEN($AE$207)&gt;0),$AE$207*1000,HLOOKUP(INDIRECT(ADDRESS(2,COLUMN())),OFFSET($BN$2,0,0,ROW()-1,60),ROW()-1,FALSE))</f>
        <v>417.84399999999999</v>
      </c>
      <c r="AF106">
        <f ca="1">IF(AND($B$183=1,LEN($AF$207)&gt;0),$AF$207*1000,HLOOKUP(INDIRECT(ADDRESS(2,COLUMN())),OFFSET($BN$2,0,0,ROW()-1,60),ROW()-1,FALSE))</f>
        <v>319.45999999999998</v>
      </c>
      <c r="AG106">
        <f ca="1">IF(AND($B$183=1,LEN($AG$207)&gt;0),$AG$207*1000,HLOOKUP(INDIRECT(ADDRESS(2,COLUMN())),OFFSET($BN$2,0,0,ROW()-1,60),ROW()-1,FALSE))</f>
        <v>101.011</v>
      </c>
      <c r="AH106">
        <f ca="1">IF(AND($B$183=1,LEN($AH$207)&gt;0),$AH$207*1000,HLOOKUP(INDIRECT(ADDRESS(2,COLUMN())),OFFSET($BN$2,0,0,ROW()-1,60),ROW()-1,FALSE))</f>
        <v>487.08499999999998</v>
      </c>
      <c r="AI106">
        <f ca="1">IF(AND($B$183=1,LEN($AI$207)&gt;0),$AI$207*1000,HLOOKUP(INDIRECT(ADDRESS(2,COLUMN())),OFFSET($BN$2,0,0,ROW()-1,60),ROW()-1,FALSE))</f>
        <v>210.858</v>
      </c>
      <c r="AJ106">
        <f ca="1">IF(AND($B$183=1,LEN($AJ$207)&gt;0),$AJ$207*1000,HLOOKUP(INDIRECT(ADDRESS(2,COLUMN())),OFFSET($BN$2,0,0,ROW()-1,60),ROW()-1,FALSE))</f>
        <v>144.50800000000001</v>
      </c>
      <c r="AK106">
        <f ca="1">IF(AND($B$183=1,LEN($AK$207)&gt;0),$AK$207*1000,HLOOKUP(INDIRECT(ADDRESS(2,COLUMN())),OFFSET($BN$2,0,0,ROW()-1,60),ROW()-1,FALSE))</f>
        <v>509.65499999999997</v>
      </c>
      <c r="AL106">
        <f ca="1">IF(AND($B$183=1,LEN($AL$207)&gt;0),$AL$207*1000,HLOOKUP(INDIRECT(ADDRESS(2,COLUMN())),OFFSET($BN$2,0,0,ROW()-1,60),ROW()-1,FALSE))</f>
        <v>496.83300000000003</v>
      </c>
      <c r="AM106">
        <f ca="1">IF(AND($B$183=1,LEN($AM$207)&gt;0),$AM$207*1000,HLOOKUP(INDIRECT(ADDRESS(2,COLUMN())),OFFSET($BN$2,0,0,ROW()-1,60),ROW()-1,FALSE))</f>
        <v>383.71800000000002</v>
      </c>
      <c r="AN106">
        <f ca="1">IF(AND($B$183=1,LEN($AN$207)&gt;0),$AN$207*1000,HLOOKUP(INDIRECT(ADDRESS(2,COLUMN())),OFFSET($BN$2,0,0,ROW()-1,60),ROW()-1,FALSE))</f>
        <v>194.89699999999999</v>
      </c>
      <c r="AO106">
        <f ca="1">IF(AND($B$183=1,LEN($AO$207)&gt;0),$AO$207*1000,HLOOKUP(INDIRECT(ADDRESS(2,COLUMN())),OFFSET($BN$2,0,0,ROW()-1,60),ROW()-1,FALSE))</f>
        <v>170.035</v>
      </c>
      <c r="AP106">
        <f ca="1">IF(AND($B$183=1,LEN($AP$207)&gt;0),$AP$207*1000,HLOOKUP(INDIRECT(ADDRESS(2,COLUMN())),OFFSET($BN$2,0,0,ROW()-1,60),ROW()-1,FALSE))</f>
        <v>194.465</v>
      </c>
      <c r="AQ106">
        <f ca="1">IF(AND($B$183=1,LEN($AQ$207)&gt;0),$AQ$207*1000,HLOOKUP(INDIRECT(ADDRESS(2,COLUMN())),OFFSET($BN$2,0,0,ROW()-1,60),ROW()-1,FALSE))</f>
        <v>184.78200000000001</v>
      </c>
      <c r="AR106">
        <f ca="1">IF(AND($B$183=1,LEN($AR$207)&gt;0),$AR$207*1000,HLOOKUP(INDIRECT(ADDRESS(2,COLUMN())),OFFSET($BN$2,0,0,ROW()-1,60),ROW()-1,FALSE))</f>
        <v>530.60799999999995</v>
      </c>
      <c r="AS106">
        <f ca="1">IF(AND($B$183=1,LEN($AS$207)&gt;0),$AS$207*1000,HLOOKUP(INDIRECT(ADDRESS(2,COLUMN())),OFFSET($BN$2,0,0,ROW()-1,60),ROW()-1,FALSE))</f>
        <v>163.31</v>
      </c>
      <c r="AT106">
        <f ca="1">IF(AND($B$183=1,LEN($AT$207)&gt;0),$AT$207*1000,HLOOKUP(INDIRECT(ADDRESS(2,COLUMN())),OFFSET($BN$2,0,0,ROW()-1,60),ROW()-1,FALSE))</f>
        <v>638.25</v>
      </c>
      <c r="AU106">
        <f ca="1">IF(AND($B$183=1,LEN($AU$207)&gt;0),$AU$207*1000,HLOOKUP(INDIRECT(ADDRESS(2,COLUMN())),OFFSET($BN$2,0,0,ROW()-1,60),ROW()-1,FALSE))</f>
        <v>400.755</v>
      </c>
      <c r="AV106">
        <f ca="1">IF(AND($B$183=1,LEN($AV$207)&gt;0),$AV$207*1000,HLOOKUP(INDIRECT(ADDRESS(2,COLUMN())),OFFSET($BN$2,0,0,ROW()-1,60),ROW()-1,FALSE))</f>
        <v>1304.8579999999999</v>
      </c>
      <c r="AW106">
        <f ca="1">IF(AND($B$183=1,LEN($AW$207)&gt;0),$AW$207*1000,HLOOKUP(INDIRECT(ADDRESS(2,COLUMN())),OFFSET($BN$2,0,0,ROW()-1,60),ROW()-1,FALSE))</f>
        <v>358.96</v>
      </c>
      <c r="AX106">
        <f ca="1">IF(AND($B$183=1,LEN($AX$207)&gt;0),$AX$207*1000,HLOOKUP(INDIRECT(ADDRESS(2,COLUMN())),OFFSET($BN$2,0,0,ROW()-1,60),ROW()-1,FALSE))</f>
        <v>603.04399999999998</v>
      </c>
      <c r="AY106">
        <f ca="1">IF(AND($B$183=1,LEN($AY$207)&gt;0),$AY$207*1000,HLOOKUP(INDIRECT(ADDRESS(2,COLUMN())),OFFSET($BN$2,0,0,ROW()-1,60),ROW()-1,FALSE))</f>
        <v>499.70600000000002</v>
      </c>
      <c r="AZ106">
        <f ca="1">IF(AND($B$183=1,LEN($AZ$207)&gt;0),$AZ$207*1000,HLOOKUP(INDIRECT(ADDRESS(2,COLUMN())),OFFSET($BN$2,0,0,ROW()-1,60),ROW()-1,FALSE))</f>
        <v>843.06899999999996</v>
      </c>
      <c r="BA106">
        <f ca="1">IF(AND($B$183=1,LEN($BA$207)&gt;0),$BA$207*1000,HLOOKUP(INDIRECT(ADDRESS(2,COLUMN())),OFFSET($BN$2,0,0,ROW()-1,60),ROW()-1,FALSE))</f>
        <v>635.27300000000002</v>
      </c>
      <c r="BB106">
        <f ca="1">IF(AND($B$183=1,LEN($BB$207)&gt;0),$BB$207*1000,HLOOKUP(INDIRECT(ADDRESS(2,COLUMN())),OFFSET($BN$2,0,0,ROW()-1,60),ROW()-1,FALSE))</f>
        <v>335.42599999999999</v>
      </c>
      <c r="BC106">
        <f ca="1">IF(AND($B$183=1,LEN($BC$207)&gt;0),$BC$207*1000,HLOOKUP(INDIRECT(ADDRESS(2,COLUMN())),OFFSET($BN$2,0,0,ROW()-1,60),ROW()-1,FALSE))</f>
        <v>515.40300000000002</v>
      </c>
      <c r="BD106">
        <f ca="1">IF(AND($B$183=1,LEN($BD$207)&gt;0),$BD$207*1000,HLOOKUP(INDIRECT(ADDRESS(2,COLUMN())),OFFSET($BN$2,0,0,ROW()-1,60),ROW()-1,FALSE))</f>
        <v>369.96800000000002</v>
      </c>
      <c r="BE106">
        <f ca="1">IF(AND($B$183=1,LEN($BE$207)&gt;0),$BE$207*1000,HLOOKUP(INDIRECT(ADDRESS(2,COLUMN())),OFFSET($BN$2,0,0,ROW()-1,60),ROW()-1,FALSE))</f>
        <v>295.16800000000001</v>
      </c>
      <c r="BF106">
        <f ca="1">IF(AND($B$183=1,LEN($BF$207)&gt;0),$BF$207*1000,HLOOKUP(INDIRECT(ADDRESS(2,COLUMN())),OFFSET($BN$2,0,0,ROW()-1,60),ROW()-1,FALSE))</f>
        <v>364.03399999999999</v>
      </c>
      <c r="BG106">
        <f ca="1">IF(AND($B$183=1,LEN($BG$207)&gt;0),$BG$207*1000,HLOOKUP(INDIRECT(ADDRESS(2,COLUMN())),OFFSET($BN$2,0,0,ROW()-1,60),ROW()-1,FALSE))</f>
        <v>362.85199999999998</v>
      </c>
      <c r="BH106">
        <f ca="1">IF(AND($B$183=1,LEN($BH$207)&gt;0),$BH$207*1000,HLOOKUP(INDIRECT(ADDRESS(2,COLUMN())),OFFSET($BN$2,0,0,ROW()-1,60),ROW()-1,FALSE))</f>
        <v>211.982</v>
      </c>
      <c r="BI106">
        <f ca="1">IF(AND($B$183=1,LEN($BI$207)&gt;0),$BI$207*1000,HLOOKUP(INDIRECT(ADDRESS(2,COLUMN())),OFFSET($BN$2,0,0,ROW()-1,60),ROW()-1,FALSE))</f>
        <v>242.76499999999999</v>
      </c>
      <c r="BJ106">
        <f ca="1">IF(AND($B$183=1,LEN($BJ$207)&gt;0),$BJ$207*1000,HLOOKUP(INDIRECT(ADDRESS(2,COLUMN())),OFFSET($BN$2,0,0,ROW()-1,60),ROW()-1,FALSE))</f>
        <v>95.9</v>
      </c>
      <c r="BK106">
        <f ca="1">IF(AND($B$183=1,LEN($BK$207)&gt;0),$BK$207*1000,HLOOKUP(INDIRECT(ADDRESS(2,COLUMN())),OFFSET($BN$2,0,0,ROW()-1,60),ROW()-1,FALSE))</f>
        <v>40</v>
      </c>
      <c r="BL106">
        <f ca="1">IF(AND($B$183=1,LEN($BL$207)&gt;0),$BL$207*1000,HLOOKUP(INDIRECT(ADDRESS(2,COLUMN())),OFFSET($BN$2,0,0,ROW()-1,60),ROW()-1,FALSE))</f>
        <v>64</v>
      </c>
      <c r="BM106">
        <f ca="1">IF(AND($B$183=1,LEN($BM$207)&gt;0),$BM$207*1000,HLOOKUP(INDIRECT(ADDRESS(2,COLUMN())),OFFSET($BN$2,0,0,ROW()-1,60),ROW()-1,FALSE))</f>
        <v>98.1</v>
      </c>
      <c r="BN106">
        <f>1832.684</f>
        <v>1832.684</v>
      </c>
      <c r="BO106">
        <f>1252.345</f>
        <v>1252.345</v>
      </c>
      <c r="BP106">
        <f>1038.826</f>
        <v>1038.826</v>
      </c>
      <c r="BQ106">
        <f>557.122</f>
        <v>557.12199999999996</v>
      </c>
      <c r="BR106">
        <f>1294.813</f>
        <v>1294.8130000000001</v>
      </c>
      <c r="BS106">
        <f>670.685</f>
        <v>670.68499999999995</v>
      </c>
      <c r="BT106">
        <f>1008.597</f>
        <v>1008.597</v>
      </c>
      <c r="BU106">
        <f>1254.292</f>
        <v>1254.2919999999999</v>
      </c>
      <c r="BV106">
        <f>1940.259</f>
        <v>1940.259</v>
      </c>
      <c r="BW106">
        <f>951.922</f>
        <v>951.92200000000003</v>
      </c>
      <c r="BX106">
        <f>734.727</f>
        <v>734.72699999999998</v>
      </c>
      <c r="BY106">
        <f>1140.977</f>
        <v>1140.9770000000001</v>
      </c>
      <c r="BZ106">
        <f>1900.341</f>
        <v>1900.3409999999999</v>
      </c>
      <c r="CA106">
        <f>1260.547</f>
        <v>1260.547</v>
      </c>
      <c r="CB106">
        <f>1094.057</f>
        <v>1094.057</v>
      </c>
      <c r="CC106">
        <f>735.857</f>
        <v>735.85699999999997</v>
      </c>
      <c r="CD106">
        <f>1757.157</f>
        <v>1757.1569999999999</v>
      </c>
      <c r="CE106">
        <f>1027.113</f>
        <v>1027.1130000000001</v>
      </c>
      <c r="CF106">
        <f>712.326</f>
        <v>712.32600000000002</v>
      </c>
      <c r="CG106">
        <f>314.013</f>
        <v>314.01299999999998</v>
      </c>
      <c r="CH106">
        <f>2619.869</f>
        <v>2619.8690000000001</v>
      </c>
      <c r="CI106">
        <f>779.4</f>
        <v>779.4</v>
      </c>
      <c r="CJ106">
        <f>431.218</f>
        <v>431.21800000000002</v>
      </c>
      <c r="CK106">
        <f>438.074</f>
        <v>438.07400000000001</v>
      </c>
      <c r="CL106">
        <f>1088.07</f>
        <v>1088.07</v>
      </c>
      <c r="CM106">
        <f>417.844</f>
        <v>417.84399999999999</v>
      </c>
      <c r="CN106">
        <f>319.46</f>
        <v>319.45999999999998</v>
      </c>
      <c r="CO106">
        <f>101.011</f>
        <v>101.011</v>
      </c>
      <c r="CP106">
        <f>487.085</f>
        <v>487.08499999999998</v>
      </c>
      <c r="CQ106">
        <f>210.858</f>
        <v>210.858</v>
      </c>
      <c r="CR106">
        <f>144.508</f>
        <v>144.50800000000001</v>
      </c>
      <c r="CS106">
        <f>509.655</f>
        <v>509.65499999999997</v>
      </c>
      <c r="CT106">
        <f>496.833</f>
        <v>496.83300000000003</v>
      </c>
      <c r="CU106">
        <f>383.718</f>
        <v>383.71800000000002</v>
      </c>
      <c r="CV106">
        <f>194.897</f>
        <v>194.89699999999999</v>
      </c>
      <c r="CW106">
        <f>170.035</f>
        <v>170.035</v>
      </c>
      <c r="CX106">
        <f>194.465</f>
        <v>194.465</v>
      </c>
      <c r="CY106">
        <f>184.782</f>
        <v>184.78200000000001</v>
      </c>
      <c r="CZ106">
        <f>530.608</f>
        <v>530.60799999999995</v>
      </c>
      <c r="DA106">
        <f>163.31</f>
        <v>163.31</v>
      </c>
      <c r="DB106">
        <f>638.25</f>
        <v>638.25</v>
      </c>
      <c r="DC106">
        <f>400.755</f>
        <v>400.755</v>
      </c>
      <c r="DD106">
        <f>1304.858</f>
        <v>1304.8579999999999</v>
      </c>
      <c r="DE106">
        <f>358.96</f>
        <v>358.96</v>
      </c>
      <c r="DF106">
        <f>603.044</f>
        <v>603.04399999999998</v>
      </c>
      <c r="DG106">
        <f>499.706</f>
        <v>499.70600000000002</v>
      </c>
      <c r="DH106">
        <f>843.069</f>
        <v>843.06899999999996</v>
      </c>
      <c r="DI106">
        <f>635.273</f>
        <v>635.27300000000002</v>
      </c>
      <c r="DJ106">
        <f>335.426</f>
        <v>335.42599999999999</v>
      </c>
      <c r="DK106">
        <f>515.403</f>
        <v>515.40300000000002</v>
      </c>
      <c r="DL106">
        <f>369.968</f>
        <v>369.96800000000002</v>
      </c>
      <c r="DM106">
        <f>295.168</f>
        <v>295.16800000000001</v>
      </c>
      <c r="DN106">
        <f>364.034</f>
        <v>364.03399999999999</v>
      </c>
      <c r="DO106">
        <f>362.852</f>
        <v>362.85199999999998</v>
      </c>
      <c r="DP106">
        <f>211.982</f>
        <v>211.982</v>
      </c>
      <c r="DQ106">
        <f>242.765</f>
        <v>242.76499999999999</v>
      </c>
      <c r="DR106">
        <f>95.9</f>
        <v>95.9</v>
      </c>
      <c r="DS106">
        <f>40</f>
        <v>40</v>
      </c>
      <c r="DT106">
        <f>64</f>
        <v>64</v>
      </c>
      <c r="DU106">
        <f>98.1</f>
        <v>98.1</v>
      </c>
    </row>
    <row r="107" spans="1:125">
      <c r="A107" t="str">
        <f>"    Regional Mall REITs"</f>
        <v xml:space="preserve">    Regional Mall REITs</v>
      </c>
      <c r="B107" t="str">
        <f>"RECFDSRM Index"</f>
        <v>RECFDSRM Index</v>
      </c>
      <c r="E107" t="str">
        <f t="shared" si="24"/>
        <v>Expression</v>
      </c>
      <c r="F107">
        <f ca="1">IF(AND($B$183=1,LEN($F$208)&gt;0),$F$208*1000,HLOOKUP(INDIRECT(ADDRESS(2,COLUMN())),OFFSET($BN$2,0,0,ROW()-1,60),ROW()-1,FALSE))</f>
        <v>76</v>
      </c>
      <c r="G107">
        <f ca="1">IF(AND($B$183=1,LEN($G$208)&gt;0),$G$208*1000,HLOOKUP(INDIRECT(ADDRESS(2,COLUMN())),OFFSET($BN$2,0,0,ROW()-1,60),ROW()-1,FALSE))</f>
        <v>182.88900000000001</v>
      </c>
      <c r="H107">
        <f ca="1">IF(AND($B$183=1,LEN($H$208)&gt;0),$H$208*1000,HLOOKUP(INDIRECT(ADDRESS(2,COLUMN())),OFFSET($BN$2,0,0,ROW()-1,60),ROW()-1,FALSE))</f>
        <v>653.5</v>
      </c>
      <c r="I107">
        <f ca="1">IF(AND($B$183=1,LEN($I$208)&gt;0),$I$208*1000,HLOOKUP(INDIRECT(ADDRESS(2,COLUMN())),OFFSET($BN$2,0,0,ROW()-1,60),ROW()-1,FALSE))</f>
        <v>461.40300000000002</v>
      </c>
      <c r="J107">
        <f ca="1">IF(AND($B$183=1,LEN($J$208)&gt;0),$J$208*1000,HLOOKUP(INDIRECT(ADDRESS(2,COLUMN())),OFFSET($BN$2,0,0,ROW()-1,60),ROW()-1,FALSE))</f>
        <v>121.95</v>
      </c>
      <c r="K107">
        <f ca="1">IF(AND($B$183=1,LEN($K$208)&gt;0),$K$208*1000,HLOOKUP(INDIRECT(ADDRESS(2,COLUMN())),OFFSET($BN$2,0,0,ROW()-1,60),ROW()-1,FALSE))</f>
        <v>1554.8</v>
      </c>
      <c r="L107">
        <f ca="1">IF(AND($B$183=1,LEN($L$208)&gt;0),$L$208*1000,HLOOKUP(INDIRECT(ADDRESS(2,COLUMN())),OFFSET($BN$2,0,0,ROW()-1,60),ROW()-1,FALSE))</f>
        <v>851.91</v>
      </c>
      <c r="M107">
        <f ca="1">IF(AND($B$183=1,LEN($M$208)&gt;0),$M$208*1000,HLOOKUP(INDIRECT(ADDRESS(2,COLUMN())),OFFSET($BN$2,0,0,ROW()-1,60),ROW()-1,FALSE))</f>
        <v>1951.652</v>
      </c>
      <c r="N107">
        <f ca="1">IF(AND($B$183=1,LEN($N$208)&gt;0),$N$208*1000,HLOOKUP(INDIRECT(ADDRESS(2,COLUMN())),OFFSET($BN$2,0,0,ROW()-1,60),ROW()-1,FALSE))</f>
        <v>1506.126</v>
      </c>
      <c r="O107">
        <f ca="1">IF(AND($B$183=1,LEN($O$208)&gt;0),$O$208*1000,HLOOKUP(INDIRECT(ADDRESS(2,COLUMN())),OFFSET($BN$2,0,0,ROW()-1,60),ROW()-1,FALSE))</f>
        <v>71.400000000000006</v>
      </c>
      <c r="P107">
        <f ca="1">IF(AND($B$183=1,LEN($P$208)&gt;0),$P$208*1000,HLOOKUP(INDIRECT(ADDRESS(2,COLUMN())),OFFSET($BN$2,0,0,ROW()-1,60),ROW()-1,FALSE))</f>
        <v>1725.9349999999999</v>
      </c>
      <c r="Q107">
        <f ca="1">IF(AND($B$183=1,LEN($Q$208)&gt;0),$Q$208*1000,HLOOKUP(INDIRECT(ADDRESS(2,COLUMN())),OFFSET($BN$2,0,0,ROW()-1,60),ROW()-1,FALSE))</f>
        <v>1584.1590000000001</v>
      </c>
      <c r="R107">
        <f ca="1">IF(AND($B$183=1,LEN($R$208)&gt;0),$R$208*1000,HLOOKUP(INDIRECT(ADDRESS(2,COLUMN())),OFFSET($BN$2,0,0,ROW()-1,60),ROW()-1,FALSE))</f>
        <v>2125.5630000000001</v>
      </c>
      <c r="S107">
        <f ca="1">IF(AND($B$183=1,LEN($S$208)&gt;0),$S$208*1000,HLOOKUP(INDIRECT(ADDRESS(2,COLUMN())),OFFSET($BN$2,0,0,ROW()-1,60),ROW()-1,FALSE))</f>
        <v>369.7</v>
      </c>
      <c r="T107">
        <f ca="1">IF(AND($B$183=1,LEN($T$208)&gt;0),$T$208*1000,HLOOKUP(INDIRECT(ADDRESS(2,COLUMN())),OFFSET($BN$2,0,0,ROW()-1,60),ROW()-1,FALSE))</f>
        <v>257.77600000000001</v>
      </c>
      <c r="U107">
        <f ca="1">IF(AND($B$183=1,LEN($U$208)&gt;0),$U$208*1000,HLOOKUP(INDIRECT(ADDRESS(2,COLUMN())),OFFSET($BN$2,0,0,ROW()-1,60),ROW()-1,FALSE))</f>
        <v>844.28599999999994</v>
      </c>
      <c r="V107">
        <f ca="1">IF(AND($B$183=1,LEN($V$208)&gt;0),$V$208*1000,HLOOKUP(INDIRECT(ADDRESS(2,COLUMN())),OFFSET($BN$2,0,0,ROW()-1,60),ROW()-1,FALSE))</f>
        <v>611.37599999999998</v>
      </c>
      <c r="W107">
        <f ca="1">IF(AND($B$183=1,LEN($W$208)&gt;0),$W$208*1000,HLOOKUP(INDIRECT(ADDRESS(2,COLUMN())),OFFSET($BN$2,0,0,ROW()-1,60),ROW()-1,FALSE))</f>
        <v>1008.622</v>
      </c>
      <c r="X107">
        <f ca="1">IF(AND($B$183=1,LEN($X$208)&gt;0),$X$208*1000,HLOOKUP(INDIRECT(ADDRESS(2,COLUMN())),OFFSET($BN$2,0,0,ROW()-1,60),ROW()-1,FALSE))</f>
        <v>1736.45</v>
      </c>
      <c r="Y107">
        <f ca="1">IF(AND($B$183=1,LEN($Y$208)&gt;0),$Y$208*1000,HLOOKUP(INDIRECT(ADDRESS(2,COLUMN())),OFFSET($BN$2,0,0,ROW()-1,60),ROW()-1,FALSE))</f>
        <v>256.22500000000002</v>
      </c>
      <c r="Z107">
        <f ca="1">IF(AND($B$183=1,LEN($Z$208)&gt;0),$Z$208*1000,HLOOKUP(INDIRECT(ADDRESS(2,COLUMN())),OFFSET($BN$2,0,0,ROW()-1,60),ROW()-1,FALSE))</f>
        <v>239.595</v>
      </c>
      <c r="AA107">
        <f ca="1">IF(AND($B$183=1,LEN($AA$208)&gt;0),$AA$208*1000,HLOOKUP(INDIRECT(ADDRESS(2,COLUMN())),OFFSET($BN$2,0,0,ROW()-1,60),ROW()-1,FALSE))</f>
        <v>345.91699999999997</v>
      </c>
      <c r="AB107">
        <f ca="1">IF(AND($B$183=1,LEN($AB$208)&gt;0),$AB$208*1000,HLOOKUP(INDIRECT(ADDRESS(2,COLUMN())),OFFSET($BN$2,0,0,ROW()-1,60),ROW()-1,FALSE))</f>
        <v>252.69800000000001</v>
      </c>
      <c r="AC107">
        <f ca="1">IF(AND($B$183=1,LEN($AC$208)&gt;0),$AC$208*1000,HLOOKUP(INDIRECT(ADDRESS(2,COLUMN())),OFFSET($BN$2,0,0,ROW()-1,60),ROW()-1,FALSE))</f>
        <v>222.53800000000001</v>
      </c>
      <c r="AD107">
        <f ca="1">IF(AND($B$183=1,LEN($AD$208)&gt;0),$AD$208*1000,HLOOKUP(INDIRECT(ADDRESS(2,COLUMN())),OFFSET($BN$2,0,0,ROW()-1,60),ROW()-1,FALSE))</f>
        <v>613.24099999999999</v>
      </c>
      <c r="AE107">
        <f ca="1">IF(AND($B$183=1,LEN($AE$208)&gt;0),$AE$208*1000,HLOOKUP(INDIRECT(ADDRESS(2,COLUMN())),OFFSET($BN$2,0,0,ROW()-1,60),ROW()-1,FALSE))</f>
        <v>246.57499999999999</v>
      </c>
      <c r="AF107">
        <f ca="1">IF(AND($B$183=1,LEN($AF$208)&gt;0),$AF$208*1000,HLOOKUP(INDIRECT(ADDRESS(2,COLUMN())),OFFSET($BN$2,0,0,ROW()-1,60),ROW()-1,FALSE))</f>
        <v>398.81200000000001</v>
      </c>
      <c r="AG107">
        <f ca="1">IF(AND($B$183=1,LEN($AG$208)&gt;0),$AG$208*1000,HLOOKUP(INDIRECT(ADDRESS(2,COLUMN())),OFFSET($BN$2,0,0,ROW()-1,60),ROW()-1,FALSE))</f>
        <v>205.393</v>
      </c>
      <c r="AH107">
        <f ca="1">IF(AND($B$183=1,LEN($AH$208)&gt;0),$AH$208*1000,HLOOKUP(INDIRECT(ADDRESS(2,COLUMN())),OFFSET($BN$2,0,0,ROW()-1,60),ROW()-1,FALSE))</f>
        <v>134.69800000000001</v>
      </c>
      <c r="AI107">
        <f ca="1">IF(AND($B$183=1,LEN($AI$208)&gt;0),$AI$208*1000,HLOOKUP(INDIRECT(ADDRESS(2,COLUMN())),OFFSET($BN$2,0,0,ROW()-1,60),ROW()-1,FALSE))</f>
        <v>1056.578</v>
      </c>
      <c r="AJ107">
        <f ca="1">IF(AND($B$183=1,LEN($AJ$208)&gt;0),$AJ$208*1000,HLOOKUP(INDIRECT(ADDRESS(2,COLUMN())),OFFSET($BN$2,0,0,ROW()-1,60),ROW()-1,FALSE))</f>
        <v>556.24</v>
      </c>
      <c r="AK107">
        <f ca="1">IF(AND($B$183=1,LEN($AK$208)&gt;0),$AK$208*1000,HLOOKUP(INDIRECT(ADDRESS(2,COLUMN())),OFFSET($BN$2,0,0,ROW()-1,60),ROW()-1,FALSE))</f>
        <v>0</v>
      </c>
      <c r="AL107">
        <f ca="1">IF(AND($B$183=1,LEN($AL$208)&gt;0),$AL$208*1000,HLOOKUP(INDIRECT(ADDRESS(2,COLUMN())),OFFSET($BN$2,0,0,ROW()-1,60),ROW()-1,FALSE))</f>
        <v>129.88900000000001</v>
      </c>
      <c r="AM107">
        <f ca="1">IF(AND($B$183=1,LEN($AM$208)&gt;0),$AM$208*1000,HLOOKUP(INDIRECT(ADDRESS(2,COLUMN())),OFFSET($BN$2,0,0,ROW()-1,60),ROW()-1,FALSE))</f>
        <v>27.611000000000001</v>
      </c>
      <c r="AN107">
        <f ca="1">IF(AND($B$183=1,LEN($AN$208)&gt;0),$AN$208*1000,HLOOKUP(INDIRECT(ADDRESS(2,COLUMN())),OFFSET($BN$2,0,0,ROW()-1,60),ROW()-1,FALSE))</f>
        <v>0</v>
      </c>
      <c r="AO107">
        <f ca="1">IF(AND($B$183=1,LEN($AO$208)&gt;0),$AO$208*1000,HLOOKUP(INDIRECT(ADDRESS(2,COLUMN())),OFFSET($BN$2,0,0,ROW()-1,60),ROW()-1,FALSE))</f>
        <v>20.5</v>
      </c>
      <c r="AP107">
        <f ca="1">IF(AND($B$183=1,LEN($AP$208)&gt;0),$AP$208*1000,HLOOKUP(INDIRECT(ADDRESS(2,COLUMN())),OFFSET($BN$2,0,0,ROW()-1,60),ROW()-1,FALSE))</f>
        <v>22.9</v>
      </c>
      <c r="AQ107">
        <f ca="1">IF(AND($B$183=1,LEN($AQ$208)&gt;0),$AQ$208*1000,HLOOKUP(INDIRECT(ADDRESS(2,COLUMN())),OFFSET($BN$2,0,0,ROW()-1,60),ROW()-1,FALSE))</f>
        <v>66.5</v>
      </c>
      <c r="AR107">
        <f ca="1">IF(AND($B$183=1,LEN($AR$208)&gt;0),$AR$208*1000,HLOOKUP(INDIRECT(ADDRESS(2,COLUMN())),OFFSET($BN$2,0,0,ROW()-1,60),ROW()-1,FALSE))</f>
        <v>140.5</v>
      </c>
      <c r="AS107">
        <f ca="1">IF(AND($B$183=1,LEN($AS$208)&gt;0),$AS$208*1000,HLOOKUP(INDIRECT(ADDRESS(2,COLUMN())),OFFSET($BN$2,0,0,ROW()-1,60),ROW()-1,FALSE))</f>
        <v>0</v>
      </c>
      <c r="AT107">
        <f ca="1">IF(AND($B$183=1,LEN($AT$208)&gt;0),$AT$208*1000,HLOOKUP(INDIRECT(ADDRESS(2,COLUMN())),OFFSET($BN$2,0,0,ROW()-1,60),ROW()-1,FALSE))</f>
        <v>11.6</v>
      </c>
      <c r="AU107">
        <f ca="1">IF(AND($B$183=1,LEN($AU$208)&gt;0),$AU$208*1000,HLOOKUP(INDIRECT(ADDRESS(2,COLUMN())),OFFSET($BN$2,0,0,ROW()-1,60),ROW()-1,FALSE))</f>
        <v>33.6</v>
      </c>
      <c r="AV107">
        <f ca="1">IF(AND($B$183=1,LEN($AV$208)&gt;0),$AV$208*1000,HLOOKUP(INDIRECT(ADDRESS(2,COLUMN())),OFFSET($BN$2,0,0,ROW()-1,60),ROW()-1,FALSE))</f>
        <v>4.5</v>
      </c>
      <c r="AW107">
        <f ca="1">IF(AND($B$183=1,LEN($AW$208)&gt;0),$AW$208*1000,HLOOKUP(INDIRECT(ADDRESS(2,COLUMN())),OFFSET($BN$2,0,0,ROW()-1,60),ROW()-1,FALSE))</f>
        <v>17.600000000000001</v>
      </c>
      <c r="AX107">
        <f ca="1">IF(AND($B$183=1,LEN($AX$208)&gt;0),$AX$208*1000,HLOOKUP(INDIRECT(ADDRESS(2,COLUMN())),OFFSET($BN$2,0,0,ROW()-1,60),ROW()-1,FALSE))</f>
        <v>373.8</v>
      </c>
      <c r="AY107">
        <f ca="1">IF(AND($B$183=1,LEN($AY$208)&gt;0),$AY$208*1000,HLOOKUP(INDIRECT(ADDRESS(2,COLUMN())),OFFSET($BN$2,0,0,ROW()-1,60),ROW()-1,FALSE))</f>
        <v>185.4</v>
      </c>
      <c r="AZ107">
        <f ca="1">IF(AND($B$183=1,LEN($AZ$208)&gt;0),$AZ$208*1000,HLOOKUP(INDIRECT(ADDRESS(2,COLUMN())),OFFSET($BN$2,0,0,ROW()-1,60),ROW()-1,FALSE))</f>
        <v>242.7</v>
      </c>
      <c r="BA107">
        <f ca="1">IF(AND($B$183=1,LEN($BA$208)&gt;0),$BA$208*1000,HLOOKUP(INDIRECT(ADDRESS(2,COLUMN())),OFFSET($BN$2,0,0,ROW()-1,60),ROW()-1,FALSE))</f>
        <v>13</v>
      </c>
      <c r="BB107">
        <f ca="1">IF(AND($B$183=1,LEN($BB$208)&gt;0),$BB$208*1000,HLOOKUP(INDIRECT(ADDRESS(2,COLUMN())),OFFSET($BN$2,0,0,ROW()-1,60),ROW()-1,FALSE))</f>
        <v>206.3</v>
      </c>
      <c r="BC107">
        <f ca="1">IF(AND($B$183=1,LEN($BC$208)&gt;0),$BC$208*1000,HLOOKUP(INDIRECT(ADDRESS(2,COLUMN())),OFFSET($BN$2,0,0,ROW()-1,60),ROW()-1,FALSE))</f>
        <v>68.55</v>
      </c>
      <c r="BD107">
        <f ca="1">IF(AND($B$183=1,LEN($BD$208)&gt;0),$BD$208*1000,HLOOKUP(INDIRECT(ADDRESS(2,COLUMN())),OFFSET($BN$2,0,0,ROW()-1,60),ROW()-1,FALSE))</f>
        <v>257.3</v>
      </c>
      <c r="BE107">
        <f ca="1">IF(AND($B$183=1,LEN($BE$208)&gt;0),$BE$208*1000,HLOOKUP(INDIRECT(ADDRESS(2,COLUMN())),OFFSET($BN$2,0,0,ROW()-1,60),ROW()-1,FALSE))</f>
        <v>16.399999999999999</v>
      </c>
      <c r="BF107">
        <f ca="1">IF(AND($B$183=1,LEN($BF$208)&gt;0),$BF$208*1000,HLOOKUP(INDIRECT(ADDRESS(2,COLUMN())),OFFSET($BN$2,0,0,ROW()-1,60),ROW()-1,FALSE))</f>
        <v>1.9</v>
      </c>
      <c r="BG107">
        <f ca="1">IF(AND($B$183=1,LEN($BG$208)&gt;0),$BG$208*1000,HLOOKUP(INDIRECT(ADDRESS(2,COLUMN())),OFFSET($BN$2,0,0,ROW()-1,60),ROW()-1,FALSE))</f>
        <v>225.72399999999999</v>
      </c>
      <c r="BH107">
        <f ca="1">IF(AND($B$183=1,LEN($BH$208)&gt;0),$BH$208*1000,HLOOKUP(INDIRECT(ADDRESS(2,COLUMN())),OFFSET($BN$2,0,0,ROW()-1,60),ROW()-1,FALSE))</f>
        <v>52</v>
      </c>
      <c r="BI107">
        <f ca="1">IF(AND($B$183=1,LEN($BI$208)&gt;0),$BI$208*1000,HLOOKUP(INDIRECT(ADDRESS(2,COLUMN())),OFFSET($BN$2,0,0,ROW()-1,60),ROW()-1,FALSE))</f>
        <v>8.2750000000000004</v>
      </c>
      <c r="BJ107">
        <f ca="1">IF(AND($B$183=1,LEN($BJ$208)&gt;0),$BJ$208*1000,HLOOKUP(INDIRECT(ADDRESS(2,COLUMN())),OFFSET($BN$2,0,0,ROW()-1,60),ROW()-1,FALSE))</f>
        <v>0</v>
      </c>
      <c r="BK107">
        <f ca="1">IF(AND($B$183=1,LEN($BK$208)&gt;0),$BK$208*1000,HLOOKUP(INDIRECT(ADDRESS(2,COLUMN())),OFFSET($BN$2,0,0,ROW()-1,60),ROW()-1,FALSE))</f>
        <v>0</v>
      </c>
      <c r="BL107">
        <f ca="1">IF(AND($B$183=1,LEN($BL$208)&gt;0),$BL$208*1000,HLOOKUP(INDIRECT(ADDRESS(2,COLUMN())),OFFSET($BN$2,0,0,ROW()-1,60),ROW()-1,FALSE))</f>
        <v>0</v>
      </c>
      <c r="BM107">
        <f ca="1">IF(AND($B$183=1,LEN($BM$208)&gt;0),$BM$208*1000,HLOOKUP(INDIRECT(ADDRESS(2,COLUMN())),OFFSET($BN$2,0,0,ROW()-1,60),ROW()-1,FALSE))</f>
        <v>0</v>
      </c>
      <c r="BN107">
        <f>76</f>
        <v>76</v>
      </c>
      <c r="BO107">
        <f>182.889</f>
        <v>182.88900000000001</v>
      </c>
      <c r="BP107">
        <f>653.5</f>
        <v>653.5</v>
      </c>
      <c r="BQ107">
        <f>461.403</f>
        <v>461.40300000000002</v>
      </c>
      <c r="BR107">
        <f>121.95</f>
        <v>121.95</v>
      </c>
      <c r="BS107">
        <f>1554.8</f>
        <v>1554.8</v>
      </c>
      <c r="BT107">
        <f>851.91</f>
        <v>851.91</v>
      </c>
      <c r="BU107">
        <f>1951.652</f>
        <v>1951.652</v>
      </c>
      <c r="BV107">
        <f>1506.126</f>
        <v>1506.126</v>
      </c>
      <c r="BW107">
        <f>71.4</f>
        <v>71.400000000000006</v>
      </c>
      <c r="BX107">
        <f>1725.935</f>
        <v>1725.9349999999999</v>
      </c>
      <c r="BY107">
        <f>1584.159</f>
        <v>1584.1590000000001</v>
      </c>
      <c r="BZ107">
        <f>2125.563</f>
        <v>2125.5630000000001</v>
      </c>
      <c r="CA107">
        <f>369.7</f>
        <v>369.7</v>
      </c>
      <c r="CB107">
        <f>257.776</f>
        <v>257.77600000000001</v>
      </c>
      <c r="CC107">
        <f>844.286</f>
        <v>844.28599999999994</v>
      </c>
      <c r="CD107">
        <f>611.376</f>
        <v>611.37599999999998</v>
      </c>
      <c r="CE107">
        <f>1008.622</f>
        <v>1008.622</v>
      </c>
      <c r="CF107">
        <f>1736.45</f>
        <v>1736.45</v>
      </c>
      <c r="CG107">
        <f>256.225</f>
        <v>256.22500000000002</v>
      </c>
      <c r="CH107">
        <f>239.595</f>
        <v>239.595</v>
      </c>
      <c r="CI107">
        <f>345.917</f>
        <v>345.91699999999997</v>
      </c>
      <c r="CJ107">
        <f>252.698</f>
        <v>252.69800000000001</v>
      </c>
      <c r="CK107">
        <f>222.538</f>
        <v>222.53800000000001</v>
      </c>
      <c r="CL107">
        <f>613.241</f>
        <v>613.24099999999999</v>
      </c>
      <c r="CM107">
        <f>246.575</f>
        <v>246.57499999999999</v>
      </c>
      <c r="CN107">
        <f>398.812</f>
        <v>398.81200000000001</v>
      </c>
      <c r="CO107">
        <f>205.393</f>
        <v>205.393</v>
      </c>
      <c r="CP107">
        <f>134.698</f>
        <v>134.69800000000001</v>
      </c>
      <c r="CQ107">
        <f>1056.578</f>
        <v>1056.578</v>
      </c>
      <c r="CR107">
        <f>556.24</f>
        <v>556.24</v>
      </c>
      <c r="CS107">
        <f>0</f>
        <v>0</v>
      </c>
      <c r="CT107">
        <f>129.889</f>
        <v>129.88900000000001</v>
      </c>
      <c r="CU107">
        <f>27.611</f>
        <v>27.611000000000001</v>
      </c>
      <c r="CV107">
        <f>0</f>
        <v>0</v>
      </c>
      <c r="CW107">
        <f>20.5</f>
        <v>20.5</v>
      </c>
      <c r="CX107">
        <f>22.9</f>
        <v>22.9</v>
      </c>
      <c r="CY107">
        <f>66.5</f>
        <v>66.5</v>
      </c>
      <c r="CZ107">
        <f>140.5</f>
        <v>140.5</v>
      </c>
      <c r="DA107">
        <f>0</f>
        <v>0</v>
      </c>
      <c r="DB107">
        <f>11.6</f>
        <v>11.6</v>
      </c>
      <c r="DC107">
        <f>33.6</f>
        <v>33.6</v>
      </c>
      <c r="DD107">
        <f>4.5</f>
        <v>4.5</v>
      </c>
      <c r="DE107">
        <f>17.6</f>
        <v>17.600000000000001</v>
      </c>
      <c r="DF107">
        <f>373.8</f>
        <v>373.8</v>
      </c>
      <c r="DG107">
        <f>185.4</f>
        <v>185.4</v>
      </c>
      <c r="DH107">
        <f>242.7</f>
        <v>242.7</v>
      </c>
      <c r="DI107">
        <f>13</f>
        <v>13</v>
      </c>
      <c r="DJ107">
        <f>206.3</f>
        <v>206.3</v>
      </c>
      <c r="DK107">
        <f>68.55</f>
        <v>68.55</v>
      </c>
      <c r="DL107">
        <f>257.3</f>
        <v>257.3</v>
      </c>
      <c r="DM107">
        <f>16.4</f>
        <v>16.399999999999999</v>
      </c>
      <c r="DN107">
        <f>1.9</f>
        <v>1.9</v>
      </c>
      <c r="DO107">
        <f>225.724</f>
        <v>225.72399999999999</v>
      </c>
      <c r="DP107">
        <f>52</f>
        <v>52</v>
      </c>
      <c r="DQ107">
        <f>8.275</f>
        <v>8.2750000000000004</v>
      </c>
      <c r="DR107">
        <f>0</f>
        <v>0</v>
      </c>
      <c r="DS107">
        <f>0</f>
        <v>0</v>
      </c>
      <c r="DT107">
        <f>0</f>
        <v>0</v>
      </c>
      <c r="DU107">
        <f>0</f>
        <v>0</v>
      </c>
    </row>
    <row r="108" spans="1:125">
      <c r="A108" t="str">
        <f>"    Free Standing Retail REITs"</f>
        <v xml:space="preserve">    Free Standing Retail REITs</v>
      </c>
      <c r="B108" t="str">
        <f>"RECFDSFS Index"</f>
        <v>RECFDSFS Index</v>
      </c>
      <c r="E108" t="str">
        <f t="shared" si="24"/>
        <v>Expression</v>
      </c>
      <c r="F108">
        <f ca="1">IF(AND($B$183=1,LEN($F$209)&gt;0),$F$209*1000,HLOOKUP(INDIRECT(ADDRESS(2,COLUMN())),OFFSET($BN$2,0,0,ROW()-1,60),ROW()-1,FALSE))</f>
        <v>347.22699999999998</v>
      </c>
      <c r="G108">
        <f ca="1">IF(AND($B$183=1,LEN($G$209)&gt;0),$G$209*1000,HLOOKUP(INDIRECT(ADDRESS(2,COLUMN())),OFFSET($BN$2,0,0,ROW()-1,60),ROW()-1,FALSE))</f>
        <v>488.47300000000001</v>
      </c>
      <c r="H108">
        <f ca="1">IF(AND($B$183=1,LEN($H$209)&gt;0),$H$209*1000,HLOOKUP(INDIRECT(ADDRESS(2,COLUMN())),OFFSET($BN$2,0,0,ROW()-1,60),ROW()-1,FALSE))</f>
        <v>287.322</v>
      </c>
      <c r="I108">
        <f ca="1">IF(AND($B$183=1,LEN($I$209)&gt;0),$I$209*1000,HLOOKUP(INDIRECT(ADDRESS(2,COLUMN())),OFFSET($BN$2,0,0,ROW()-1,60),ROW()-1,FALSE))</f>
        <v>270.19099999999997</v>
      </c>
      <c r="J108">
        <f ca="1">IF(AND($B$183=1,LEN($J$209)&gt;0),$J$209*1000,HLOOKUP(INDIRECT(ADDRESS(2,COLUMN())),OFFSET($BN$2,0,0,ROW()-1,60),ROW()-1,FALSE))</f>
        <v>375.07499999999999</v>
      </c>
      <c r="K108">
        <f ca="1">IF(AND($B$183=1,LEN($K$209)&gt;0),$K$209*1000,HLOOKUP(INDIRECT(ADDRESS(2,COLUMN())),OFFSET($BN$2,0,0,ROW()-1,60),ROW()-1,FALSE))</f>
        <v>152.41999999999999</v>
      </c>
      <c r="L108">
        <f ca="1">IF(AND($B$183=1,LEN($L$209)&gt;0),$L$209*1000,HLOOKUP(INDIRECT(ADDRESS(2,COLUMN())),OFFSET($BN$2,0,0,ROW()-1,60),ROW()-1,FALSE))</f>
        <v>206.31</v>
      </c>
      <c r="M108">
        <f ca="1">IF(AND($B$183=1,LEN($M$209)&gt;0),$M$209*1000,HLOOKUP(INDIRECT(ADDRESS(2,COLUMN())),OFFSET($BN$2,0,0,ROW()-1,60),ROW()-1,FALSE))</f>
        <v>172.76400000000001</v>
      </c>
      <c r="N108">
        <f ca="1">IF(AND($B$183=1,LEN($N$209)&gt;0),$N$209*1000,HLOOKUP(INDIRECT(ADDRESS(2,COLUMN())),OFFSET($BN$2,0,0,ROW()-1,60),ROW()-1,FALSE))</f>
        <v>138.83699999999999</v>
      </c>
      <c r="O108">
        <f ca="1">IF(AND($B$183=1,LEN($O$209)&gt;0),$O$209*1000,HLOOKUP(INDIRECT(ADDRESS(2,COLUMN())),OFFSET($BN$2,0,0,ROW()-1,60),ROW()-1,FALSE))</f>
        <v>166.05199999999999</v>
      </c>
      <c r="P108">
        <f ca="1">IF(AND($B$183=1,LEN($P$209)&gt;0),$P$209*1000,HLOOKUP(INDIRECT(ADDRESS(2,COLUMN())),OFFSET($BN$2,0,0,ROW()-1,60),ROW()-1,FALSE))</f>
        <v>315.97199999999998</v>
      </c>
      <c r="Q108">
        <f ca="1">IF(AND($B$183=1,LEN($Q$209)&gt;0),$Q$209*1000,HLOOKUP(INDIRECT(ADDRESS(2,COLUMN())),OFFSET($BN$2,0,0,ROW()-1,60),ROW()-1,FALSE))</f>
        <v>397.27499999999998</v>
      </c>
      <c r="R108">
        <f ca="1">IF(AND($B$183=1,LEN($R$209)&gt;0),$R$209*1000,HLOOKUP(INDIRECT(ADDRESS(2,COLUMN())),OFFSET($BN$2,0,0,ROW()-1,60),ROW()-1,FALSE))</f>
        <v>2055.5859999999998</v>
      </c>
      <c r="S108">
        <f ca="1">IF(AND($B$183=1,LEN($S$209)&gt;0),$S$209*1000,HLOOKUP(INDIRECT(ADDRESS(2,COLUMN())),OFFSET($BN$2,0,0,ROW()-1,60),ROW()-1,FALSE))</f>
        <v>154.04599999999999</v>
      </c>
      <c r="T108">
        <f ca="1">IF(AND($B$183=1,LEN($T$209)&gt;0),$T$209*1000,HLOOKUP(INDIRECT(ADDRESS(2,COLUMN())),OFFSET($BN$2,0,0,ROW()-1,60),ROW()-1,FALSE))</f>
        <v>70.614000000000004</v>
      </c>
      <c r="U108">
        <f ca="1">IF(AND($B$183=1,LEN($U$209)&gt;0),$U$209*1000,HLOOKUP(INDIRECT(ADDRESS(2,COLUMN())),OFFSET($BN$2,0,0,ROW()-1,60),ROW()-1,FALSE))</f>
        <v>105.63500000000001</v>
      </c>
      <c r="V108">
        <f ca="1">IF(AND($B$183=1,LEN($V$209)&gt;0),$V$209*1000,HLOOKUP(INDIRECT(ADDRESS(2,COLUMN())),OFFSET($BN$2,0,0,ROW()-1,60),ROW()-1,FALSE))</f>
        <v>171.31399999999999</v>
      </c>
      <c r="W108">
        <f ca="1">IF(AND($B$183=1,LEN($W$209)&gt;0),$W$209*1000,HLOOKUP(INDIRECT(ADDRESS(2,COLUMN())),OFFSET($BN$2,0,0,ROW()-1,60),ROW()-1,FALSE))</f>
        <v>379.471</v>
      </c>
      <c r="X108">
        <f ca="1">IF(AND($B$183=1,LEN($X$209)&gt;0),$X$209*1000,HLOOKUP(INDIRECT(ADDRESS(2,COLUMN())),OFFSET($BN$2,0,0,ROW()-1,60),ROW()-1,FALSE))</f>
        <v>75.146000000000001</v>
      </c>
      <c r="Y108">
        <f ca="1">IF(AND($B$183=1,LEN($Y$209)&gt;0),$Y$209*1000,HLOOKUP(INDIRECT(ADDRESS(2,COLUMN())),OFFSET($BN$2,0,0,ROW()-1,60),ROW()-1,FALSE))</f>
        <v>94.427999999999997</v>
      </c>
      <c r="Z108">
        <f ca="1">IF(AND($B$183=1,LEN($Z$209)&gt;0),$Z$209*1000,HLOOKUP(INDIRECT(ADDRESS(2,COLUMN())),OFFSET($BN$2,0,0,ROW()-1,60),ROW()-1,FALSE))</f>
        <v>65.331999999999994</v>
      </c>
      <c r="AA108">
        <f ca="1">IF(AND($B$183=1,LEN($AA$209)&gt;0),$AA$209*1000,HLOOKUP(INDIRECT(ADDRESS(2,COLUMN())),OFFSET($BN$2,0,0,ROW()-1,60),ROW()-1,FALSE))</f>
        <v>45.279000000000003</v>
      </c>
      <c r="AB108">
        <f ca="1">IF(AND($B$183=1,LEN($AB$209)&gt;0),$AB$209*1000,HLOOKUP(INDIRECT(ADDRESS(2,COLUMN())),OFFSET($BN$2,0,0,ROW()-1,60),ROW()-1,FALSE))</f>
        <v>27.829000000000001</v>
      </c>
      <c r="AC108">
        <f ca="1">IF(AND($B$183=1,LEN($AC$209)&gt;0),$AC$209*1000,HLOOKUP(INDIRECT(ADDRESS(2,COLUMN())),OFFSET($BN$2,0,0,ROW()-1,60),ROW()-1,FALSE))</f>
        <v>18.535</v>
      </c>
      <c r="AD108">
        <f ca="1">IF(AND($B$183=1,LEN($AD$209)&gt;0),$AD$209*1000,HLOOKUP(INDIRECT(ADDRESS(2,COLUMN())),OFFSET($BN$2,0,0,ROW()-1,60),ROW()-1,FALSE))</f>
        <v>17.852</v>
      </c>
      <c r="AE108">
        <f ca="1">IF(AND($B$183=1,LEN($AE$209)&gt;0),$AE$209*1000,HLOOKUP(INDIRECT(ADDRESS(2,COLUMN())),OFFSET($BN$2,0,0,ROW()-1,60),ROW()-1,FALSE))</f>
        <v>14.606999999999999</v>
      </c>
      <c r="AF108">
        <f ca="1">IF(AND($B$183=1,LEN($AF$209)&gt;0),$AF$209*1000,HLOOKUP(INDIRECT(ADDRESS(2,COLUMN())),OFFSET($BN$2,0,0,ROW()-1,60),ROW()-1,FALSE))</f>
        <v>3.3</v>
      </c>
      <c r="AG108">
        <f ca="1">IF(AND($B$183=1,LEN($AG$209)&gt;0),$AG$209*1000,HLOOKUP(INDIRECT(ADDRESS(2,COLUMN())),OFFSET($BN$2,0,0,ROW()-1,60),ROW()-1,FALSE))</f>
        <v>8.5719999999999992</v>
      </c>
      <c r="AH108">
        <f ca="1">IF(AND($B$183=1,LEN($AH$209)&gt;0),$AH$209*1000,HLOOKUP(INDIRECT(ADDRESS(2,COLUMN())),OFFSET($BN$2,0,0,ROW()-1,60),ROW()-1,FALSE))</f>
        <v>18.529</v>
      </c>
      <c r="AI108">
        <f ca="1">IF(AND($B$183=1,LEN($AI$209)&gt;0),$AI$209*1000,HLOOKUP(INDIRECT(ADDRESS(2,COLUMN())),OFFSET($BN$2,0,0,ROW()-1,60),ROW()-1,FALSE))</f>
        <v>10.3</v>
      </c>
      <c r="AJ108">
        <f ca="1">IF(AND($B$183=1,LEN($AJ$209)&gt;0),$AJ$209*1000,HLOOKUP(INDIRECT(ADDRESS(2,COLUMN())),OFFSET($BN$2,0,0,ROW()-1,60),ROW()-1,FALSE))</f>
        <v>4.5940000000000003</v>
      </c>
      <c r="AK108">
        <f ca="1">IF(AND($B$183=1,LEN($AK$209)&gt;0),$AK$209*1000,HLOOKUP(INDIRECT(ADDRESS(2,COLUMN())),OFFSET($BN$2,0,0,ROW()-1,60),ROW()-1,FALSE))</f>
        <v>18.376999999999999</v>
      </c>
      <c r="AL108">
        <f ca="1">IF(AND($B$183=1,LEN($AL$209)&gt;0),$AL$209*1000,HLOOKUP(INDIRECT(ADDRESS(2,COLUMN())),OFFSET($BN$2,0,0,ROW()-1,60),ROW()-1,FALSE))</f>
        <v>15.416</v>
      </c>
      <c r="AM108">
        <f ca="1">IF(AND($B$183=1,LEN($AM$209)&gt;0),$AM$209*1000,HLOOKUP(INDIRECT(ADDRESS(2,COLUMN())),OFFSET($BN$2,0,0,ROW()-1,60),ROW()-1,FALSE))</f>
        <v>4.4000000000000004</v>
      </c>
      <c r="AN108">
        <f ca="1">IF(AND($B$183=1,LEN($AN$209)&gt;0),$AN$209*1000,HLOOKUP(INDIRECT(ADDRESS(2,COLUMN())),OFFSET($BN$2,0,0,ROW()-1,60),ROW()-1,FALSE))</f>
        <v>10.884</v>
      </c>
      <c r="AO108">
        <f ca="1">IF(AND($B$183=1,LEN($AO$209)&gt;0),$AO$209*1000,HLOOKUP(INDIRECT(ADDRESS(2,COLUMN())),OFFSET($BN$2,0,0,ROW()-1,60),ROW()-1,FALSE))</f>
        <v>5.2210000000000001</v>
      </c>
      <c r="AP108">
        <f ca="1">IF(AND($B$183=1,LEN($AP$209)&gt;0),$AP$209*1000,HLOOKUP(INDIRECT(ADDRESS(2,COLUMN())),OFFSET($BN$2,0,0,ROW()-1,60),ROW()-1,FALSE))</f>
        <v>11.923999999999999</v>
      </c>
      <c r="AQ108">
        <f ca="1">IF(AND($B$183=1,LEN($AQ$209)&gt;0),$AQ$209*1000,HLOOKUP(INDIRECT(ADDRESS(2,COLUMN())),OFFSET($BN$2,0,0,ROW()-1,60),ROW()-1,FALSE))</f>
        <v>30.712</v>
      </c>
      <c r="AR108">
        <f ca="1">IF(AND($B$183=1,LEN($AR$209)&gt;0),$AR$209*1000,HLOOKUP(INDIRECT(ADDRESS(2,COLUMN())),OFFSET($BN$2,0,0,ROW()-1,60),ROW()-1,FALSE))</f>
        <v>33.857999999999997</v>
      </c>
      <c r="AS108">
        <f ca="1">IF(AND($B$183=1,LEN($AS$209)&gt;0),$AS$209*1000,HLOOKUP(INDIRECT(ADDRESS(2,COLUMN())),OFFSET($BN$2,0,0,ROW()-1,60),ROW()-1,FALSE))</f>
        <v>10.670999999999999</v>
      </c>
      <c r="AT108">
        <f ca="1">IF(AND($B$183=1,LEN($AT$209)&gt;0),$AT$209*1000,HLOOKUP(INDIRECT(ADDRESS(2,COLUMN())),OFFSET($BN$2,0,0,ROW()-1,60),ROW()-1,FALSE))</f>
        <v>32.484999999999999</v>
      </c>
      <c r="AU108">
        <f ca="1">IF(AND($B$183=1,LEN($AU$209)&gt;0),$AU$209*1000,HLOOKUP(INDIRECT(ADDRESS(2,COLUMN())),OFFSET($BN$2,0,0,ROW()-1,60),ROW()-1,FALSE))</f>
        <v>58.033999999999999</v>
      </c>
      <c r="AV108">
        <f ca="1">IF(AND($B$183=1,LEN($AV$209)&gt;0),$AV$209*1000,HLOOKUP(INDIRECT(ADDRESS(2,COLUMN())),OFFSET($BN$2,0,0,ROW()-1,60),ROW()-1,FALSE))</f>
        <v>54.521000000000001</v>
      </c>
      <c r="AW108">
        <f ca="1">IF(AND($B$183=1,LEN($AW$209)&gt;0),$AW$209*1000,HLOOKUP(INDIRECT(ADDRESS(2,COLUMN())),OFFSET($BN$2,0,0,ROW()-1,60),ROW()-1,FALSE))</f>
        <v>7.9470000000000001</v>
      </c>
      <c r="AX108">
        <f ca="1">IF(AND($B$183=1,LEN($AX$209)&gt;0),$AX$209*1000,HLOOKUP(INDIRECT(ADDRESS(2,COLUMN())),OFFSET($BN$2,0,0,ROW()-1,60),ROW()-1,FALSE))</f>
        <v>54.302</v>
      </c>
      <c r="AY108">
        <f ca="1">IF(AND($B$183=1,LEN($AY$209)&gt;0),$AY$209*1000,HLOOKUP(INDIRECT(ADDRESS(2,COLUMN())),OFFSET($BN$2,0,0,ROW()-1,60),ROW()-1,FALSE))</f>
        <v>24.318999999999999</v>
      </c>
      <c r="AZ108">
        <f ca="1">IF(AND($B$183=1,LEN($AZ$209)&gt;0),$AZ$209*1000,HLOOKUP(INDIRECT(ADDRESS(2,COLUMN())),OFFSET($BN$2,0,0,ROW()-1,60),ROW()-1,FALSE))</f>
        <v>232.476</v>
      </c>
      <c r="BA108">
        <f ca="1">IF(AND($B$183=1,LEN($BA$209)&gt;0),$BA$209*1000,HLOOKUP(INDIRECT(ADDRESS(2,COLUMN())),OFFSET($BN$2,0,0,ROW()-1,60),ROW()-1,FALSE))</f>
        <v>18.963999999999999</v>
      </c>
      <c r="BB108">
        <f ca="1">IF(AND($B$183=1,LEN($BB$209)&gt;0),$BB$209*1000,HLOOKUP(INDIRECT(ADDRESS(2,COLUMN())),OFFSET($BN$2,0,0,ROW()-1,60),ROW()-1,FALSE))</f>
        <v>122.97</v>
      </c>
      <c r="BC108">
        <f ca="1">IF(AND($B$183=1,LEN($BC$209)&gt;0),$BC$209*1000,HLOOKUP(INDIRECT(ADDRESS(2,COLUMN())),OFFSET($BN$2,0,0,ROW()-1,60),ROW()-1,FALSE))</f>
        <v>6.7439999999999998</v>
      </c>
      <c r="BD108">
        <f ca="1">IF(AND($B$183=1,LEN($BD$209)&gt;0),$BD$209*1000,HLOOKUP(INDIRECT(ADDRESS(2,COLUMN())),OFFSET($BN$2,0,0,ROW()-1,60),ROW()-1,FALSE))</f>
        <v>9.33</v>
      </c>
      <c r="BE108">
        <f ca="1">IF(AND($B$183=1,LEN($BE$209)&gt;0),$BE$209*1000,HLOOKUP(INDIRECT(ADDRESS(2,COLUMN())),OFFSET($BN$2,0,0,ROW()-1,60),ROW()-1,FALSE))</f>
        <v>38.433</v>
      </c>
      <c r="BF108">
        <f ca="1">IF(AND($B$183=1,LEN($BF$209)&gt;0),$BF$209*1000,HLOOKUP(INDIRECT(ADDRESS(2,COLUMN())),OFFSET($BN$2,0,0,ROW()-1,60),ROW()-1,FALSE))</f>
        <v>27.571000000000002</v>
      </c>
      <c r="BG108">
        <f ca="1">IF(AND($B$183=1,LEN($BG$209)&gt;0),$BG$209*1000,HLOOKUP(INDIRECT(ADDRESS(2,COLUMN())),OFFSET($BN$2,0,0,ROW()-1,60),ROW()-1,FALSE))</f>
        <v>16.77</v>
      </c>
      <c r="BH108">
        <f ca="1">IF(AND($B$183=1,LEN($BH$209)&gt;0),$BH$209*1000,HLOOKUP(INDIRECT(ADDRESS(2,COLUMN())),OFFSET($BN$2,0,0,ROW()-1,60),ROW()-1,FALSE))</f>
        <v>17.978999999999999</v>
      </c>
      <c r="BI108">
        <f ca="1">IF(AND($B$183=1,LEN($BI$209)&gt;0),$BI$209*1000,HLOOKUP(INDIRECT(ADDRESS(2,COLUMN())),OFFSET($BN$2,0,0,ROW()-1,60),ROW()-1,FALSE))</f>
        <v>7.8239999999999998</v>
      </c>
      <c r="BJ108">
        <f ca="1">IF(AND($B$183=1,LEN($BJ$209)&gt;0),$BJ$209*1000,HLOOKUP(INDIRECT(ADDRESS(2,COLUMN())),OFFSET($BN$2,0,0,ROW()-1,60),ROW()-1,FALSE))</f>
        <v>8.5</v>
      </c>
      <c r="BK108">
        <f ca="1">IF(AND($B$183=1,LEN($BK$209)&gt;0),$BK$209*1000,HLOOKUP(INDIRECT(ADDRESS(2,COLUMN())),OFFSET($BN$2,0,0,ROW()-1,60),ROW()-1,FALSE))</f>
        <v>0</v>
      </c>
      <c r="BL108">
        <f ca="1">IF(AND($B$183=1,LEN($BL$209)&gt;0),$BL$209*1000,HLOOKUP(INDIRECT(ADDRESS(2,COLUMN())),OFFSET($BN$2,0,0,ROW()-1,60),ROW()-1,FALSE))</f>
        <v>0</v>
      </c>
      <c r="BM108">
        <f ca="1">IF(AND($B$183=1,LEN($BM$209)&gt;0),$BM$209*1000,HLOOKUP(INDIRECT(ADDRESS(2,COLUMN())),OFFSET($BN$2,0,0,ROW()-1,60),ROW()-1,FALSE))</f>
        <v>0</v>
      </c>
      <c r="BN108">
        <f>347.227</f>
        <v>347.22699999999998</v>
      </c>
      <c r="BO108">
        <f>488.473</f>
        <v>488.47300000000001</v>
      </c>
      <c r="BP108">
        <f>287.322</f>
        <v>287.322</v>
      </c>
      <c r="BQ108">
        <f>270.191</f>
        <v>270.19099999999997</v>
      </c>
      <c r="BR108">
        <f>375.075</f>
        <v>375.07499999999999</v>
      </c>
      <c r="BS108">
        <f>152.42</f>
        <v>152.41999999999999</v>
      </c>
      <c r="BT108">
        <f>206.31</f>
        <v>206.31</v>
      </c>
      <c r="BU108">
        <f>172.764</f>
        <v>172.76400000000001</v>
      </c>
      <c r="BV108">
        <f>138.837</f>
        <v>138.83699999999999</v>
      </c>
      <c r="BW108">
        <f>166.052</f>
        <v>166.05199999999999</v>
      </c>
      <c r="BX108">
        <f>315.972</f>
        <v>315.97199999999998</v>
      </c>
      <c r="BY108">
        <f>397.275</f>
        <v>397.27499999999998</v>
      </c>
      <c r="BZ108">
        <f>2055.586</f>
        <v>2055.5859999999998</v>
      </c>
      <c r="CA108">
        <f>154.046</f>
        <v>154.04599999999999</v>
      </c>
      <c r="CB108">
        <f>70.614</f>
        <v>70.614000000000004</v>
      </c>
      <c r="CC108">
        <f>105.635</f>
        <v>105.63500000000001</v>
      </c>
      <c r="CD108">
        <f>171.314</f>
        <v>171.31399999999999</v>
      </c>
      <c r="CE108">
        <f>379.471</f>
        <v>379.471</v>
      </c>
      <c r="CF108">
        <f>75.146</f>
        <v>75.146000000000001</v>
      </c>
      <c r="CG108">
        <f>94.428</f>
        <v>94.427999999999997</v>
      </c>
      <c r="CH108">
        <f>65.332</f>
        <v>65.331999999999994</v>
      </c>
      <c r="CI108">
        <f>45.279</f>
        <v>45.279000000000003</v>
      </c>
      <c r="CJ108">
        <f>27.829</f>
        <v>27.829000000000001</v>
      </c>
      <c r="CK108">
        <f>18.535</f>
        <v>18.535</v>
      </c>
      <c r="CL108">
        <f>17.852</f>
        <v>17.852</v>
      </c>
      <c r="CM108">
        <f>14.607</f>
        <v>14.606999999999999</v>
      </c>
      <c r="CN108">
        <f>3.3</f>
        <v>3.3</v>
      </c>
      <c r="CO108">
        <f>8.572</f>
        <v>8.5719999999999992</v>
      </c>
      <c r="CP108">
        <f>18.529</f>
        <v>18.529</v>
      </c>
      <c r="CQ108">
        <f>10.3</f>
        <v>10.3</v>
      </c>
      <c r="CR108">
        <f>4.594</f>
        <v>4.5940000000000003</v>
      </c>
      <c r="CS108">
        <f>18.377</f>
        <v>18.376999999999999</v>
      </c>
      <c r="CT108">
        <f>15.416</f>
        <v>15.416</v>
      </c>
      <c r="CU108">
        <f>4.4</f>
        <v>4.4000000000000004</v>
      </c>
      <c r="CV108">
        <f>10.884</f>
        <v>10.884</v>
      </c>
      <c r="CW108">
        <f>5.221</f>
        <v>5.2210000000000001</v>
      </c>
      <c r="CX108">
        <f>11.924</f>
        <v>11.923999999999999</v>
      </c>
      <c r="CY108">
        <f>30.712</f>
        <v>30.712</v>
      </c>
      <c r="CZ108">
        <f>33.858</f>
        <v>33.857999999999997</v>
      </c>
      <c r="DA108">
        <f>10.671</f>
        <v>10.670999999999999</v>
      </c>
      <c r="DB108">
        <f>32.485</f>
        <v>32.484999999999999</v>
      </c>
      <c r="DC108">
        <f>58.034</f>
        <v>58.033999999999999</v>
      </c>
      <c r="DD108">
        <f>54.521</f>
        <v>54.521000000000001</v>
      </c>
      <c r="DE108">
        <f>7.947</f>
        <v>7.9470000000000001</v>
      </c>
      <c r="DF108">
        <f>54.302</f>
        <v>54.302</v>
      </c>
      <c r="DG108">
        <f>24.319</f>
        <v>24.318999999999999</v>
      </c>
      <c r="DH108">
        <f>232.476</f>
        <v>232.476</v>
      </c>
      <c r="DI108">
        <f>18.964</f>
        <v>18.963999999999999</v>
      </c>
      <c r="DJ108">
        <f>122.97</f>
        <v>122.97</v>
      </c>
      <c r="DK108">
        <f>6.744</f>
        <v>6.7439999999999998</v>
      </c>
      <c r="DL108">
        <f>9.33</f>
        <v>9.33</v>
      </c>
      <c r="DM108">
        <f>38.433</f>
        <v>38.433</v>
      </c>
      <c r="DN108">
        <f>27.571</f>
        <v>27.571000000000002</v>
      </c>
      <c r="DO108">
        <f>16.77</f>
        <v>16.77</v>
      </c>
      <c r="DP108">
        <f>17.979</f>
        <v>17.978999999999999</v>
      </c>
      <c r="DQ108">
        <f>7.824</f>
        <v>7.8239999999999998</v>
      </c>
      <c r="DR108">
        <f>8.5</f>
        <v>8.5</v>
      </c>
      <c r="DS108">
        <f>0</f>
        <v>0</v>
      </c>
      <c r="DT108">
        <f>0</f>
        <v>0</v>
      </c>
      <c r="DU108">
        <f>0</f>
        <v>0</v>
      </c>
    </row>
    <row r="109" spans="1:125">
      <c r="A109" t="str">
        <f>"    Residential REITs"</f>
        <v xml:space="preserve">    Residential REITs</v>
      </c>
      <c r="B109" t="str">
        <f>"RECFDSRS Index"</f>
        <v>RECFDSRS Index</v>
      </c>
      <c r="E109" t="str">
        <f t="shared" si="24"/>
        <v>Expression</v>
      </c>
      <c r="F109">
        <f ca="1">IF(AND($B$183=1,LEN($F$210)&gt;0),$F$210*1000,HLOOKUP(INDIRECT(ADDRESS(2,COLUMN())),OFFSET($BN$2,0,0,ROW()-1,60),ROW()-1,FALSE))</f>
        <v>1104.7570000000001</v>
      </c>
      <c r="G109">
        <f ca="1">IF(AND($B$183=1,LEN($G$210)&gt;0),$G$210*1000,HLOOKUP(INDIRECT(ADDRESS(2,COLUMN())),OFFSET($BN$2,0,0,ROW()-1,60),ROW()-1,FALSE))</f>
        <v>776.05</v>
      </c>
      <c r="H109">
        <f ca="1">IF(AND($B$183=1,LEN($H$210)&gt;0),$H$210*1000,HLOOKUP(INDIRECT(ADDRESS(2,COLUMN())),OFFSET($BN$2,0,0,ROW()-1,60),ROW()-1,FALSE))</f>
        <v>1001.9829999999999</v>
      </c>
      <c r="I109">
        <f ca="1">IF(AND($B$183=1,LEN($I$210)&gt;0),$I$210*1000,HLOOKUP(INDIRECT(ADDRESS(2,COLUMN())),OFFSET($BN$2,0,0,ROW()-1,60),ROW()-1,FALSE))</f>
        <v>991.52599999999995</v>
      </c>
      <c r="J109">
        <f ca="1">IF(AND($B$183=1,LEN($J$210)&gt;0),$J$210*1000,HLOOKUP(INDIRECT(ADDRESS(2,COLUMN())),OFFSET($BN$2,0,0,ROW()-1,60),ROW()-1,FALSE))</f>
        <v>1902.3</v>
      </c>
      <c r="K109">
        <f ca="1">IF(AND($B$183=1,LEN($K$210)&gt;0),$K$210*1000,HLOOKUP(INDIRECT(ADDRESS(2,COLUMN())),OFFSET($BN$2,0,0,ROW()-1,60),ROW()-1,FALSE))</f>
        <v>1496.7249999999999</v>
      </c>
      <c r="L109">
        <f ca="1">IF(AND($B$183=1,LEN($L$210)&gt;0),$L$210*1000,HLOOKUP(INDIRECT(ADDRESS(2,COLUMN())),OFFSET($BN$2,0,0,ROW()-1,60),ROW()-1,FALSE))</f>
        <v>1667.308</v>
      </c>
      <c r="M109">
        <f ca="1">IF(AND($B$183=1,LEN($M$210)&gt;0),$M$210*1000,HLOOKUP(INDIRECT(ADDRESS(2,COLUMN())),OFFSET($BN$2,0,0,ROW()-1,60),ROW()-1,FALSE))</f>
        <v>7147.5950000000003</v>
      </c>
      <c r="N109">
        <f ca="1">IF(AND($B$183=1,LEN($N$210)&gt;0),$N$210*1000,HLOOKUP(INDIRECT(ADDRESS(2,COLUMN())),OFFSET($BN$2,0,0,ROW()-1,60),ROW()-1,FALSE))</f>
        <v>1416.16</v>
      </c>
      <c r="O109">
        <f ca="1">IF(AND($B$183=1,LEN($O$210)&gt;0),$O$210*1000,HLOOKUP(INDIRECT(ADDRESS(2,COLUMN())),OFFSET($BN$2,0,0,ROW()-1,60),ROW()-1,FALSE))</f>
        <v>556.274</v>
      </c>
      <c r="P109">
        <f ca="1">IF(AND($B$183=1,LEN($P$210)&gt;0),$P$210*1000,HLOOKUP(INDIRECT(ADDRESS(2,COLUMN())),OFFSET($BN$2,0,0,ROW()-1,60),ROW()-1,FALSE))</f>
        <v>821.86900000000003</v>
      </c>
      <c r="Q109">
        <f ca="1">IF(AND($B$183=1,LEN($Q$210)&gt;0),$Q$210*1000,HLOOKUP(INDIRECT(ADDRESS(2,COLUMN())),OFFSET($BN$2,0,0,ROW()-1,60),ROW()-1,FALSE))</f>
        <v>1554.14</v>
      </c>
      <c r="R109">
        <f ca="1">IF(AND($B$183=1,LEN($R$210)&gt;0),$R$210*1000,HLOOKUP(INDIRECT(ADDRESS(2,COLUMN())),OFFSET($BN$2,0,0,ROW()-1,60),ROW()-1,FALSE))</f>
        <v>1327.5709999999999</v>
      </c>
      <c r="S109">
        <f ca="1">IF(AND($B$183=1,LEN($S$210)&gt;0),$S$210*1000,HLOOKUP(INDIRECT(ADDRESS(2,COLUMN())),OFFSET($BN$2,0,0,ROW()-1,60),ROW()-1,FALSE))</f>
        <v>1718.0070000000001</v>
      </c>
      <c r="T109">
        <f ca="1">IF(AND($B$183=1,LEN($T$210)&gt;0),$T$210*1000,HLOOKUP(INDIRECT(ADDRESS(2,COLUMN())),OFFSET($BN$2,0,0,ROW()-1,60),ROW()-1,FALSE))</f>
        <v>798.875</v>
      </c>
      <c r="U109">
        <f ca="1">IF(AND($B$183=1,LEN($U$210)&gt;0),$U$210*1000,HLOOKUP(INDIRECT(ADDRESS(2,COLUMN())),OFFSET($BN$2,0,0,ROW()-1,60),ROW()-1,FALSE))</f>
        <v>746.62900000000002</v>
      </c>
      <c r="V109">
        <f ca="1">IF(AND($B$183=1,LEN($V$210)&gt;0),$V$210*1000,HLOOKUP(INDIRECT(ADDRESS(2,COLUMN())),OFFSET($BN$2,0,0,ROW()-1,60),ROW()-1,FALSE))</f>
        <v>1725.3109999999999</v>
      </c>
      <c r="W109">
        <f ca="1">IF(AND($B$183=1,LEN($W$210)&gt;0),$W$210*1000,HLOOKUP(INDIRECT(ADDRESS(2,COLUMN())),OFFSET($BN$2,0,0,ROW()-1,60),ROW()-1,FALSE))</f>
        <v>1627.702</v>
      </c>
      <c r="X109">
        <f ca="1">IF(AND($B$183=1,LEN($X$210)&gt;0),$X$210*1000,HLOOKUP(INDIRECT(ADDRESS(2,COLUMN())),OFFSET($BN$2,0,0,ROW()-1,60),ROW()-1,FALSE))</f>
        <v>2090.3229999999999</v>
      </c>
      <c r="Y109">
        <f ca="1">IF(AND($B$183=1,LEN($Y$210)&gt;0),$Y$210*1000,HLOOKUP(INDIRECT(ADDRESS(2,COLUMN())),OFFSET($BN$2,0,0,ROW()-1,60),ROW()-1,FALSE))</f>
        <v>3837.7249999999999</v>
      </c>
      <c r="Z109">
        <f ca="1">IF(AND($B$183=1,LEN($Z$210)&gt;0),$Z$210*1000,HLOOKUP(INDIRECT(ADDRESS(2,COLUMN())),OFFSET($BN$2,0,0,ROW()-1,60),ROW()-1,FALSE))</f>
        <v>2486.0439999999999</v>
      </c>
      <c r="AA109">
        <f ca="1">IF(AND($B$183=1,LEN($AA$210)&gt;0),$AA$210*1000,HLOOKUP(INDIRECT(ADDRESS(2,COLUMN())),OFFSET($BN$2,0,0,ROW()-1,60),ROW()-1,FALSE))</f>
        <v>819.61599999999999</v>
      </c>
      <c r="AB109">
        <f ca="1">IF(AND($B$183=1,LEN($AB$210)&gt;0),$AB$210*1000,HLOOKUP(INDIRECT(ADDRESS(2,COLUMN())),OFFSET($BN$2,0,0,ROW()-1,60),ROW()-1,FALSE))</f>
        <v>1173.4000000000001</v>
      </c>
      <c r="AC109">
        <f ca="1">IF(AND($B$183=1,LEN($AC$210)&gt;0),$AC$210*1000,HLOOKUP(INDIRECT(ADDRESS(2,COLUMN())),OFFSET($BN$2,0,0,ROW()-1,60),ROW()-1,FALSE))</f>
        <v>739.82899999999995</v>
      </c>
      <c r="AD109">
        <f ca="1">IF(AND($B$183=1,LEN($AD$210)&gt;0),$AD$210*1000,HLOOKUP(INDIRECT(ADDRESS(2,COLUMN())),OFFSET($BN$2,0,0,ROW()-1,60),ROW()-1,FALSE))</f>
        <v>1159.5150000000001</v>
      </c>
      <c r="AE109">
        <f ca="1">IF(AND($B$183=1,LEN($AE$210)&gt;0),$AE$210*1000,HLOOKUP(INDIRECT(ADDRESS(2,COLUMN())),OFFSET($BN$2,0,0,ROW()-1,60),ROW()-1,FALSE))</f>
        <v>600</v>
      </c>
      <c r="AF109">
        <f ca="1">IF(AND($B$183=1,LEN($AF$210)&gt;0),$AF$210*1000,HLOOKUP(INDIRECT(ADDRESS(2,COLUMN())),OFFSET($BN$2,0,0,ROW()-1,60),ROW()-1,FALSE))</f>
        <v>1678.443</v>
      </c>
      <c r="AG109">
        <f ca="1">IF(AND($B$183=1,LEN($AG$210)&gt;0),$AG$210*1000,HLOOKUP(INDIRECT(ADDRESS(2,COLUMN())),OFFSET($BN$2,0,0,ROW()-1,60),ROW()-1,FALSE))</f>
        <v>356.07100000000003</v>
      </c>
      <c r="AH109">
        <f ca="1">IF(AND($B$183=1,LEN($AH$210)&gt;0),$AH$210*1000,HLOOKUP(INDIRECT(ADDRESS(2,COLUMN())),OFFSET($BN$2,0,0,ROW()-1,60),ROW()-1,FALSE))</f>
        <v>890.08500000000004</v>
      </c>
      <c r="AI109">
        <f ca="1">IF(AND($B$183=1,LEN($AI$210)&gt;0),$AI$210*1000,HLOOKUP(INDIRECT(ADDRESS(2,COLUMN())),OFFSET($BN$2,0,0,ROW()-1,60),ROW()-1,FALSE))</f>
        <v>656.06700000000001</v>
      </c>
      <c r="AJ109">
        <f ca="1">IF(AND($B$183=1,LEN($AJ$210)&gt;0),$AJ$210*1000,HLOOKUP(INDIRECT(ADDRESS(2,COLUMN())),OFFSET($BN$2,0,0,ROW()-1,60),ROW()-1,FALSE))</f>
        <v>281.45</v>
      </c>
      <c r="AK109">
        <f ca="1">IF(AND($B$183=1,LEN($AK$210)&gt;0),$AK$210*1000,HLOOKUP(INDIRECT(ADDRESS(2,COLUMN())),OFFSET($BN$2,0,0,ROW()-1,60),ROW()-1,FALSE))</f>
        <v>360.57799999999997</v>
      </c>
      <c r="AL109">
        <f ca="1">IF(AND($B$183=1,LEN($AL$210)&gt;0),$AL$210*1000,HLOOKUP(INDIRECT(ADDRESS(2,COLUMN())),OFFSET($BN$2,0,0,ROW()-1,60),ROW()-1,FALSE))</f>
        <v>990.03800000000001</v>
      </c>
      <c r="AM109">
        <f ca="1">IF(AND($B$183=1,LEN($AM$210)&gt;0),$AM$210*1000,HLOOKUP(INDIRECT(ADDRESS(2,COLUMN())),OFFSET($BN$2,0,0,ROW()-1,60),ROW()-1,FALSE))</f>
        <v>1016.101</v>
      </c>
      <c r="AN109">
        <f ca="1">IF(AND($B$183=1,LEN($AN$210)&gt;0),$AN$210*1000,HLOOKUP(INDIRECT(ADDRESS(2,COLUMN())),OFFSET($BN$2,0,0,ROW()-1,60),ROW()-1,FALSE))</f>
        <v>687.12199999999996</v>
      </c>
      <c r="AO109">
        <f ca="1">IF(AND($B$183=1,LEN($AO$210)&gt;0),$AO$210*1000,HLOOKUP(INDIRECT(ADDRESS(2,COLUMN())),OFFSET($BN$2,0,0,ROW()-1,60),ROW()-1,FALSE))</f>
        <v>369.47699999999998</v>
      </c>
      <c r="AP109">
        <f ca="1">IF(AND($B$183=1,LEN($AP$210)&gt;0),$AP$210*1000,HLOOKUP(INDIRECT(ADDRESS(2,COLUMN())),OFFSET($BN$2,0,0,ROW()-1,60),ROW()-1,FALSE))</f>
        <v>1224.4069999999999</v>
      </c>
      <c r="AQ109">
        <f ca="1">IF(AND($B$183=1,LEN($AQ$210)&gt;0),$AQ$210*1000,HLOOKUP(INDIRECT(ADDRESS(2,COLUMN())),OFFSET($BN$2,0,0,ROW()-1,60),ROW()-1,FALSE))</f>
        <v>1968.896</v>
      </c>
      <c r="AR109">
        <f ca="1">IF(AND($B$183=1,LEN($AR$210)&gt;0),$AR$210*1000,HLOOKUP(INDIRECT(ADDRESS(2,COLUMN())),OFFSET($BN$2,0,0,ROW()-1,60),ROW()-1,FALSE))</f>
        <v>1533.4590000000001</v>
      </c>
      <c r="AS109">
        <f ca="1">IF(AND($B$183=1,LEN($AS$210)&gt;0),$AS$210*1000,HLOOKUP(INDIRECT(ADDRESS(2,COLUMN())),OFFSET($BN$2,0,0,ROW()-1,60),ROW()-1,FALSE))</f>
        <v>2264.3380000000002</v>
      </c>
      <c r="AT109">
        <f ca="1">IF(AND($B$183=1,LEN($AT$210)&gt;0),$AT$210*1000,HLOOKUP(INDIRECT(ADDRESS(2,COLUMN())),OFFSET($BN$2,0,0,ROW()-1,60),ROW()-1,FALSE))</f>
        <v>1254.201</v>
      </c>
      <c r="AU109">
        <f ca="1">IF(AND($B$183=1,LEN($AU$210)&gt;0),$AU$210*1000,HLOOKUP(INDIRECT(ADDRESS(2,COLUMN())),OFFSET($BN$2,0,0,ROW()-1,60),ROW()-1,FALSE))</f>
        <v>2004.2339999999999</v>
      </c>
      <c r="AV109">
        <f ca="1">IF(AND($B$183=1,LEN($AV$210)&gt;0),$AV$210*1000,HLOOKUP(INDIRECT(ADDRESS(2,COLUMN())),OFFSET($BN$2,0,0,ROW()-1,60),ROW()-1,FALSE))</f>
        <v>1239.174</v>
      </c>
      <c r="AW109">
        <f ca="1">IF(AND($B$183=1,LEN($AW$210)&gt;0),$AW$210*1000,HLOOKUP(INDIRECT(ADDRESS(2,COLUMN())),OFFSET($BN$2,0,0,ROW()-1,60),ROW()-1,FALSE))</f>
        <v>1249.76</v>
      </c>
      <c r="AX109">
        <f ca="1">IF(AND($B$183=1,LEN($AX$210)&gt;0),$AX$210*1000,HLOOKUP(INDIRECT(ADDRESS(2,COLUMN())),OFFSET($BN$2,0,0,ROW()-1,60),ROW()-1,FALSE))</f>
        <v>3001.4349999999999</v>
      </c>
      <c r="AY109">
        <f ca="1">IF(AND($B$183=1,LEN($AY$210)&gt;0),$AY$210*1000,HLOOKUP(INDIRECT(ADDRESS(2,COLUMN())),OFFSET($BN$2,0,0,ROW()-1,60),ROW()-1,FALSE))</f>
        <v>881.32500000000005</v>
      </c>
      <c r="AZ109">
        <f ca="1">IF(AND($B$183=1,LEN($AZ$210)&gt;0),$AZ$210*1000,HLOOKUP(INDIRECT(ADDRESS(2,COLUMN())),OFFSET($BN$2,0,0,ROW()-1,60),ROW()-1,FALSE))</f>
        <v>1395.633</v>
      </c>
      <c r="BA109">
        <f ca="1">IF(AND($B$183=1,LEN($BA$210)&gt;0),$BA$210*1000,HLOOKUP(INDIRECT(ADDRESS(2,COLUMN())),OFFSET($BN$2,0,0,ROW()-1,60),ROW()-1,FALSE))</f>
        <v>1639.4059999999999</v>
      </c>
      <c r="BB109">
        <f ca="1">IF(AND($B$183=1,LEN($BB$210)&gt;0),$BB$210*1000,HLOOKUP(INDIRECT(ADDRESS(2,COLUMN())),OFFSET($BN$2,0,0,ROW()-1,60),ROW()-1,FALSE))</f>
        <v>1915.4090000000001</v>
      </c>
      <c r="BC109">
        <f ca="1">IF(AND($B$183=1,LEN($BC$210)&gt;0),$BC$210*1000,HLOOKUP(INDIRECT(ADDRESS(2,COLUMN())),OFFSET($BN$2,0,0,ROW()-1,60),ROW()-1,FALSE))</f>
        <v>1908.319</v>
      </c>
      <c r="BD109">
        <f ca="1">IF(AND($B$183=1,LEN($BD$210)&gt;0),$BD$210*1000,HLOOKUP(INDIRECT(ADDRESS(2,COLUMN())),OFFSET($BN$2,0,0,ROW()-1,60),ROW()-1,FALSE))</f>
        <v>969.78499999999997</v>
      </c>
      <c r="BE109">
        <f ca="1">IF(AND($B$183=1,LEN($BE$210)&gt;0),$BE$210*1000,HLOOKUP(INDIRECT(ADDRESS(2,COLUMN())),OFFSET($BN$2,0,0,ROW()-1,60),ROW()-1,FALSE))</f>
        <v>1034.604</v>
      </c>
      <c r="BF109">
        <f ca="1">IF(AND($B$183=1,LEN($BF$210)&gt;0),$BF$210*1000,HLOOKUP(INDIRECT(ADDRESS(2,COLUMN())),OFFSET($BN$2,0,0,ROW()-1,60),ROW()-1,FALSE))</f>
        <v>1845.5</v>
      </c>
      <c r="BG109">
        <f ca="1">IF(AND($B$183=1,LEN($BG$210)&gt;0),$BG$210*1000,HLOOKUP(INDIRECT(ADDRESS(2,COLUMN())),OFFSET($BN$2,0,0,ROW()-1,60),ROW()-1,FALSE))</f>
        <v>1615.1479999999999</v>
      </c>
      <c r="BH109">
        <f ca="1">IF(AND($B$183=1,LEN($BH$210)&gt;0),$BH$210*1000,HLOOKUP(INDIRECT(ADDRESS(2,COLUMN())),OFFSET($BN$2,0,0,ROW()-1,60),ROW()-1,FALSE))</f>
        <v>1027.9849999999999</v>
      </c>
      <c r="BI109">
        <f ca="1">IF(AND($B$183=1,LEN($BI$210)&gt;0),$BI$210*1000,HLOOKUP(INDIRECT(ADDRESS(2,COLUMN())),OFFSET($BN$2,0,0,ROW()-1,60),ROW()-1,FALSE))</f>
        <v>664.08699999999999</v>
      </c>
      <c r="BJ109">
        <f ca="1">IF(AND($B$183=1,LEN($BJ$210)&gt;0),$BJ$210*1000,HLOOKUP(INDIRECT(ADDRESS(2,COLUMN())),OFFSET($BN$2,0,0,ROW()-1,60),ROW()-1,FALSE))</f>
        <v>18.8</v>
      </c>
      <c r="BK109">
        <f ca="1">IF(AND($B$183=1,LEN($BK$210)&gt;0),$BK$210*1000,HLOOKUP(INDIRECT(ADDRESS(2,COLUMN())),OFFSET($BN$2,0,0,ROW()-1,60),ROW()-1,FALSE))</f>
        <v>19.399999999999999</v>
      </c>
      <c r="BL109">
        <f ca="1">IF(AND($B$183=1,LEN($BL$210)&gt;0),$BL$210*1000,HLOOKUP(INDIRECT(ADDRESS(2,COLUMN())),OFFSET($BN$2,0,0,ROW()-1,60),ROW()-1,FALSE))</f>
        <v>39.299999999999997</v>
      </c>
      <c r="BM109">
        <f ca="1">IF(AND($B$183=1,LEN($BM$210)&gt;0),$BM$210*1000,HLOOKUP(INDIRECT(ADDRESS(2,COLUMN())),OFFSET($BN$2,0,0,ROW()-1,60),ROW()-1,FALSE))</f>
        <v>8</v>
      </c>
      <c r="BN109">
        <f>1104.757</f>
        <v>1104.7570000000001</v>
      </c>
      <c r="BO109">
        <f>776.05</f>
        <v>776.05</v>
      </c>
      <c r="BP109">
        <f>1001.983</f>
        <v>1001.9829999999999</v>
      </c>
      <c r="BQ109">
        <f>991.526</f>
        <v>991.52599999999995</v>
      </c>
      <c r="BR109">
        <f>1902.3</f>
        <v>1902.3</v>
      </c>
      <c r="BS109">
        <f>1496.725</f>
        <v>1496.7249999999999</v>
      </c>
      <c r="BT109">
        <f>1667.308</f>
        <v>1667.308</v>
      </c>
      <c r="BU109">
        <f>7147.595</f>
        <v>7147.5950000000003</v>
      </c>
      <c r="BV109">
        <f>1416.16</f>
        <v>1416.16</v>
      </c>
      <c r="BW109">
        <f>556.274</f>
        <v>556.274</v>
      </c>
      <c r="BX109">
        <f>821.869</f>
        <v>821.86900000000003</v>
      </c>
      <c r="BY109">
        <f>1554.14</f>
        <v>1554.14</v>
      </c>
      <c r="BZ109">
        <f>1327.571</f>
        <v>1327.5709999999999</v>
      </c>
      <c r="CA109">
        <f>1718.007</f>
        <v>1718.0070000000001</v>
      </c>
      <c r="CB109">
        <f>798.875</f>
        <v>798.875</v>
      </c>
      <c r="CC109">
        <f>746.629</f>
        <v>746.62900000000002</v>
      </c>
      <c r="CD109">
        <f>1725.311</f>
        <v>1725.3109999999999</v>
      </c>
      <c r="CE109">
        <f>1627.702</f>
        <v>1627.702</v>
      </c>
      <c r="CF109">
        <f>2090.323</f>
        <v>2090.3229999999999</v>
      </c>
      <c r="CG109">
        <f>3837.725</f>
        <v>3837.7249999999999</v>
      </c>
      <c r="CH109">
        <f>2486.044</f>
        <v>2486.0439999999999</v>
      </c>
      <c r="CI109">
        <f>819.616</f>
        <v>819.61599999999999</v>
      </c>
      <c r="CJ109">
        <f>1173.4</f>
        <v>1173.4000000000001</v>
      </c>
      <c r="CK109">
        <f>739.829</f>
        <v>739.82899999999995</v>
      </c>
      <c r="CL109">
        <f>1159.515</f>
        <v>1159.5150000000001</v>
      </c>
      <c r="CM109">
        <f>600</f>
        <v>600</v>
      </c>
      <c r="CN109">
        <f>1678.443</f>
        <v>1678.443</v>
      </c>
      <c r="CO109">
        <f>356.071</f>
        <v>356.07100000000003</v>
      </c>
      <c r="CP109">
        <f>890.085</f>
        <v>890.08500000000004</v>
      </c>
      <c r="CQ109">
        <f>656.067</f>
        <v>656.06700000000001</v>
      </c>
      <c r="CR109">
        <f>281.45</f>
        <v>281.45</v>
      </c>
      <c r="CS109">
        <f>360.578</f>
        <v>360.57799999999997</v>
      </c>
      <c r="CT109">
        <f>990.038</f>
        <v>990.03800000000001</v>
      </c>
      <c r="CU109">
        <f>1016.101</f>
        <v>1016.101</v>
      </c>
      <c r="CV109">
        <f>687.122</f>
        <v>687.12199999999996</v>
      </c>
      <c r="CW109">
        <f>369.477</f>
        <v>369.47699999999998</v>
      </c>
      <c r="CX109">
        <f>1224.407</f>
        <v>1224.4069999999999</v>
      </c>
      <c r="CY109">
        <f>1968.896</f>
        <v>1968.896</v>
      </c>
      <c r="CZ109">
        <f>1533.459</f>
        <v>1533.4590000000001</v>
      </c>
      <c r="DA109">
        <f>2264.338</f>
        <v>2264.3380000000002</v>
      </c>
      <c r="DB109">
        <f>1254.201</f>
        <v>1254.201</v>
      </c>
      <c r="DC109">
        <f>2004.234</f>
        <v>2004.2339999999999</v>
      </c>
      <c r="DD109">
        <f>1239.174</f>
        <v>1239.174</v>
      </c>
      <c r="DE109">
        <f>1249.76</f>
        <v>1249.76</v>
      </c>
      <c r="DF109">
        <f>3001.435</f>
        <v>3001.4349999999999</v>
      </c>
      <c r="DG109">
        <f>881.325</f>
        <v>881.32500000000005</v>
      </c>
      <c r="DH109">
        <f>1395.633</f>
        <v>1395.633</v>
      </c>
      <c r="DI109">
        <f>1639.406</f>
        <v>1639.4059999999999</v>
      </c>
      <c r="DJ109">
        <f>1915.409</f>
        <v>1915.4090000000001</v>
      </c>
      <c r="DK109">
        <f>1908.319</f>
        <v>1908.319</v>
      </c>
      <c r="DL109">
        <f>969.785</f>
        <v>969.78499999999997</v>
      </c>
      <c r="DM109">
        <f>1034.604</f>
        <v>1034.604</v>
      </c>
      <c r="DN109">
        <f>1845.5</f>
        <v>1845.5</v>
      </c>
      <c r="DO109">
        <f>1615.148</f>
        <v>1615.1479999999999</v>
      </c>
      <c r="DP109">
        <f>1027.985</f>
        <v>1027.9849999999999</v>
      </c>
      <c r="DQ109">
        <f>664.087</f>
        <v>664.08699999999999</v>
      </c>
      <c r="DR109">
        <f>18.8</f>
        <v>18.8</v>
      </c>
      <c r="DS109">
        <f>19.4</f>
        <v>19.399999999999999</v>
      </c>
      <c r="DT109">
        <f>39.3</f>
        <v>39.299999999999997</v>
      </c>
      <c r="DU109">
        <f>8</f>
        <v>8</v>
      </c>
    </row>
    <row r="110" spans="1:125">
      <c r="A110" t="str">
        <f>"    Apartment REITs"</f>
        <v xml:space="preserve">    Apartment REITs</v>
      </c>
      <c r="B110" t="str">
        <f>"RECFDSAP Index"</f>
        <v>RECFDSAP Index</v>
      </c>
      <c r="E110" t="str">
        <f t="shared" si="24"/>
        <v>Expression</v>
      </c>
      <c r="F110">
        <f ca="1">IF(AND($B$183=1,LEN($F$211)&gt;0),$F$211*1000,HLOOKUP(INDIRECT(ADDRESS(2,COLUMN())),OFFSET($BN$2,0,0,ROW()-1,60),ROW()-1,FALSE))</f>
        <v>1046.9000000000001</v>
      </c>
      <c r="G110">
        <f ca="1">IF(AND($B$183=1,LEN($G$211)&gt;0),$G$211*1000,HLOOKUP(INDIRECT(ADDRESS(2,COLUMN())),OFFSET($BN$2,0,0,ROW()-1,60),ROW()-1,FALSE))</f>
        <v>682.65</v>
      </c>
      <c r="H110">
        <f ca="1">IF(AND($B$183=1,LEN($H$211)&gt;0),$H$211*1000,HLOOKUP(INDIRECT(ADDRESS(2,COLUMN())),OFFSET($BN$2,0,0,ROW()-1,60),ROW()-1,FALSE))</f>
        <v>826.98800000000006</v>
      </c>
      <c r="I110">
        <f ca="1">IF(AND($B$183=1,LEN($I$211)&gt;0),$I$211*1000,HLOOKUP(INDIRECT(ADDRESS(2,COLUMN())),OFFSET($BN$2,0,0,ROW()-1,60),ROW()-1,FALSE))</f>
        <v>871</v>
      </c>
      <c r="J110">
        <f ca="1">IF(AND($B$183=1,LEN($J$211)&gt;0),$J$211*1000,HLOOKUP(INDIRECT(ADDRESS(2,COLUMN())),OFFSET($BN$2,0,0,ROW()-1,60),ROW()-1,FALSE))</f>
        <v>1818</v>
      </c>
      <c r="K110">
        <f ca="1">IF(AND($B$183=1,LEN($K$211)&gt;0),$K$211*1000,HLOOKUP(INDIRECT(ADDRESS(2,COLUMN())),OFFSET($BN$2,0,0,ROW()-1,60),ROW()-1,FALSE))</f>
        <v>1402.4639999999999</v>
      </c>
      <c r="L110">
        <f ca="1">IF(AND($B$183=1,LEN($L$211)&gt;0),$L$211*1000,HLOOKUP(INDIRECT(ADDRESS(2,COLUMN())),OFFSET($BN$2,0,0,ROW()-1,60),ROW()-1,FALSE))</f>
        <v>1567.6</v>
      </c>
      <c r="M110">
        <f ca="1">IF(AND($B$183=1,LEN($M$211)&gt;0),$M$211*1000,HLOOKUP(INDIRECT(ADDRESS(2,COLUMN())),OFFSET($BN$2,0,0,ROW()-1,60),ROW()-1,FALSE))</f>
        <v>7086.3530000000001</v>
      </c>
      <c r="N110">
        <f ca="1">IF(AND($B$183=1,LEN($N$211)&gt;0),$N$211*1000,HLOOKUP(INDIRECT(ADDRESS(2,COLUMN())),OFFSET($BN$2,0,0,ROW()-1,60),ROW()-1,FALSE))</f>
        <v>1171.3</v>
      </c>
      <c r="O110">
        <f ca="1">IF(AND($B$183=1,LEN($O$211)&gt;0),$O$211*1000,HLOOKUP(INDIRECT(ADDRESS(2,COLUMN())),OFFSET($BN$2,0,0,ROW()-1,60),ROW()-1,FALSE))</f>
        <v>504.21800000000002</v>
      </c>
      <c r="P110">
        <f ca="1">IF(AND($B$183=1,LEN($P$211)&gt;0),$P$211*1000,HLOOKUP(INDIRECT(ADDRESS(2,COLUMN())),OFFSET($BN$2,0,0,ROW()-1,60),ROW()-1,FALSE))</f>
        <v>810.202</v>
      </c>
      <c r="Q110">
        <f ca="1">IF(AND($B$183=1,LEN($Q$211)&gt;0),$Q$211*1000,HLOOKUP(INDIRECT(ADDRESS(2,COLUMN())),OFFSET($BN$2,0,0,ROW()-1,60),ROW()-1,FALSE))</f>
        <v>1534.9</v>
      </c>
      <c r="R110">
        <f ca="1">IF(AND($B$183=1,LEN($R$211)&gt;0),$R$211*1000,HLOOKUP(INDIRECT(ADDRESS(2,COLUMN())),OFFSET($BN$2,0,0,ROW()-1,60),ROW()-1,FALSE))</f>
        <v>1326.998</v>
      </c>
      <c r="S110">
        <f ca="1">IF(AND($B$183=1,LEN($S$211)&gt;0),$S$211*1000,HLOOKUP(INDIRECT(ADDRESS(2,COLUMN())),OFFSET($BN$2,0,0,ROW()-1,60),ROW()-1,FALSE))</f>
        <v>1671.4349999999999</v>
      </c>
      <c r="T110">
        <f ca="1">IF(AND($B$183=1,LEN($T$211)&gt;0),$T$211*1000,HLOOKUP(INDIRECT(ADDRESS(2,COLUMN())),OFFSET($BN$2,0,0,ROW()-1,60),ROW()-1,FALSE))</f>
        <v>781.375</v>
      </c>
      <c r="U110">
        <f ca="1">IF(AND($B$183=1,LEN($U$211)&gt;0),$U$211*1000,HLOOKUP(INDIRECT(ADDRESS(2,COLUMN())),OFFSET($BN$2,0,0,ROW()-1,60),ROW()-1,FALSE))</f>
        <v>745.39700000000005</v>
      </c>
      <c r="V110">
        <f ca="1">IF(AND($B$183=1,LEN($V$211)&gt;0),$V$211*1000,HLOOKUP(INDIRECT(ADDRESS(2,COLUMN())),OFFSET($BN$2,0,0,ROW()-1,60),ROW()-1,FALSE))</f>
        <v>1723.567</v>
      </c>
      <c r="W110">
        <f ca="1">IF(AND($B$183=1,LEN($W$211)&gt;0),$W$211*1000,HLOOKUP(INDIRECT(ADDRESS(2,COLUMN())),OFFSET($BN$2,0,0,ROW()-1,60),ROW()-1,FALSE))</f>
        <v>1458.5070000000001</v>
      </c>
      <c r="X110">
        <f ca="1">IF(AND($B$183=1,LEN($X$211)&gt;0),$X$211*1000,HLOOKUP(INDIRECT(ADDRESS(2,COLUMN())),OFFSET($BN$2,0,0,ROW()-1,60),ROW()-1,FALSE))</f>
        <v>2090.3229999999999</v>
      </c>
      <c r="Y110">
        <f ca="1">IF(AND($B$183=1,LEN($Y$211)&gt;0),$Y$211*1000,HLOOKUP(INDIRECT(ADDRESS(2,COLUMN())),OFFSET($BN$2,0,0,ROW()-1,60),ROW()-1,FALSE))</f>
        <v>3837.7249999999999</v>
      </c>
      <c r="Z110">
        <f ca="1">IF(AND($B$183=1,LEN($Z$211)&gt;0),$Z$211*1000,HLOOKUP(INDIRECT(ADDRESS(2,COLUMN())),OFFSET($BN$2,0,0,ROW()-1,60),ROW()-1,FALSE))</f>
        <v>2477.3440000000001</v>
      </c>
      <c r="AA110">
        <f ca="1">IF(AND($B$183=1,LEN($AA$211)&gt;0),$AA$211*1000,HLOOKUP(INDIRECT(ADDRESS(2,COLUMN())),OFFSET($BN$2,0,0,ROW()-1,60),ROW()-1,FALSE))</f>
        <v>819.61599999999999</v>
      </c>
      <c r="AB110">
        <f ca="1">IF(AND($B$183=1,LEN($AB$211)&gt;0),$AB$211*1000,HLOOKUP(INDIRECT(ADDRESS(2,COLUMN())),OFFSET($BN$2,0,0,ROW()-1,60),ROW()-1,FALSE))</f>
        <v>1173.4000000000001</v>
      </c>
      <c r="AC110">
        <f ca="1">IF(AND($B$183=1,LEN($AC$211)&gt;0),$AC$211*1000,HLOOKUP(INDIRECT(ADDRESS(2,COLUMN())),OFFSET($BN$2,0,0,ROW()-1,60),ROW()-1,FALSE))</f>
        <v>739.82899999999995</v>
      </c>
      <c r="AD110">
        <f ca="1">IF(AND($B$183=1,LEN($AD$211)&gt;0),$AD$211*1000,HLOOKUP(INDIRECT(ADDRESS(2,COLUMN())),OFFSET($BN$2,0,0,ROW()-1,60),ROW()-1,FALSE))</f>
        <v>1159.5150000000001</v>
      </c>
      <c r="AE110">
        <f ca="1">IF(AND($B$183=1,LEN($AE$211)&gt;0),$AE$211*1000,HLOOKUP(INDIRECT(ADDRESS(2,COLUMN())),OFFSET($BN$2,0,0,ROW()-1,60),ROW()-1,FALSE))</f>
        <v>600</v>
      </c>
      <c r="AF110">
        <f ca="1">IF(AND($B$183=1,LEN($AF$211)&gt;0),$AF$211*1000,HLOOKUP(INDIRECT(ADDRESS(2,COLUMN())),OFFSET($BN$2,0,0,ROW()-1,60),ROW()-1,FALSE))</f>
        <v>1678.443</v>
      </c>
      <c r="AG110">
        <f ca="1">IF(AND($B$183=1,LEN($AG$211)&gt;0),$AG$211*1000,HLOOKUP(INDIRECT(ADDRESS(2,COLUMN())),OFFSET($BN$2,0,0,ROW()-1,60),ROW()-1,FALSE))</f>
        <v>356.07100000000003</v>
      </c>
      <c r="AH110">
        <f ca="1">IF(AND($B$183=1,LEN($AH$211)&gt;0),$AH$211*1000,HLOOKUP(INDIRECT(ADDRESS(2,COLUMN())),OFFSET($BN$2,0,0,ROW()-1,60),ROW()-1,FALSE))</f>
        <v>890.08500000000004</v>
      </c>
      <c r="AI110">
        <f ca="1">IF(AND($B$183=1,LEN($AI$211)&gt;0),$AI$211*1000,HLOOKUP(INDIRECT(ADDRESS(2,COLUMN())),OFFSET($BN$2,0,0,ROW()-1,60),ROW()-1,FALSE))</f>
        <v>656.06700000000001</v>
      </c>
      <c r="AJ110">
        <f ca="1">IF(AND($B$183=1,LEN($AJ$211)&gt;0),$AJ$211*1000,HLOOKUP(INDIRECT(ADDRESS(2,COLUMN())),OFFSET($BN$2,0,0,ROW()-1,60),ROW()-1,FALSE))</f>
        <v>281.45</v>
      </c>
      <c r="AK110">
        <f ca="1">IF(AND($B$183=1,LEN($AK$211)&gt;0),$AK$211*1000,HLOOKUP(INDIRECT(ADDRESS(2,COLUMN())),OFFSET($BN$2,0,0,ROW()-1,60),ROW()-1,FALSE))</f>
        <v>356.95</v>
      </c>
      <c r="AL110">
        <f ca="1">IF(AND($B$183=1,LEN($AL$211)&gt;0),$AL$211*1000,HLOOKUP(INDIRECT(ADDRESS(2,COLUMN())),OFFSET($BN$2,0,0,ROW()-1,60),ROW()-1,FALSE))</f>
        <v>990.03800000000001</v>
      </c>
      <c r="AM110">
        <f ca="1">IF(AND($B$183=1,LEN($AM$211)&gt;0),$AM$211*1000,HLOOKUP(INDIRECT(ADDRESS(2,COLUMN())),OFFSET($BN$2,0,0,ROW()-1,60),ROW()-1,FALSE))</f>
        <v>1003.701</v>
      </c>
      <c r="AN110">
        <f ca="1">IF(AND($B$183=1,LEN($AN$211)&gt;0),$AN$211*1000,HLOOKUP(INDIRECT(ADDRESS(2,COLUMN())),OFFSET($BN$2,0,0,ROW()-1,60),ROW()-1,FALSE))</f>
        <v>684.92200000000003</v>
      </c>
      <c r="AO110">
        <f ca="1">IF(AND($B$183=1,LEN($AO$211)&gt;0),$AO$211*1000,HLOOKUP(INDIRECT(ADDRESS(2,COLUMN())),OFFSET($BN$2,0,0,ROW()-1,60),ROW()-1,FALSE))</f>
        <v>369.47699999999998</v>
      </c>
      <c r="AP110">
        <f ca="1">IF(AND($B$183=1,LEN($AP$211)&gt;0),$AP$211*1000,HLOOKUP(INDIRECT(ADDRESS(2,COLUMN())),OFFSET($BN$2,0,0,ROW()-1,60),ROW()-1,FALSE))</f>
        <v>1224.4069999999999</v>
      </c>
      <c r="AQ110">
        <f ca="1">IF(AND($B$183=1,LEN($AQ$211)&gt;0),$AQ$211*1000,HLOOKUP(INDIRECT(ADDRESS(2,COLUMN())),OFFSET($BN$2,0,0,ROW()-1,60),ROW()-1,FALSE))</f>
        <v>1968.896</v>
      </c>
      <c r="AR110">
        <f ca="1">IF(AND($B$183=1,LEN($AR$211)&gt;0),$AR$211*1000,HLOOKUP(INDIRECT(ADDRESS(2,COLUMN())),OFFSET($BN$2,0,0,ROW()-1,60),ROW()-1,FALSE))</f>
        <v>1531.3589999999999</v>
      </c>
      <c r="AS110">
        <f ca="1">IF(AND($B$183=1,LEN($AS$211)&gt;0),$AS$211*1000,HLOOKUP(INDIRECT(ADDRESS(2,COLUMN())),OFFSET($BN$2,0,0,ROW()-1,60),ROW()-1,FALSE))</f>
        <v>2264.3380000000002</v>
      </c>
      <c r="AT110">
        <f ca="1">IF(AND($B$183=1,LEN($AT$211)&gt;0),$AT$211*1000,HLOOKUP(INDIRECT(ADDRESS(2,COLUMN())),OFFSET($BN$2,0,0,ROW()-1,60),ROW()-1,FALSE))</f>
        <v>1251.6010000000001</v>
      </c>
      <c r="AU110">
        <f ca="1">IF(AND($B$183=1,LEN($AU$211)&gt;0),$AU$211*1000,HLOOKUP(INDIRECT(ADDRESS(2,COLUMN())),OFFSET($BN$2,0,0,ROW()-1,60),ROW()-1,FALSE))</f>
        <v>1973.634</v>
      </c>
      <c r="AV110">
        <f ca="1">IF(AND($B$183=1,LEN($AV$211)&gt;0),$AV$211*1000,HLOOKUP(INDIRECT(ADDRESS(2,COLUMN())),OFFSET($BN$2,0,0,ROW()-1,60),ROW()-1,FALSE))</f>
        <v>1239.174</v>
      </c>
      <c r="AW110">
        <f ca="1">IF(AND($B$183=1,LEN($AW$211)&gt;0),$AW$211*1000,HLOOKUP(INDIRECT(ADDRESS(2,COLUMN())),OFFSET($BN$2,0,0,ROW()-1,60),ROW()-1,FALSE))</f>
        <v>1242.06</v>
      </c>
      <c r="AX110">
        <f ca="1">IF(AND($B$183=1,LEN($AX$211)&gt;0),$AX$211*1000,HLOOKUP(INDIRECT(ADDRESS(2,COLUMN())),OFFSET($BN$2,0,0,ROW()-1,60),ROW()-1,FALSE))</f>
        <v>2996.335</v>
      </c>
      <c r="AY110">
        <f ca="1">IF(AND($B$183=1,LEN($AY$211)&gt;0),$AY$211*1000,HLOOKUP(INDIRECT(ADDRESS(2,COLUMN())),OFFSET($BN$2,0,0,ROW()-1,60),ROW()-1,FALSE))</f>
        <v>881.32500000000005</v>
      </c>
      <c r="AZ110">
        <f ca="1">IF(AND($B$183=1,LEN($AZ$211)&gt;0),$AZ$211*1000,HLOOKUP(INDIRECT(ADDRESS(2,COLUMN())),OFFSET($BN$2,0,0,ROW()-1,60),ROW()-1,FALSE))</f>
        <v>1395.633</v>
      </c>
      <c r="BA110">
        <f ca="1">IF(AND($B$183=1,LEN($BA$211)&gt;0),$BA$211*1000,HLOOKUP(INDIRECT(ADDRESS(2,COLUMN())),OFFSET($BN$2,0,0,ROW()-1,60),ROW()-1,FALSE))</f>
        <v>1584.4059999999999</v>
      </c>
      <c r="BB110">
        <f ca="1">IF(AND($B$183=1,LEN($BB$211)&gt;0),$BB$211*1000,HLOOKUP(INDIRECT(ADDRESS(2,COLUMN())),OFFSET($BN$2,0,0,ROW()-1,60),ROW()-1,FALSE))</f>
        <v>1908.7090000000001</v>
      </c>
      <c r="BC110">
        <f ca="1">IF(AND($B$183=1,LEN($BC$211)&gt;0),$BC$211*1000,HLOOKUP(INDIRECT(ADDRESS(2,COLUMN())),OFFSET($BN$2,0,0,ROW()-1,60),ROW()-1,FALSE))</f>
        <v>1768.8019999999999</v>
      </c>
      <c r="BD110">
        <f ca="1">IF(AND($B$183=1,LEN($BD$211)&gt;0),$BD$211*1000,HLOOKUP(INDIRECT(ADDRESS(2,COLUMN())),OFFSET($BN$2,0,0,ROW()-1,60),ROW()-1,FALSE))</f>
        <v>964.08500000000004</v>
      </c>
      <c r="BE110">
        <f ca="1">IF(AND($B$183=1,LEN($BE$211)&gt;0),$BE$211*1000,HLOOKUP(INDIRECT(ADDRESS(2,COLUMN())),OFFSET($BN$2,0,0,ROW()-1,60),ROW()-1,FALSE))</f>
        <v>1034.604</v>
      </c>
      <c r="BF110">
        <f ca="1">IF(AND($B$183=1,LEN($BF$211)&gt;0),$BF$211*1000,HLOOKUP(INDIRECT(ADDRESS(2,COLUMN())),OFFSET($BN$2,0,0,ROW()-1,60),ROW()-1,FALSE))</f>
        <v>1820.893</v>
      </c>
      <c r="BG110">
        <f ca="1">IF(AND($B$183=1,LEN($BG$211)&gt;0),$BG$211*1000,HLOOKUP(INDIRECT(ADDRESS(2,COLUMN())),OFFSET($BN$2,0,0,ROW()-1,60),ROW()-1,FALSE))</f>
        <v>1587.136</v>
      </c>
      <c r="BH110">
        <f ca="1">IF(AND($B$183=1,LEN($BH$211)&gt;0),$BH$211*1000,HLOOKUP(INDIRECT(ADDRESS(2,COLUMN())),OFFSET($BN$2,0,0,ROW()-1,60),ROW()-1,FALSE))</f>
        <v>1024.585</v>
      </c>
      <c r="BI110">
        <f ca="1">IF(AND($B$183=1,LEN($BI$211)&gt;0),$BI$211*1000,HLOOKUP(INDIRECT(ADDRESS(2,COLUMN())),OFFSET($BN$2,0,0,ROW()-1,60),ROW()-1,FALSE))</f>
        <v>664.08699999999999</v>
      </c>
      <c r="BJ110">
        <f ca="1">IF(AND($B$183=1,LEN($BJ$211)&gt;0),$BJ$211*1000,HLOOKUP(INDIRECT(ADDRESS(2,COLUMN())),OFFSET($BN$2,0,0,ROW()-1,60),ROW()-1,FALSE))</f>
        <v>18.8</v>
      </c>
      <c r="BK110">
        <f ca="1">IF(AND($B$183=1,LEN($BK$211)&gt;0),$BK$211*1000,HLOOKUP(INDIRECT(ADDRESS(2,COLUMN())),OFFSET($BN$2,0,0,ROW()-1,60),ROW()-1,FALSE))</f>
        <v>19.399999999999999</v>
      </c>
      <c r="BL110">
        <f ca="1">IF(AND($B$183=1,LEN($BL$211)&gt;0),$BL$211*1000,HLOOKUP(INDIRECT(ADDRESS(2,COLUMN())),OFFSET($BN$2,0,0,ROW()-1,60),ROW()-1,FALSE))</f>
        <v>12.2</v>
      </c>
      <c r="BM110">
        <f ca="1">IF(AND($B$183=1,LEN($BM$211)&gt;0),$BM$211*1000,HLOOKUP(INDIRECT(ADDRESS(2,COLUMN())),OFFSET($BN$2,0,0,ROW()-1,60),ROW()-1,FALSE))</f>
        <v>8</v>
      </c>
      <c r="BN110">
        <f>1046.9</f>
        <v>1046.9000000000001</v>
      </c>
      <c r="BO110">
        <f>682.65</f>
        <v>682.65</v>
      </c>
      <c r="BP110">
        <f>826.988</f>
        <v>826.98800000000006</v>
      </c>
      <c r="BQ110">
        <f>871</f>
        <v>871</v>
      </c>
      <c r="BR110">
        <f>1818</f>
        <v>1818</v>
      </c>
      <c r="BS110">
        <f>1402.464</f>
        <v>1402.4639999999999</v>
      </c>
      <c r="BT110">
        <f>1567.6</f>
        <v>1567.6</v>
      </c>
      <c r="BU110">
        <f>7086.353</f>
        <v>7086.3530000000001</v>
      </c>
      <c r="BV110">
        <f>1171.3</f>
        <v>1171.3</v>
      </c>
      <c r="BW110">
        <f>504.218</f>
        <v>504.21800000000002</v>
      </c>
      <c r="BX110">
        <f>810.202</f>
        <v>810.202</v>
      </c>
      <c r="BY110">
        <f>1534.9</f>
        <v>1534.9</v>
      </c>
      <c r="BZ110">
        <f>1326.998</f>
        <v>1326.998</v>
      </c>
      <c r="CA110">
        <f>1671.435</f>
        <v>1671.4349999999999</v>
      </c>
      <c r="CB110">
        <f>781.375</f>
        <v>781.375</v>
      </c>
      <c r="CC110">
        <f>745.397</f>
        <v>745.39700000000005</v>
      </c>
      <c r="CD110">
        <f>1723.567</f>
        <v>1723.567</v>
      </c>
      <c r="CE110">
        <f>1458.507</f>
        <v>1458.5070000000001</v>
      </c>
      <c r="CF110">
        <f>2090.323</f>
        <v>2090.3229999999999</v>
      </c>
      <c r="CG110">
        <f>3837.725</f>
        <v>3837.7249999999999</v>
      </c>
      <c r="CH110">
        <f>2477.344</f>
        <v>2477.3440000000001</v>
      </c>
      <c r="CI110">
        <f>819.616</f>
        <v>819.61599999999999</v>
      </c>
      <c r="CJ110">
        <f>1173.4</f>
        <v>1173.4000000000001</v>
      </c>
      <c r="CK110">
        <f>739.829</f>
        <v>739.82899999999995</v>
      </c>
      <c r="CL110">
        <f>1159.515</f>
        <v>1159.5150000000001</v>
      </c>
      <c r="CM110">
        <f>600</f>
        <v>600</v>
      </c>
      <c r="CN110">
        <f>1678.443</f>
        <v>1678.443</v>
      </c>
      <c r="CO110">
        <f>356.071</f>
        <v>356.07100000000003</v>
      </c>
      <c r="CP110">
        <f>890.085</f>
        <v>890.08500000000004</v>
      </c>
      <c r="CQ110">
        <f>656.067</f>
        <v>656.06700000000001</v>
      </c>
      <c r="CR110">
        <f>281.45</f>
        <v>281.45</v>
      </c>
      <c r="CS110">
        <f>356.95</f>
        <v>356.95</v>
      </c>
      <c r="CT110">
        <f>990.038</f>
        <v>990.03800000000001</v>
      </c>
      <c r="CU110">
        <f>1003.701</f>
        <v>1003.701</v>
      </c>
      <c r="CV110">
        <f>684.922</f>
        <v>684.92200000000003</v>
      </c>
      <c r="CW110">
        <f>369.477</f>
        <v>369.47699999999998</v>
      </c>
      <c r="CX110">
        <f>1224.407</f>
        <v>1224.4069999999999</v>
      </c>
      <c r="CY110">
        <f>1968.896</f>
        <v>1968.896</v>
      </c>
      <c r="CZ110">
        <f>1531.359</f>
        <v>1531.3589999999999</v>
      </c>
      <c r="DA110">
        <f>2264.338</f>
        <v>2264.3380000000002</v>
      </c>
      <c r="DB110">
        <f>1251.601</f>
        <v>1251.6010000000001</v>
      </c>
      <c r="DC110">
        <f>1973.634</f>
        <v>1973.634</v>
      </c>
      <c r="DD110">
        <f>1239.174</f>
        <v>1239.174</v>
      </c>
      <c r="DE110">
        <f>1242.06</f>
        <v>1242.06</v>
      </c>
      <c r="DF110">
        <f>2996.335</f>
        <v>2996.335</v>
      </c>
      <c r="DG110">
        <f>881.325</f>
        <v>881.32500000000005</v>
      </c>
      <c r="DH110">
        <f>1395.633</f>
        <v>1395.633</v>
      </c>
      <c r="DI110">
        <f>1584.406</f>
        <v>1584.4059999999999</v>
      </c>
      <c r="DJ110">
        <f>1908.709</f>
        <v>1908.7090000000001</v>
      </c>
      <c r="DK110">
        <f>1768.802</f>
        <v>1768.8019999999999</v>
      </c>
      <c r="DL110">
        <f>964.085</f>
        <v>964.08500000000004</v>
      </c>
      <c r="DM110">
        <f>1034.604</f>
        <v>1034.604</v>
      </c>
      <c r="DN110">
        <f>1820.893</f>
        <v>1820.893</v>
      </c>
      <c r="DO110">
        <f>1587.136</f>
        <v>1587.136</v>
      </c>
      <c r="DP110">
        <f>1024.585</f>
        <v>1024.585</v>
      </c>
      <c r="DQ110">
        <f>664.087</f>
        <v>664.08699999999999</v>
      </c>
      <c r="DR110">
        <f>18.8</f>
        <v>18.8</v>
      </c>
      <c r="DS110">
        <f>19.4</f>
        <v>19.399999999999999</v>
      </c>
      <c r="DT110">
        <f>12.2</f>
        <v>12.2</v>
      </c>
      <c r="DU110">
        <f>8</f>
        <v>8</v>
      </c>
    </row>
    <row r="111" spans="1:125">
      <c r="A111" t="str">
        <f>"    Manufactured Home REITs"</f>
        <v xml:space="preserve">    Manufactured Home REITs</v>
      </c>
      <c r="B111" t="str">
        <f>"RECFDSMH Index"</f>
        <v>RECFDSMH Index</v>
      </c>
      <c r="E111" t="str">
        <f t="shared" si="24"/>
        <v>Expression</v>
      </c>
      <c r="F111">
        <f ca="1">IF(AND($B$183=1,LEN($F$212)&gt;0),$F$212*1000,HLOOKUP(INDIRECT(ADDRESS(2,COLUMN())),OFFSET($BN$2,0,0,ROW()-1,60),ROW()-1,FALSE))</f>
        <v>0</v>
      </c>
      <c r="G111">
        <f ca="1">IF(AND($B$183=1,LEN($G$212)&gt;0),$G$212*1000,HLOOKUP(INDIRECT(ADDRESS(2,COLUMN())),OFFSET($BN$2,0,0,ROW()-1,60),ROW()-1,FALSE))</f>
        <v>0</v>
      </c>
      <c r="H111">
        <f ca="1">IF(AND($B$183=1,LEN($H$212)&gt;0),$H$212*1000,HLOOKUP(INDIRECT(ADDRESS(2,COLUMN())),OFFSET($BN$2,0,0,ROW()-1,60),ROW()-1,FALSE))</f>
        <v>0</v>
      </c>
      <c r="I111">
        <f ca="1">IF(AND($B$183=1,LEN($I$212)&gt;0),$I$212*1000,HLOOKUP(INDIRECT(ADDRESS(2,COLUMN())),OFFSET($BN$2,0,0,ROW()-1,60),ROW()-1,FALSE))</f>
        <v>0</v>
      </c>
      <c r="J111">
        <f ca="1">IF(AND($B$183=1,LEN($J$212)&gt;0),$J$212*1000,HLOOKUP(INDIRECT(ADDRESS(2,COLUMN())),OFFSET($BN$2,0,0,ROW()-1,60),ROW()-1,FALSE))</f>
        <v>0</v>
      </c>
      <c r="K111">
        <f ca="1">IF(AND($B$183=1,LEN($K$212)&gt;0),$K$212*1000,HLOOKUP(INDIRECT(ADDRESS(2,COLUMN())),OFFSET($BN$2,0,0,ROW()-1,60),ROW()-1,FALSE))</f>
        <v>0</v>
      </c>
      <c r="L111">
        <f ca="1">IF(AND($B$183=1,LEN($L$212)&gt;0),$L$212*1000,HLOOKUP(INDIRECT(ADDRESS(2,COLUMN())),OFFSET($BN$2,0,0,ROW()-1,60),ROW()-1,FALSE))</f>
        <v>0</v>
      </c>
      <c r="M111">
        <f ca="1">IF(AND($B$183=1,LEN($M$212)&gt;0),$M$212*1000,HLOOKUP(INDIRECT(ADDRESS(2,COLUMN())),OFFSET($BN$2,0,0,ROW()-1,60),ROW()-1,FALSE))</f>
        <v>0</v>
      </c>
      <c r="N111">
        <f ca="1">IF(AND($B$183=1,LEN($N$212)&gt;0),$N$212*1000,HLOOKUP(INDIRECT(ADDRESS(2,COLUMN())),OFFSET($BN$2,0,0,ROW()-1,60),ROW()-1,FALSE))</f>
        <v>174</v>
      </c>
      <c r="O111">
        <f ca="1">IF(AND($B$183=1,LEN($O$212)&gt;0),$O$212*1000,HLOOKUP(INDIRECT(ADDRESS(2,COLUMN())),OFFSET($BN$2,0,0,ROW()-1,60),ROW()-1,FALSE))</f>
        <v>32.5</v>
      </c>
      <c r="P111">
        <f ca="1">IF(AND($B$183=1,LEN($P$212)&gt;0),$P$212*1000,HLOOKUP(INDIRECT(ADDRESS(2,COLUMN())),OFFSET($BN$2,0,0,ROW()-1,60),ROW()-1,FALSE))</f>
        <v>0</v>
      </c>
      <c r="Q111">
        <f ca="1">IF(AND($B$183=1,LEN($Q$212)&gt;0),$Q$212*1000,HLOOKUP(INDIRECT(ADDRESS(2,COLUMN())),OFFSET($BN$2,0,0,ROW()-1,60),ROW()-1,FALSE))</f>
        <v>18</v>
      </c>
      <c r="R111">
        <f ca="1">IF(AND($B$183=1,LEN($R$212)&gt;0),$R$212*1000,HLOOKUP(INDIRECT(ADDRESS(2,COLUMN())),OFFSET($BN$2,0,0,ROW()-1,60),ROW()-1,FALSE))</f>
        <v>0</v>
      </c>
      <c r="S111">
        <f ca="1">IF(AND($B$183=1,LEN($S$212)&gt;0),$S$212*1000,HLOOKUP(INDIRECT(ADDRESS(2,COLUMN())),OFFSET($BN$2,0,0,ROW()-1,60),ROW()-1,FALSE))</f>
        <v>44.6</v>
      </c>
      <c r="T111">
        <f ca="1">IF(AND($B$183=1,LEN($T$212)&gt;0),$T$212*1000,HLOOKUP(INDIRECT(ADDRESS(2,COLUMN())),OFFSET($BN$2,0,0,ROW()-1,60),ROW()-1,FALSE))</f>
        <v>15.298</v>
      </c>
      <c r="U111">
        <f ca="1">IF(AND($B$183=1,LEN($U$212)&gt;0),$U$212*1000,HLOOKUP(INDIRECT(ADDRESS(2,COLUMN())),OFFSET($BN$2,0,0,ROW()-1,60),ROW()-1,FALSE))</f>
        <v>0</v>
      </c>
      <c r="V111">
        <f ca="1">IF(AND($B$183=1,LEN($V$212)&gt;0),$V$212*1000,HLOOKUP(INDIRECT(ADDRESS(2,COLUMN())),OFFSET($BN$2,0,0,ROW()-1,60),ROW()-1,FALSE))</f>
        <v>0</v>
      </c>
      <c r="W111">
        <f ca="1">IF(AND($B$183=1,LEN($W$212)&gt;0),$W$212*1000,HLOOKUP(INDIRECT(ADDRESS(2,COLUMN())),OFFSET($BN$2,0,0,ROW()-1,60),ROW()-1,FALSE))</f>
        <v>165</v>
      </c>
      <c r="X111">
        <f ca="1">IF(AND($B$183=1,LEN($X$212)&gt;0),$X$212*1000,HLOOKUP(INDIRECT(ADDRESS(2,COLUMN())),OFFSET($BN$2,0,0,ROW()-1,60),ROW()-1,FALSE))</f>
        <v>0</v>
      </c>
      <c r="Y111">
        <f ca="1">IF(AND($B$183=1,LEN($Y$212)&gt;0),$Y$212*1000,HLOOKUP(INDIRECT(ADDRESS(2,COLUMN())),OFFSET($BN$2,0,0,ROW()-1,60),ROW()-1,FALSE))</f>
        <v>0</v>
      </c>
      <c r="Z111">
        <f ca="1">IF(AND($B$183=1,LEN($Z$212)&gt;0),$Z$212*1000,HLOOKUP(INDIRECT(ADDRESS(2,COLUMN())),OFFSET($BN$2,0,0,ROW()-1,60),ROW()-1,FALSE))</f>
        <v>8.6999999999999993</v>
      </c>
      <c r="AA111">
        <f ca="1">IF(AND($B$183=1,LEN($AA$212)&gt;0),$AA$212*1000,HLOOKUP(INDIRECT(ADDRESS(2,COLUMN())),OFFSET($BN$2,0,0,ROW()-1,60),ROW()-1,FALSE))</f>
        <v>0</v>
      </c>
      <c r="AB111">
        <f ca="1">IF(AND($B$183=1,LEN($AB$212)&gt;0),$AB$212*1000,HLOOKUP(INDIRECT(ADDRESS(2,COLUMN())),OFFSET($BN$2,0,0,ROW()-1,60),ROW()-1,FALSE))</f>
        <v>0</v>
      </c>
      <c r="AC111">
        <f ca="1">IF(AND($B$183=1,LEN($AC$212)&gt;0),$AC$212*1000,HLOOKUP(INDIRECT(ADDRESS(2,COLUMN())),OFFSET($BN$2,0,0,ROW()-1,60),ROW()-1,FALSE))</f>
        <v>0</v>
      </c>
      <c r="AD111">
        <f ca="1">IF(AND($B$183=1,LEN($AD$212)&gt;0),$AD$212*1000,HLOOKUP(INDIRECT(ADDRESS(2,COLUMN())),OFFSET($BN$2,0,0,ROW()-1,60),ROW()-1,FALSE))</f>
        <v>0</v>
      </c>
      <c r="AE111">
        <f ca="1">IF(AND($B$183=1,LEN($AE$212)&gt;0),$AE$212*1000,HLOOKUP(INDIRECT(ADDRESS(2,COLUMN())),OFFSET($BN$2,0,0,ROW()-1,60),ROW()-1,FALSE))</f>
        <v>0</v>
      </c>
      <c r="AF111">
        <f ca="1">IF(AND($B$183=1,LEN($AF$212)&gt;0),$AF$212*1000,HLOOKUP(INDIRECT(ADDRESS(2,COLUMN())),OFFSET($BN$2,0,0,ROW()-1,60),ROW()-1,FALSE))</f>
        <v>0</v>
      </c>
      <c r="AG111">
        <f ca="1">IF(AND($B$183=1,LEN($AG$212)&gt;0),$AG$212*1000,HLOOKUP(INDIRECT(ADDRESS(2,COLUMN())),OFFSET($BN$2,0,0,ROW()-1,60),ROW()-1,FALSE))</f>
        <v>0</v>
      </c>
      <c r="AH111">
        <f ca="1">IF(AND($B$183=1,LEN($AH$212)&gt;0),$AH$212*1000,HLOOKUP(INDIRECT(ADDRESS(2,COLUMN())),OFFSET($BN$2,0,0,ROW()-1,60),ROW()-1,FALSE))</f>
        <v>0</v>
      </c>
      <c r="AI111">
        <f ca="1">IF(AND($B$183=1,LEN($AI$212)&gt;0),$AI$212*1000,HLOOKUP(INDIRECT(ADDRESS(2,COLUMN())),OFFSET($BN$2,0,0,ROW()-1,60),ROW()-1,FALSE))</f>
        <v>0</v>
      </c>
      <c r="AJ111">
        <f ca="1">IF(AND($B$183=1,LEN($AJ$212)&gt;0),$AJ$212*1000,HLOOKUP(INDIRECT(ADDRESS(2,COLUMN())),OFFSET($BN$2,0,0,ROW()-1,60),ROW()-1,FALSE))</f>
        <v>0</v>
      </c>
      <c r="AK111">
        <f ca="1">IF(AND($B$183=1,LEN($AK$212)&gt;0),$AK$212*1000,HLOOKUP(INDIRECT(ADDRESS(2,COLUMN())),OFFSET($BN$2,0,0,ROW()-1,60),ROW()-1,FALSE))</f>
        <v>3.6280000000000001</v>
      </c>
      <c r="AL111">
        <f ca="1">IF(AND($B$183=1,LEN($AL$212)&gt;0),$AL$212*1000,HLOOKUP(INDIRECT(ADDRESS(2,COLUMN())),OFFSET($BN$2,0,0,ROW()-1,60),ROW()-1,FALSE))</f>
        <v>0</v>
      </c>
      <c r="AM111">
        <f ca="1">IF(AND($B$183=1,LEN($AM$212)&gt;0),$AM$212*1000,HLOOKUP(INDIRECT(ADDRESS(2,COLUMN())),OFFSET($BN$2,0,0,ROW()-1,60),ROW()-1,FALSE))</f>
        <v>12.4</v>
      </c>
      <c r="AN111">
        <f ca="1">IF(AND($B$183=1,LEN($AN$212)&gt;0),$AN$212*1000,HLOOKUP(INDIRECT(ADDRESS(2,COLUMN())),OFFSET($BN$2,0,0,ROW()-1,60),ROW()-1,FALSE))</f>
        <v>2.2000000000000002</v>
      </c>
      <c r="AO111">
        <f ca="1">IF(AND($B$183=1,LEN($AO$212)&gt;0),$AO$212*1000,HLOOKUP(INDIRECT(ADDRESS(2,COLUMN())),OFFSET($BN$2,0,0,ROW()-1,60),ROW()-1,FALSE))</f>
        <v>0</v>
      </c>
      <c r="AP111">
        <f ca="1">IF(AND($B$183=1,LEN($AP$212)&gt;0),$AP$212*1000,HLOOKUP(INDIRECT(ADDRESS(2,COLUMN())),OFFSET($BN$2,0,0,ROW()-1,60),ROW()-1,FALSE))</f>
        <v>0</v>
      </c>
      <c r="AQ111">
        <f ca="1">IF(AND($B$183=1,LEN($AQ$212)&gt;0),$AQ$212*1000,HLOOKUP(INDIRECT(ADDRESS(2,COLUMN())),OFFSET($BN$2,0,0,ROW()-1,60),ROW()-1,FALSE))</f>
        <v>0</v>
      </c>
      <c r="AR111">
        <f ca="1">IF(AND($B$183=1,LEN($AR$212)&gt;0),$AR$212*1000,HLOOKUP(INDIRECT(ADDRESS(2,COLUMN())),OFFSET($BN$2,0,0,ROW()-1,60),ROW()-1,FALSE))</f>
        <v>2.1</v>
      </c>
      <c r="AS111">
        <f ca="1">IF(AND($B$183=1,LEN($AS$212)&gt;0),$AS$212*1000,HLOOKUP(INDIRECT(ADDRESS(2,COLUMN())),OFFSET($BN$2,0,0,ROW()-1,60),ROW()-1,FALSE))</f>
        <v>0</v>
      </c>
      <c r="AT111">
        <f ca="1">IF(AND($B$183=1,LEN($AT$212)&gt;0),$AT$212*1000,HLOOKUP(INDIRECT(ADDRESS(2,COLUMN())),OFFSET($BN$2,0,0,ROW()-1,60),ROW()-1,FALSE))</f>
        <v>2.6</v>
      </c>
      <c r="AU111">
        <f ca="1">IF(AND($B$183=1,LEN($AU$212)&gt;0),$AU$212*1000,HLOOKUP(INDIRECT(ADDRESS(2,COLUMN())),OFFSET($BN$2,0,0,ROW()-1,60),ROW()-1,FALSE))</f>
        <v>30.6</v>
      </c>
      <c r="AV111">
        <f ca="1">IF(AND($B$183=1,LEN($AV$212)&gt;0),$AV$212*1000,HLOOKUP(INDIRECT(ADDRESS(2,COLUMN())),OFFSET($BN$2,0,0,ROW()-1,60),ROW()-1,FALSE))</f>
        <v>0</v>
      </c>
      <c r="AW111">
        <f ca="1">IF(AND($B$183=1,LEN($AW$212)&gt;0),$AW$212*1000,HLOOKUP(INDIRECT(ADDRESS(2,COLUMN())),OFFSET($BN$2,0,0,ROW()-1,60),ROW()-1,FALSE))</f>
        <v>7.7</v>
      </c>
      <c r="AX111">
        <f ca="1">IF(AND($B$183=1,LEN($AX$212)&gt;0),$AX$212*1000,HLOOKUP(INDIRECT(ADDRESS(2,COLUMN())),OFFSET($BN$2,0,0,ROW()-1,60),ROW()-1,FALSE))</f>
        <v>5.0999999999999996</v>
      </c>
      <c r="AY111">
        <f ca="1">IF(AND($B$183=1,LEN($AY$212)&gt;0),$AY$212*1000,HLOOKUP(INDIRECT(ADDRESS(2,COLUMN())),OFFSET($BN$2,0,0,ROW()-1,60),ROW()-1,FALSE))</f>
        <v>0</v>
      </c>
      <c r="AZ111">
        <f ca="1">IF(AND($B$183=1,LEN($AZ$212)&gt;0),$AZ$212*1000,HLOOKUP(INDIRECT(ADDRESS(2,COLUMN())),OFFSET($BN$2,0,0,ROW()-1,60),ROW()-1,FALSE))</f>
        <v>0</v>
      </c>
      <c r="BA111">
        <f ca="1">IF(AND($B$183=1,LEN($BA$212)&gt;0),$BA$212*1000,HLOOKUP(INDIRECT(ADDRESS(2,COLUMN())),OFFSET($BN$2,0,0,ROW()-1,60),ROW()-1,FALSE))</f>
        <v>55</v>
      </c>
      <c r="BB111">
        <f ca="1">IF(AND($B$183=1,LEN($BB$212)&gt;0),$BB$212*1000,HLOOKUP(INDIRECT(ADDRESS(2,COLUMN())),OFFSET($BN$2,0,0,ROW()-1,60),ROW()-1,FALSE))</f>
        <v>6.7</v>
      </c>
      <c r="BC111">
        <f ca="1">IF(AND($B$183=1,LEN($BC$212)&gt;0),$BC$212*1000,HLOOKUP(INDIRECT(ADDRESS(2,COLUMN())),OFFSET($BN$2,0,0,ROW()-1,60),ROW()-1,FALSE))</f>
        <v>139.517</v>
      </c>
      <c r="BD111">
        <f ca="1">IF(AND($B$183=1,LEN($BD$212)&gt;0),$BD$212*1000,HLOOKUP(INDIRECT(ADDRESS(2,COLUMN())),OFFSET($BN$2,0,0,ROW()-1,60),ROW()-1,FALSE))</f>
        <v>5.7</v>
      </c>
      <c r="BE111">
        <f ca="1">IF(AND($B$183=1,LEN($BE$212)&gt;0),$BE$212*1000,HLOOKUP(INDIRECT(ADDRESS(2,COLUMN())),OFFSET($BN$2,0,0,ROW()-1,60),ROW()-1,FALSE))</f>
        <v>0</v>
      </c>
      <c r="BF111">
        <f ca="1">IF(AND($B$183=1,LEN($BF$212)&gt;0),$BF$212*1000,HLOOKUP(INDIRECT(ADDRESS(2,COLUMN())),OFFSET($BN$2,0,0,ROW()-1,60),ROW()-1,FALSE))</f>
        <v>24.606999999999999</v>
      </c>
      <c r="BG111">
        <f ca="1">IF(AND($B$183=1,LEN($BG$212)&gt;0),$BG$212*1000,HLOOKUP(INDIRECT(ADDRESS(2,COLUMN())),OFFSET($BN$2,0,0,ROW()-1,60),ROW()-1,FALSE))</f>
        <v>28.012</v>
      </c>
      <c r="BH111">
        <f ca="1">IF(AND($B$183=1,LEN($BH$212)&gt;0),$BH$212*1000,HLOOKUP(INDIRECT(ADDRESS(2,COLUMN())),OFFSET($BN$2,0,0,ROW()-1,60),ROW()-1,FALSE))</f>
        <v>3.4</v>
      </c>
      <c r="BI111">
        <f ca="1">IF(AND($B$183=1,LEN($BI$212)&gt;0),$BI$212*1000,HLOOKUP(INDIRECT(ADDRESS(2,COLUMN())),OFFSET($BN$2,0,0,ROW()-1,60),ROW()-1,FALSE))</f>
        <v>0</v>
      </c>
      <c r="BJ111">
        <f ca="1">IF(AND($B$183=1,LEN($BJ$212)&gt;0),$BJ$212*1000,HLOOKUP(INDIRECT(ADDRESS(2,COLUMN())),OFFSET($BN$2,0,0,ROW()-1,60),ROW()-1,FALSE))</f>
        <v>0</v>
      </c>
      <c r="BK111">
        <f ca="1">IF(AND($B$183=1,LEN($BK$212)&gt;0),$BK$212*1000,HLOOKUP(INDIRECT(ADDRESS(2,COLUMN())),OFFSET($BN$2,0,0,ROW()-1,60),ROW()-1,FALSE))</f>
        <v>0</v>
      </c>
      <c r="BL111">
        <f ca="1">IF(AND($B$183=1,LEN($BL$212)&gt;0),$BL$212*1000,HLOOKUP(INDIRECT(ADDRESS(2,COLUMN())),OFFSET($BN$2,0,0,ROW()-1,60),ROW()-1,FALSE))</f>
        <v>27.1</v>
      </c>
      <c r="BM111">
        <f ca="1">IF(AND($B$183=1,LEN($BM$212)&gt;0),$BM$212*1000,HLOOKUP(INDIRECT(ADDRESS(2,COLUMN())),OFFSET($BN$2,0,0,ROW()-1,60),ROW()-1,FALSE))</f>
        <v>0</v>
      </c>
      <c r="BN111">
        <f>0</f>
        <v>0</v>
      </c>
      <c r="BO111">
        <f>0</f>
        <v>0</v>
      </c>
      <c r="BP111">
        <f>0</f>
        <v>0</v>
      </c>
      <c r="BQ111">
        <f>0</f>
        <v>0</v>
      </c>
      <c r="BR111">
        <f>0</f>
        <v>0</v>
      </c>
      <c r="BS111">
        <f>0</f>
        <v>0</v>
      </c>
      <c r="BT111">
        <f>0</f>
        <v>0</v>
      </c>
      <c r="BU111">
        <f>0</f>
        <v>0</v>
      </c>
      <c r="BV111">
        <f>174</f>
        <v>174</v>
      </c>
      <c r="BW111">
        <f>32.5</f>
        <v>32.5</v>
      </c>
      <c r="BX111">
        <f>0</f>
        <v>0</v>
      </c>
      <c r="BY111">
        <f>18</f>
        <v>18</v>
      </c>
      <c r="BZ111">
        <f>0</f>
        <v>0</v>
      </c>
      <c r="CA111">
        <f>44.6</f>
        <v>44.6</v>
      </c>
      <c r="CB111">
        <f>15.298</f>
        <v>15.298</v>
      </c>
      <c r="CC111">
        <f>0</f>
        <v>0</v>
      </c>
      <c r="CD111">
        <f>0</f>
        <v>0</v>
      </c>
      <c r="CE111">
        <f>165</f>
        <v>165</v>
      </c>
      <c r="CF111">
        <f>0</f>
        <v>0</v>
      </c>
      <c r="CG111">
        <f>0</f>
        <v>0</v>
      </c>
      <c r="CH111">
        <f>8.7</f>
        <v>8.6999999999999993</v>
      </c>
      <c r="CI111">
        <f>0</f>
        <v>0</v>
      </c>
      <c r="CJ111">
        <f>0</f>
        <v>0</v>
      </c>
      <c r="CK111">
        <f>0</f>
        <v>0</v>
      </c>
      <c r="CL111">
        <f>0</f>
        <v>0</v>
      </c>
      <c r="CM111">
        <f>0</f>
        <v>0</v>
      </c>
      <c r="CN111">
        <f>0</f>
        <v>0</v>
      </c>
      <c r="CO111">
        <f>0</f>
        <v>0</v>
      </c>
      <c r="CP111">
        <f>0</f>
        <v>0</v>
      </c>
      <c r="CQ111">
        <f>0</f>
        <v>0</v>
      </c>
      <c r="CR111">
        <f>0</f>
        <v>0</v>
      </c>
      <c r="CS111">
        <f>3.628</f>
        <v>3.6280000000000001</v>
      </c>
      <c r="CT111">
        <f>0</f>
        <v>0</v>
      </c>
      <c r="CU111">
        <f>12.4</f>
        <v>12.4</v>
      </c>
      <c r="CV111">
        <f>2.2</f>
        <v>2.2000000000000002</v>
      </c>
      <c r="CW111">
        <f>0</f>
        <v>0</v>
      </c>
      <c r="CX111">
        <f>0</f>
        <v>0</v>
      </c>
      <c r="CY111">
        <f>0</f>
        <v>0</v>
      </c>
      <c r="CZ111">
        <f>2.1</f>
        <v>2.1</v>
      </c>
      <c r="DA111">
        <f>0</f>
        <v>0</v>
      </c>
      <c r="DB111">
        <f>2.6</f>
        <v>2.6</v>
      </c>
      <c r="DC111">
        <f>30.6</f>
        <v>30.6</v>
      </c>
      <c r="DD111">
        <f>0</f>
        <v>0</v>
      </c>
      <c r="DE111">
        <f>7.7</f>
        <v>7.7</v>
      </c>
      <c r="DF111">
        <f>5.1</f>
        <v>5.0999999999999996</v>
      </c>
      <c r="DG111">
        <f>0</f>
        <v>0</v>
      </c>
      <c r="DH111">
        <f>0</f>
        <v>0</v>
      </c>
      <c r="DI111">
        <f>55</f>
        <v>55</v>
      </c>
      <c r="DJ111">
        <f>6.7</f>
        <v>6.7</v>
      </c>
      <c r="DK111">
        <f>139.517</f>
        <v>139.517</v>
      </c>
      <c r="DL111">
        <f>5.7</f>
        <v>5.7</v>
      </c>
      <c r="DM111">
        <f>0</f>
        <v>0</v>
      </c>
      <c r="DN111">
        <f>24.607</f>
        <v>24.606999999999999</v>
      </c>
      <c r="DO111">
        <f>28.012</f>
        <v>28.012</v>
      </c>
      <c r="DP111">
        <f>3.4</f>
        <v>3.4</v>
      </c>
      <c r="DQ111">
        <f>0</f>
        <v>0</v>
      </c>
      <c r="DR111">
        <f>0</f>
        <v>0</v>
      </c>
      <c r="DS111">
        <f>0</f>
        <v>0</v>
      </c>
      <c r="DT111">
        <f>27.1</f>
        <v>27.1</v>
      </c>
      <c r="DU111">
        <f>0</f>
        <v>0</v>
      </c>
    </row>
    <row r="112" spans="1:125">
      <c r="A112" t="str">
        <f>"    Single Family Rental REITs"</f>
        <v xml:space="preserve">    Single Family Rental REITs</v>
      </c>
      <c r="B112" t="str">
        <f>"RECFDSSF Index"</f>
        <v>RECFDSSF Index</v>
      </c>
      <c r="E112" t="str">
        <f t="shared" si="24"/>
        <v>Expression</v>
      </c>
      <c r="F112">
        <f ca="1">IF(AND($B$183=1,LEN($F$213)&gt;0),$F$213*1000,HLOOKUP(INDIRECT(ADDRESS(2,COLUMN())),OFFSET($BN$2,0,0,ROW()-1,60),ROW()-1,FALSE))</f>
        <v>57.856999999999999</v>
      </c>
      <c r="G112">
        <f ca="1">IF(AND($B$183=1,LEN($G$213)&gt;0),$G$213*1000,HLOOKUP(INDIRECT(ADDRESS(2,COLUMN())),OFFSET($BN$2,0,0,ROW()-1,60),ROW()-1,FALSE))</f>
        <v>93.4</v>
      </c>
      <c r="H112">
        <f ca="1">IF(AND($B$183=1,LEN($H$213)&gt;0),$H$213*1000,HLOOKUP(INDIRECT(ADDRESS(2,COLUMN())),OFFSET($BN$2,0,0,ROW()-1,60),ROW()-1,FALSE))</f>
        <v>174.995</v>
      </c>
      <c r="I112">
        <f ca="1">IF(AND($B$183=1,LEN($I$213)&gt;0),$I$213*1000,HLOOKUP(INDIRECT(ADDRESS(2,COLUMN())),OFFSET($BN$2,0,0,ROW()-1,60),ROW()-1,FALSE))</f>
        <v>120.526</v>
      </c>
      <c r="J112">
        <f ca="1">IF(AND($B$183=1,LEN($J$213)&gt;0),$J$213*1000,HLOOKUP(INDIRECT(ADDRESS(2,COLUMN())),OFFSET($BN$2,0,0,ROW()-1,60),ROW()-1,FALSE))</f>
        <v>84.3</v>
      </c>
      <c r="K112">
        <f ca="1">IF(AND($B$183=1,LEN($K$213)&gt;0),$K$213*1000,HLOOKUP(INDIRECT(ADDRESS(2,COLUMN())),OFFSET($BN$2,0,0,ROW()-1,60),ROW()-1,FALSE))</f>
        <v>94.260999999999996</v>
      </c>
      <c r="L112">
        <f ca="1">IF(AND($B$183=1,LEN($L$213)&gt;0),$L$213*1000,HLOOKUP(INDIRECT(ADDRESS(2,COLUMN())),OFFSET($BN$2,0,0,ROW()-1,60),ROW()-1,FALSE))</f>
        <v>99.707999999999998</v>
      </c>
      <c r="M112">
        <f ca="1">IF(AND($B$183=1,LEN($M$213)&gt;0),$M$213*1000,HLOOKUP(INDIRECT(ADDRESS(2,COLUMN())),OFFSET($BN$2,0,0,ROW()-1,60),ROW()-1,FALSE))</f>
        <v>61.241999999999997</v>
      </c>
      <c r="N112">
        <f ca="1">IF(AND($B$183=1,LEN($N$213)&gt;0),$N$213*1000,HLOOKUP(INDIRECT(ADDRESS(2,COLUMN())),OFFSET($BN$2,0,0,ROW()-1,60),ROW()-1,FALSE))</f>
        <v>70.86</v>
      </c>
      <c r="O112">
        <f ca="1">IF(AND($B$183=1,LEN($O$213)&gt;0),$O$213*1000,HLOOKUP(INDIRECT(ADDRESS(2,COLUMN())),OFFSET($BN$2,0,0,ROW()-1,60),ROW()-1,FALSE))</f>
        <v>19.556000000000001</v>
      </c>
      <c r="P112">
        <f ca="1">IF(AND($B$183=1,LEN($P$213)&gt;0),$P$213*1000,HLOOKUP(INDIRECT(ADDRESS(2,COLUMN())),OFFSET($BN$2,0,0,ROW()-1,60),ROW()-1,FALSE))</f>
        <v>11.667</v>
      </c>
      <c r="Q112">
        <f ca="1">IF(AND($B$183=1,LEN($Q$213)&gt;0),$Q$213*1000,HLOOKUP(INDIRECT(ADDRESS(2,COLUMN())),OFFSET($BN$2,0,0,ROW()-1,60),ROW()-1,FALSE))</f>
        <v>1.24</v>
      </c>
      <c r="R112">
        <f ca="1">IF(AND($B$183=1,LEN($R$213)&gt;0),$R$213*1000,HLOOKUP(INDIRECT(ADDRESS(2,COLUMN())),OFFSET($BN$2,0,0,ROW()-1,60),ROW()-1,FALSE))</f>
        <v>0.57299999999999995</v>
      </c>
      <c r="S112">
        <f ca="1">IF(AND($B$183=1,LEN($S$213)&gt;0),$S$213*1000,HLOOKUP(INDIRECT(ADDRESS(2,COLUMN())),OFFSET($BN$2,0,0,ROW()-1,60),ROW()-1,FALSE))</f>
        <v>1.972</v>
      </c>
      <c r="T112">
        <f ca="1">IF(AND($B$183=1,LEN($T$213)&gt;0),$T$213*1000,HLOOKUP(INDIRECT(ADDRESS(2,COLUMN())),OFFSET($BN$2,0,0,ROW()-1,60),ROW()-1,FALSE))</f>
        <v>2.202</v>
      </c>
      <c r="U112">
        <f ca="1">IF(AND($B$183=1,LEN($U$213)&gt;0),$U$213*1000,HLOOKUP(INDIRECT(ADDRESS(2,COLUMN())),OFFSET($BN$2,0,0,ROW()-1,60),ROW()-1,FALSE))</f>
        <v>1.232</v>
      </c>
      <c r="V112">
        <f ca="1">IF(AND($B$183=1,LEN($V$213)&gt;0),$V$213*1000,HLOOKUP(INDIRECT(ADDRESS(2,COLUMN())),OFFSET($BN$2,0,0,ROW()-1,60),ROW()-1,FALSE))</f>
        <v>1.744</v>
      </c>
      <c r="W112">
        <f ca="1">IF(AND($B$183=1,LEN($W$213)&gt;0),$W$213*1000,HLOOKUP(INDIRECT(ADDRESS(2,COLUMN())),OFFSET($BN$2,0,0,ROW()-1,60),ROW()-1,FALSE))</f>
        <v>4.1950000000000003</v>
      </c>
      <c r="X112">
        <f ca="1">IF(AND($B$183=1,LEN($X$213)&gt;0),$X$213*1000,HLOOKUP(INDIRECT(ADDRESS(2,COLUMN())),OFFSET($BN$2,0,0,ROW()-1,60),ROW()-1,FALSE))</f>
        <v>0</v>
      </c>
      <c r="Y112">
        <f ca="1">IF(AND($B$183=1,LEN($Y$213)&gt;0),$Y$213*1000,HLOOKUP(INDIRECT(ADDRESS(2,COLUMN())),OFFSET($BN$2,0,0,ROW()-1,60),ROW()-1,FALSE))</f>
        <v>0</v>
      </c>
      <c r="Z112">
        <f ca="1">IF(AND($B$183=1,LEN($Z$213)&gt;0),$Z$213*1000,HLOOKUP(INDIRECT(ADDRESS(2,COLUMN())),OFFSET($BN$2,0,0,ROW()-1,60),ROW()-1,FALSE))</f>
        <v>0</v>
      </c>
      <c r="AA112">
        <f ca="1">IF(AND($B$183=1,LEN($AA$213)&gt;0),$AA$213*1000,HLOOKUP(INDIRECT(ADDRESS(2,COLUMN())),OFFSET($BN$2,0,0,ROW()-1,60),ROW()-1,FALSE))</f>
        <v>0</v>
      </c>
      <c r="AB112">
        <f ca="1">IF(AND($B$183=1,LEN($AB$213)&gt;0),$AB$213*1000,HLOOKUP(INDIRECT(ADDRESS(2,COLUMN())),OFFSET($BN$2,0,0,ROW()-1,60),ROW()-1,FALSE))</f>
        <v>0</v>
      </c>
      <c r="AC112">
        <f ca="1">IF(AND($B$183=1,LEN($AC$213)&gt;0),$AC$213*1000,HLOOKUP(INDIRECT(ADDRESS(2,COLUMN())),OFFSET($BN$2,0,0,ROW()-1,60),ROW()-1,FALSE))</f>
        <v>0</v>
      </c>
      <c r="AD112">
        <f ca="1">IF(AND($B$183=1,LEN($AD$213)&gt;0),$AD$213*1000,HLOOKUP(INDIRECT(ADDRESS(2,COLUMN())),OFFSET($BN$2,0,0,ROW()-1,60),ROW()-1,FALSE))</f>
        <v>0</v>
      </c>
      <c r="AE112">
        <f ca="1">IF(AND($B$183=1,LEN($AE$213)&gt;0),$AE$213*1000,HLOOKUP(INDIRECT(ADDRESS(2,COLUMN())),OFFSET($BN$2,0,0,ROW()-1,60),ROW()-1,FALSE))</f>
        <v>0</v>
      </c>
      <c r="AF112">
        <f ca="1">IF(AND($B$183=1,LEN($AF$213)&gt;0),$AF$213*1000,HLOOKUP(INDIRECT(ADDRESS(2,COLUMN())),OFFSET($BN$2,0,0,ROW()-1,60),ROW()-1,FALSE))</f>
        <v>0</v>
      </c>
      <c r="AG112">
        <f ca="1">IF(AND($B$183=1,LEN($AG$213)&gt;0),$AG$213*1000,HLOOKUP(INDIRECT(ADDRESS(2,COLUMN())),OFFSET($BN$2,0,0,ROW()-1,60),ROW()-1,FALSE))</f>
        <v>0</v>
      </c>
      <c r="AH112">
        <f ca="1">IF(AND($B$183=1,LEN($AH$213)&gt;0),$AH$213*1000,HLOOKUP(INDIRECT(ADDRESS(2,COLUMN())),OFFSET($BN$2,0,0,ROW()-1,60),ROW()-1,FALSE))</f>
        <v>0</v>
      </c>
      <c r="AI112">
        <f ca="1">IF(AND($B$183=1,LEN($AI$213)&gt;0),$AI$213*1000,HLOOKUP(INDIRECT(ADDRESS(2,COLUMN())),OFFSET($BN$2,0,0,ROW()-1,60),ROW()-1,FALSE))</f>
        <v>0</v>
      </c>
      <c r="AJ112">
        <f ca="1">IF(AND($B$183=1,LEN($AJ$213)&gt;0),$AJ$213*1000,HLOOKUP(INDIRECT(ADDRESS(2,COLUMN())),OFFSET($BN$2,0,0,ROW()-1,60),ROW()-1,FALSE))</f>
        <v>0</v>
      </c>
      <c r="AK112">
        <f ca="1">IF(AND($B$183=1,LEN($AK$213)&gt;0),$AK$213*1000,HLOOKUP(INDIRECT(ADDRESS(2,COLUMN())),OFFSET($BN$2,0,0,ROW()-1,60),ROW()-1,FALSE))</f>
        <v>0</v>
      </c>
      <c r="AL112">
        <f ca="1">IF(AND($B$183=1,LEN($AL$213)&gt;0),$AL$213*1000,HLOOKUP(INDIRECT(ADDRESS(2,COLUMN())),OFFSET($BN$2,0,0,ROW()-1,60),ROW()-1,FALSE))</f>
        <v>0</v>
      </c>
      <c r="AM112">
        <f ca="1">IF(AND($B$183=1,LEN($AM$213)&gt;0),$AM$213*1000,HLOOKUP(INDIRECT(ADDRESS(2,COLUMN())),OFFSET($BN$2,0,0,ROW()-1,60),ROW()-1,FALSE))</f>
        <v>0</v>
      </c>
      <c r="AN112">
        <f ca="1">IF(AND($B$183=1,LEN($AN$213)&gt;0),$AN$213*1000,HLOOKUP(INDIRECT(ADDRESS(2,COLUMN())),OFFSET($BN$2,0,0,ROW()-1,60),ROW()-1,FALSE))</f>
        <v>0</v>
      </c>
      <c r="AO112">
        <f ca="1">IF(AND($B$183=1,LEN($AO$213)&gt;0),$AO$213*1000,HLOOKUP(INDIRECT(ADDRESS(2,COLUMN())),OFFSET($BN$2,0,0,ROW()-1,60),ROW()-1,FALSE))</f>
        <v>0</v>
      </c>
      <c r="AP112">
        <f ca="1">IF(AND($B$183=1,LEN($AP$213)&gt;0),$AP$213*1000,HLOOKUP(INDIRECT(ADDRESS(2,COLUMN())),OFFSET($BN$2,0,0,ROW()-1,60),ROW()-1,FALSE))</f>
        <v>0</v>
      </c>
      <c r="AQ112">
        <f ca="1">IF(AND($B$183=1,LEN($AQ$213)&gt;0),$AQ$213*1000,HLOOKUP(INDIRECT(ADDRESS(2,COLUMN())),OFFSET($BN$2,0,0,ROW()-1,60),ROW()-1,FALSE))</f>
        <v>0</v>
      </c>
      <c r="AR112">
        <f ca="1">IF(AND($B$183=1,LEN($AR$213)&gt;0),$AR$213*1000,HLOOKUP(INDIRECT(ADDRESS(2,COLUMN())),OFFSET($BN$2,0,0,ROW()-1,60),ROW()-1,FALSE))</f>
        <v>0</v>
      </c>
      <c r="AS112">
        <f ca="1">IF(AND($B$183=1,LEN($AS$213)&gt;0),$AS$213*1000,HLOOKUP(INDIRECT(ADDRESS(2,COLUMN())),OFFSET($BN$2,0,0,ROW()-1,60),ROW()-1,FALSE))</f>
        <v>0</v>
      </c>
      <c r="AT112">
        <f ca="1">IF(AND($B$183=1,LEN($AT$213)&gt;0),$AT$213*1000,HLOOKUP(INDIRECT(ADDRESS(2,COLUMN())),OFFSET($BN$2,0,0,ROW()-1,60),ROW()-1,FALSE))</f>
        <v>0</v>
      </c>
      <c r="AU112">
        <f ca="1">IF(AND($B$183=1,LEN($AU$213)&gt;0),$AU$213*1000,HLOOKUP(INDIRECT(ADDRESS(2,COLUMN())),OFFSET($BN$2,0,0,ROW()-1,60),ROW()-1,FALSE))</f>
        <v>0</v>
      </c>
      <c r="AV112">
        <f ca="1">IF(AND($B$183=1,LEN($AV$213)&gt;0),$AV$213*1000,HLOOKUP(INDIRECT(ADDRESS(2,COLUMN())),OFFSET($BN$2,0,0,ROW()-1,60),ROW()-1,FALSE))</f>
        <v>0</v>
      </c>
      <c r="AW112">
        <f ca="1">IF(AND($B$183=1,LEN($AW$213)&gt;0),$AW$213*1000,HLOOKUP(INDIRECT(ADDRESS(2,COLUMN())),OFFSET($BN$2,0,0,ROW()-1,60),ROW()-1,FALSE))</f>
        <v>0</v>
      </c>
      <c r="AX112">
        <f ca="1">IF(AND($B$183=1,LEN($AX$213)&gt;0),$AX$213*1000,HLOOKUP(INDIRECT(ADDRESS(2,COLUMN())),OFFSET($BN$2,0,0,ROW()-1,60),ROW()-1,FALSE))</f>
        <v>0</v>
      </c>
      <c r="AY112">
        <f ca="1">IF(AND($B$183=1,LEN($AY$213)&gt;0),$AY$213*1000,HLOOKUP(INDIRECT(ADDRESS(2,COLUMN())),OFFSET($BN$2,0,0,ROW()-1,60),ROW()-1,FALSE))</f>
        <v>0</v>
      </c>
      <c r="AZ112">
        <f ca="1">IF(AND($B$183=1,LEN($AZ$213)&gt;0),$AZ$213*1000,HLOOKUP(INDIRECT(ADDRESS(2,COLUMN())),OFFSET($BN$2,0,0,ROW()-1,60),ROW()-1,FALSE))</f>
        <v>0</v>
      </c>
      <c r="BA112">
        <f ca="1">IF(AND($B$183=1,LEN($BA$213)&gt;0),$BA$213*1000,HLOOKUP(INDIRECT(ADDRESS(2,COLUMN())),OFFSET($BN$2,0,0,ROW()-1,60),ROW()-1,FALSE))</f>
        <v>0</v>
      </c>
      <c r="BB112">
        <f ca="1">IF(AND($B$183=1,LEN($BB$213)&gt;0),$BB$213*1000,HLOOKUP(INDIRECT(ADDRESS(2,COLUMN())),OFFSET($BN$2,0,0,ROW()-1,60),ROW()-1,FALSE))</f>
        <v>0</v>
      </c>
      <c r="BC112">
        <f ca="1">IF(AND($B$183=1,LEN($BC$213)&gt;0),$BC$213*1000,HLOOKUP(INDIRECT(ADDRESS(2,COLUMN())),OFFSET($BN$2,0,0,ROW()-1,60),ROW()-1,FALSE))</f>
        <v>0</v>
      </c>
      <c r="BD112">
        <f ca="1">IF(AND($B$183=1,LEN($BD$213)&gt;0),$BD$213*1000,HLOOKUP(INDIRECT(ADDRESS(2,COLUMN())),OFFSET($BN$2,0,0,ROW()-1,60),ROW()-1,FALSE))</f>
        <v>0</v>
      </c>
      <c r="BE112">
        <f ca="1">IF(AND($B$183=1,LEN($BE$213)&gt;0),$BE$213*1000,HLOOKUP(INDIRECT(ADDRESS(2,COLUMN())),OFFSET($BN$2,0,0,ROW()-1,60),ROW()-1,FALSE))</f>
        <v>0</v>
      </c>
      <c r="BF112">
        <f ca="1">IF(AND($B$183=1,LEN($BF$213)&gt;0),$BF$213*1000,HLOOKUP(INDIRECT(ADDRESS(2,COLUMN())),OFFSET($BN$2,0,0,ROW()-1,60),ROW()-1,FALSE))</f>
        <v>0</v>
      </c>
      <c r="BG112">
        <f ca="1">IF(AND($B$183=1,LEN($BG$213)&gt;0),$BG$213*1000,HLOOKUP(INDIRECT(ADDRESS(2,COLUMN())),OFFSET($BN$2,0,0,ROW()-1,60),ROW()-1,FALSE))</f>
        <v>0</v>
      </c>
      <c r="BH112">
        <f ca="1">IF(AND($B$183=1,LEN($BH$213)&gt;0),$BH$213*1000,HLOOKUP(INDIRECT(ADDRESS(2,COLUMN())),OFFSET($BN$2,0,0,ROW()-1,60),ROW()-1,FALSE))</f>
        <v>0</v>
      </c>
      <c r="BI112">
        <f ca="1">IF(AND($B$183=1,LEN($BI$213)&gt;0),$BI$213*1000,HLOOKUP(INDIRECT(ADDRESS(2,COLUMN())),OFFSET($BN$2,0,0,ROW()-1,60),ROW()-1,FALSE))</f>
        <v>0</v>
      </c>
      <c r="BJ112">
        <f ca="1">IF(AND($B$183=1,LEN($BJ$213)&gt;0),$BJ$213*1000,HLOOKUP(INDIRECT(ADDRESS(2,COLUMN())),OFFSET($BN$2,0,0,ROW()-1,60),ROW()-1,FALSE))</f>
        <v>0</v>
      </c>
      <c r="BK112">
        <f ca="1">IF(AND($B$183=1,LEN($BK$213)&gt;0),$BK$213*1000,HLOOKUP(INDIRECT(ADDRESS(2,COLUMN())),OFFSET($BN$2,0,0,ROW()-1,60),ROW()-1,FALSE))</f>
        <v>0</v>
      </c>
      <c r="BL112">
        <f ca="1">IF(AND($B$183=1,LEN($BL$213)&gt;0),$BL$213*1000,HLOOKUP(INDIRECT(ADDRESS(2,COLUMN())),OFFSET($BN$2,0,0,ROW()-1,60),ROW()-1,FALSE))</f>
        <v>0</v>
      </c>
      <c r="BM112">
        <f ca="1">IF(AND($B$183=1,LEN($BM$213)&gt;0),$BM$213*1000,HLOOKUP(INDIRECT(ADDRESS(2,COLUMN())),OFFSET($BN$2,0,0,ROW()-1,60),ROW()-1,FALSE))</f>
        <v>0</v>
      </c>
      <c r="BN112">
        <f>57.857</f>
        <v>57.856999999999999</v>
      </c>
      <c r="BO112">
        <f>93.4</f>
        <v>93.4</v>
      </c>
      <c r="BP112">
        <f>174.995</f>
        <v>174.995</v>
      </c>
      <c r="BQ112">
        <f>120.526</f>
        <v>120.526</v>
      </c>
      <c r="BR112">
        <f>84.3</f>
        <v>84.3</v>
      </c>
      <c r="BS112">
        <f>94.261</f>
        <v>94.260999999999996</v>
      </c>
      <c r="BT112">
        <f>99.708</f>
        <v>99.707999999999998</v>
      </c>
      <c r="BU112">
        <f>61.242</f>
        <v>61.241999999999997</v>
      </c>
      <c r="BV112">
        <f>70.86</f>
        <v>70.86</v>
      </c>
      <c r="BW112">
        <f>19.556</f>
        <v>19.556000000000001</v>
      </c>
      <c r="BX112">
        <f>11.667</f>
        <v>11.667</v>
      </c>
      <c r="BY112">
        <f>1.24</f>
        <v>1.24</v>
      </c>
      <c r="BZ112">
        <f>0.573</f>
        <v>0.57299999999999995</v>
      </c>
      <c r="CA112">
        <f>1.972</f>
        <v>1.972</v>
      </c>
      <c r="CB112">
        <f>2.202</f>
        <v>2.202</v>
      </c>
      <c r="CC112">
        <f>1.232</f>
        <v>1.232</v>
      </c>
      <c r="CD112">
        <f>1.744</f>
        <v>1.744</v>
      </c>
      <c r="CE112">
        <f>4.195</f>
        <v>4.1950000000000003</v>
      </c>
      <c r="CF112">
        <f>0</f>
        <v>0</v>
      </c>
      <c r="CG112">
        <f>0</f>
        <v>0</v>
      </c>
      <c r="CH112">
        <f>0</f>
        <v>0</v>
      </c>
      <c r="CI112">
        <f>0</f>
        <v>0</v>
      </c>
      <c r="CJ112">
        <f>0</f>
        <v>0</v>
      </c>
      <c r="CK112">
        <f>0</f>
        <v>0</v>
      </c>
      <c r="CL112">
        <f>0</f>
        <v>0</v>
      </c>
      <c r="CM112">
        <f>0</f>
        <v>0</v>
      </c>
      <c r="CN112">
        <f>0</f>
        <v>0</v>
      </c>
      <c r="CO112">
        <f>0</f>
        <v>0</v>
      </c>
      <c r="CP112">
        <f>0</f>
        <v>0</v>
      </c>
      <c r="CQ112">
        <f>0</f>
        <v>0</v>
      </c>
      <c r="CR112">
        <f>0</f>
        <v>0</v>
      </c>
      <c r="CS112">
        <f>0</f>
        <v>0</v>
      </c>
      <c r="CT112">
        <f>0</f>
        <v>0</v>
      </c>
      <c r="CU112">
        <f>0</f>
        <v>0</v>
      </c>
      <c r="CV112">
        <f>0</f>
        <v>0</v>
      </c>
      <c r="CW112">
        <f>0</f>
        <v>0</v>
      </c>
      <c r="CX112">
        <f>0</f>
        <v>0</v>
      </c>
      <c r="CY112">
        <f>0</f>
        <v>0</v>
      </c>
      <c r="CZ112">
        <f>0</f>
        <v>0</v>
      </c>
      <c r="DA112">
        <f>0</f>
        <v>0</v>
      </c>
      <c r="DB112">
        <f>0</f>
        <v>0</v>
      </c>
      <c r="DC112">
        <f>0</f>
        <v>0</v>
      </c>
      <c r="DD112">
        <f>0</f>
        <v>0</v>
      </c>
      <c r="DE112">
        <f>0</f>
        <v>0</v>
      </c>
      <c r="DF112">
        <f>0</f>
        <v>0</v>
      </c>
      <c r="DG112">
        <f>0</f>
        <v>0</v>
      </c>
      <c r="DH112">
        <f>0</f>
        <v>0</v>
      </c>
      <c r="DI112">
        <f>0</f>
        <v>0</v>
      </c>
      <c r="DJ112">
        <f>0</f>
        <v>0</v>
      </c>
      <c r="DK112">
        <f>0</f>
        <v>0</v>
      </c>
      <c r="DL112">
        <f>0</f>
        <v>0</v>
      </c>
      <c r="DM112">
        <f>0</f>
        <v>0</v>
      </c>
      <c r="DN112">
        <f>0</f>
        <v>0</v>
      </c>
      <c r="DO112">
        <f>0</f>
        <v>0</v>
      </c>
      <c r="DP112">
        <f>0</f>
        <v>0</v>
      </c>
      <c r="DQ112">
        <f>0</f>
        <v>0</v>
      </c>
      <c r="DR112">
        <f>0</f>
        <v>0</v>
      </c>
      <c r="DS112">
        <f>0</f>
        <v>0</v>
      </c>
      <c r="DT112">
        <f>0</f>
        <v>0</v>
      </c>
      <c r="DU112">
        <f>0</f>
        <v>0</v>
      </c>
    </row>
    <row r="113" spans="1:125">
      <c r="A113" t="str">
        <f>"    Diversified REITs"</f>
        <v xml:space="preserve">    Diversified REITs</v>
      </c>
      <c r="B113" t="str">
        <f>"RECFDSDV Index"</f>
        <v>RECFDSDV Index</v>
      </c>
      <c r="E113" t="str">
        <f t="shared" si="24"/>
        <v>Expression</v>
      </c>
      <c r="F113">
        <f ca="1">IF(AND($B$183=1,LEN($F$214)&gt;0),$F$214*1000,HLOOKUP(INDIRECT(ADDRESS(2,COLUMN())),OFFSET($BN$2,0,0,ROW()-1,60),ROW()-1,FALSE))</f>
        <v>178.05099999999999</v>
      </c>
      <c r="G113">
        <f ca="1">IF(AND($B$183=1,LEN($G$214)&gt;0),$G$214*1000,HLOOKUP(INDIRECT(ADDRESS(2,COLUMN())),OFFSET($BN$2,0,0,ROW()-1,60),ROW()-1,FALSE))</f>
        <v>6629.6220000000003</v>
      </c>
      <c r="H113">
        <f ca="1">IF(AND($B$183=1,LEN($H$214)&gt;0),$H$214*1000,HLOOKUP(INDIRECT(ADDRESS(2,COLUMN())),OFFSET($BN$2,0,0,ROW()-1,60),ROW()-1,FALSE))</f>
        <v>701.33600000000001</v>
      </c>
      <c r="I113">
        <f ca="1">IF(AND($B$183=1,LEN($I$214)&gt;0),$I$214*1000,HLOOKUP(INDIRECT(ADDRESS(2,COLUMN())),OFFSET($BN$2,0,0,ROW()-1,60),ROW()-1,FALSE))</f>
        <v>2552.5360000000001</v>
      </c>
      <c r="J113">
        <f ca="1">IF(AND($B$183=1,LEN($J$214)&gt;0),$J$214*1000,HLOOKUP(INDIRECT(ADDRESS(2,COLUMN())),OFFSET($BN$2,0,0,ROW()-1,60),ROW()-1,FALSE))</f>
        <v>1123.931</v>
      </c>
      <c r="K113">
        <f ca="1">IF(AND($B$183=1,LEN($K$214)&gt;0),$K$214*1000,HLOOKUP(INDIRECT(ADDRESS(2,COLUMN())),OFFSET($BN$2,0,0,ROW()-1,60),ROW()-1,FALSE))</f>
        <v>2052.2750000000001</v>
      </c>
      <c r="L113">
        <f ca="1">IF(AND($B$183=1,LEN($L$214)&gt;0),$L$214*1000,HLOOKUP(INDIRECT(ADDRESS(2,COLUMN())),OFFSET($BN$2,0,0,ROW()-1,60),ROW()-1,FALSE))</f>
        <v>1055.9760000000001</v>
      </c>
      <c r="M113">
        <f ca="1">IF(AND($B$183=1,LEN($M$214)&gt;0),$M$214*1000,HLOOKUP(INDIRECT(ADDRESS(2,COLUMN())),OFFSET($BN$2,0,0,ROW()-1,60),ROW()-1,FALSE))</f>
        <v>1676.077</v>
      </c>
      <c r="N113">
        <f ca="1">IF(AND($B$183=1,LEN($N$214)&gt;0),$N$214*1000,HLOOKUP(INDIRECT(ADDRESS(2,COLUMN())),OFFSET($BN$2,0,0,ROW()-1,60),ROW()-1,FALSE))</f>
        <v>1445.57</v>
      </c>
      <c r="O113">
        <f ca="1">IF(AND($B$183=1,LEN($O$214)&gt;0),$O$214*1000,HLOOKUP(INDIRECT(ADDRESS(2,COLUMN())),OFFSET($BN$2,0,0,ROW()-1,60),ROW()-1,FALSE))</f>
        <v>884.30200000000002</v>
      </c>
      <c r="P113">
        <f ca="1">IF(AND($B$183=1,LEN($P$214)&gt;0),$P$214*1000,HLOOKUP(INDIRECT(ADDRESS(2,COLUMN())),OFFSET($BN$2,0,0,ROW()-1,60),ROW()-1,FALSE))</f>
        <v>418.87900000000002</v>
      </c>
      <c r="Q113">
        <f ca="1">IF(AND($B$183=1,LEN($Q$214)&gt;0),$Q$214*1000,HLOOKUP(INDIRECT(ADDRESS(2,COLUMN())),OFFSET($BN$2,0,0,ROW()-1,60),ROW()-1,FALSE))</f>
        <v>737.476</v>
      </c>
      <c r="R113">
        <f ca="1">IF(AND($B$183=1,LEN($R$214)&gt;0),$R$214*1000,HLOOKUP(INDIRECT(ADDRESS(2,COLUMN())),OFFSET($BN$2,0,0,ROW()-1,60),ROW()-1,FALSE))</f>
        <v>1069.7280000000001</v>
      </c>
      <c r="S113">
        <f ca="1">IF(AND($B$183=1,LEN($S$214)&gt;0),$S$214*1000,HLOOKUP(INDIRECT(ADDRESS(2,COLUMN())),OFFSET($BN$2,0,0,ROW()-1,60),ROW()-1,FALSE))</f>
        <v>614.928</v>
      </c>
      <c r="T113">
        <f ca="1">IF(AND($B$183=1,LEN($T$214)&gt;0),$T$214*1000,HLOOKUP(INDIRECT(ADDRESS(2,COLUMN())),OFFSET($BN$2,0,0,ROW()-1,60),ROW()-1,FALSE))</f>
        <v>901.62900000000002</v>
      </c>
      <c r="U113">
        <f ca="1">IF(AND($B$183=1,LEN($U$214)&gt;0),$U$214*1000,HLOOKUP(INDIRECT(ADDRESS(2,COLUMN())),OFFSET($BN$2,0,0,ROW()-1,60),ROW()-1,FALSE))</f>
        <v>468.45</v>
      </c>
      <c r="V113">
        <f ca="1">IF(AND($B$183=1,LEN($V$214)&gt;0),$V$214*1000,HLOOKUP(INDIRECT(ADDRESS(2,COLUMN())),OFFSET($BN$2,0,0,ROW()-1,60),ROW()-1,FALSE))</f>
        <v>786.274</v>
      </c>
      <c r="W113">
        <f ca="1">IF(AND($B$183=1,LEN($W$214)&gt;0),$W$214*1000,HLOOKUP(INDIRECT(ADDRESS(2,COLUMN())),OFFSET($BN$2,0,0,ROW()-1,60),ROW()-1,FALSE))</f>
        <v>317.589</v>
      </c>
      <c r="X113">
        <f ca="1">IF(AND($B$183=1,LEN($X$214)&gt;0),$X$214*1000,HLOOKUP(INDIRECT(ADDRESS(2,COLUMN())),OFFSET($BN$2,0,0,ROW()-1,60),ROW()-1,FALSE))</f>
        <v>1608.694</v>
      </c>
      <c r="Y113">
        <f ca="1">IF(AND($B$183=1,LEN($Y$214)&gt;0),$Y$214*1000,HLOOKUP(INDIRECT(ADDRESS(2,COLUMN())),OFFSET($BN$2,0,0,ROW()-1,60),ROW()-1,FALSE))</f>
        <v>804.26199999999994</v>
      </c>
      <c r="Z113">
        <f ca="1">IF(AND($B$183=1,LEN($Z$214)&gt;0),$Z$214*1000,HLOOKUP(INDIRECT(ADDRESS(2,COLUMN())),OFFSET($BN$2,0,0,ROW()-1,60),ROW()-1,FALSE))</f>
        <v>694.24699999999996</v>
      </c>
      <c r="AA113">
        <f ca="1">IF(AND($B$183=1,LEN($AA$214)&gt;0),$AA$214*1000,HLOOKUP(INDIRECT(ADDRESS(2,COLUMN())),OFFSET($BN$2,0,0,ROW()-1,60),ROW()-1,FALSE))</f>
        <v>383.96699999999998</v>
      </c>
      <c r="AB113">
        <f ca="1">IF(AND($B$183=1,LEN($AB$214)&gt;0),$AB$214*1000,HLOOKUP(INDIRECT(ADDRESS(2,COLUMN())),OFFSET($BN$2,0,0,ROW()-1,60),ROW()-1,FALSE))</f>
        <v>339.291</v>
      </c>
      <c r="AC113">
        <f ca="1">IF(AND($B$183=1,LEN($AC$214)&gt;0),$AC$214*1000,HLOOKUP(INDIRECT(ADDRESS(2,COLUMN())),OFFSET($BN$2,0,0,ROW()-1,60),ROW()-1,FALSE))</f>
        <v>321.53899999999999</v>
      </c>
      <c r="AD113">
        <f ca="1">IF(AND($B$183=1,LEN($AD$214)&gt;0),$AD$214*1000,HLOOKUP(INDIRECT(ADDRESS(2,COLUMN())),OFFSET($BN$2,0,0,ROW()-1,60),ROW()-1,FALSE))</f>
        <v>213.61</v>
      </c>
      <c r="AE113">
        <f ca="1">IF(AND($B$183=1,LEN($AE$214)&gt;0),$AE$214*1000,HLOOKUP(INDIRECT(ADDRESS(2,COLUMN())),OFFSET($BN$2,0,0,ROW()-1,60),ROW()-1,FALSE))</f>
        <v>352.93599999999998</v>
      </c>
      <c r="AF113">
        <f ca="1">IF(AND($B$183=1,LEN($AF$214)&gt;0),$AF$214*1000,HLOOKUP(INDIRECT(ADDRESS(2,COLUMN())),OFFSET($BN$2,0,0,ROW()-1,60),ROW()-1,FALSE))</f>
        <v>110.63</v>
      </c>
      <c r="AG113">
        <f ca="1">IF(AND($B$183=1,LEN($AG$214)&gt;0),$AG$214*1000,HLOOKUP(INDIRECT(ADDRESS(2,COLUMN())),OFFSET($BN$2,0,0,ROW()-1,60),ROW()-1,FALSE))</f>
        <v>574.71799999999996</v>
      </c>
      <c r="AH113">
        <f ca="1">IF(AND($B$183=1,LEN($AH$214)&gt;0),$AH$214*1000,HLOOKUP(INDIRECT(ADDRESS(2,COLUMN())),OFFSET($BN$2,0,0,ROW()-1,60),ROW()-1,FALSE))</f>
        <v>99.53</v>
      </c>
      <c r="AI113">
        <f ca="1">IF(AND($B$183=1,LEN($AI$214)&gt;0),$AI$214*1000,HLOOKUP(INDIRECT(ADDRESS(2,COLUMN())),OFFSET($BN$2,0,0,ROW()-1,60),ROW()-1,FALSE))</f>
        <v>157.779</v>
      </c>
      <c r="AJ113">
        <f ca="1">IF(AND($B$183=1,LEN($AJ$214)&gt;0),$AJ$214*1000,HLOOKUP(INDIRECT(ADDRESS(2,COLUMN())),OFFSET($BN$2,0,0,ROW()-1,60),ROW()-1,FALSE))</f>
        <v>66.03</v>
      </c>
      <c r="AK113">
        <f ca="1">IF(AND($B$183=1,LEN($AK$214)&gt;0),$AK$214*1000,HLOOKUP(INDIRECT(ADDRESS(2,COLUMN())),OFFSET($BN$2,0,0,ROW()-1,60),ROW()-1,FALSE))</f>
        <v>39.902000000000001</v>
      </c>
      <c r="AL113">
        <f ca="1">IF(AND($B$183=1,LEN($AL$214)&gt;0),$AL$214*1000,HLOOKUP(INDIRECT(ADDRESS(2,COLUMN())),OFFSET($BN$2,0,0,ROW()-1,60),ROW()-1,FALSE))</f>
        <v>82.006</v>
      </c>
      <c r="AM113">
        <f ca="1">IF(AND($B$183=1,LEN($AM$214)&gt;0),$AM$214*1000,HLOOKUP(INDIRECT(ADDRESS(2,COLUMN())),OFFSET($BN$2,0,0,ROW()-1,60),ROW()-1,FALSE))</f>
        <v>22.74</v>
      </c>
      <c r="AN113">
        <f ca="1">IF(AND($B$183=1,LEN($AN$214)&gt;0),$AN$214*1000,HLOOKUP(INDIRECT(ADDRESS(2,COLUMN())),OFFSET($BN$2,0,0,ROW()-1,60),ROW()-1,FALSE))</f>
        <v>119.72799999999999</v>
      </c>
      <c r="AO113">
        <f ca="1">IF(AND($B$183=1,LEN($AO$214)&gt;0),$AO$214*1000,HLOOKUP(INDIRECT(ADDRESS(2,COLUMN())),OFFSET($BN$2,0,0,ROW()-1,60),ROW()-1,FALSE))</f>
        <v>13.286</v>
      </c>
      <c r="AP113">
        <f ca="1">IF(AND($B$183=1,LEN($AP$214)&gt;0),$AP$214*1000,HLOOKUP(INDIRECT(ADDRESS(2,COLUMN())),OFFSET($BN$2,0,0,ROW()-1,60),ROW()-1,FALSE))</f>
        <v>185.642</v>
      </c>
      <c r="AQ113">
        <f ca="1">IF(AND($B$183=1,LEN($AQ$214)&gt;0),$AQ$214*1000,HLOOKUP(INDIRECT(ADDRESS(2,COLUMN())),OFFSET($BN$2,0,0,ROW()-1,60),ROW()-1,FALSE))</f>
        <v>22.6</v>
      </c>
      <c r="AR113">
        <f ca="1">IF(AND($B$183=1,LEN($AR$214)&gt;0),$AR$214*1000,HLOOKUP(INDIRECT(ADDRESS(2,COLUMN())),OFFSET($BN$2,0,0,ROW()-1,60),ROW()-1,FALSE))</f>
        <v>240.93299999999999</v>
      </c>
      <c r="AS113">
        <f ca="1">IF(AND($B$183=1,LEN($AS$214)&gt;0),$AS$214*1000,HLOOKUP(INDIRECT(ADDRESS(2,COLUMN())),OFFSET($BN$2,0,0,ROW()-1,60),ROW()-1,FALSE))</f>
        <v>344.14299999999997</v>
      </c>
      <c r="AT113">
        <f ca="1">IF(AND($B$183=1,LEN($AT$214)&gt;0),$AT$214*1000,HLOOKUP(INDIRECT(ADDRESS(2,COLUMN())),OFFSET($BN$2,0,0,ROW()-1,60),ROW()-1,FALSE))</f>
        <v>315.75900000000001</v>
      </c>
      <c r="AU113">
        <f ca="1">IF(AND($B$183=1,LEN($AU$214)&gt;0),$AU$214*1000,HLOOKUP(INDIRECT(ADDRESS(2,COLUMN())),OFFSET($BN$2,0,0,ROW()-1,60),ROW()-1,FALSE))</f>
        <v>277.11200000000002</v>
      </c>
      <c r="AV113">
        <f ca="1">IF(AND($B$183=1,LEN($AV$214)&gt;0),$AV$214*1000,HLOOKUP(INDIRECT(ADDRESS(2,COLUMN())),OFFSET($BN$2,0,0,ROW()-1,60),ROW()-1,FALSE))</f>
        <v>1640.2380000000001</v>
      </c>
      <c r="AW113">
        <f ca="1">IF(AND($B$183=1,LEN($AW$214)&gt;0),$AW$214*1000,HLOOKUP(INDIRECT(ADDRESS(2,COLUMN())),OFFSET($BN$2,0,0,ROW()-1,60),ROW()-1,FALSE))</f>
        <v>241.12</v>
      </c>
      <c r="AX113">
        <f ca="1">IF(AND($B$183=1,LEN($AX$214)&gt;0),$AX$214*1000,HLOOKUP(INDIRECT(ADDRESS(2,COLUMN())),OFFSET($BN$2,0,0,ROW()-1,60),ROW()-1,FALSE))</f>
        <v>693.60299999999995</v>
      </c>
      <c r="AY113">
        <f ca="1">IF(AND($B$183=1,LEN($AY$214)&gt;0),$AY$214*1000,HLOOKUP(INDIRECT(ADDRESS(2,COLUMN())),OFFSET($BN$2,0,0,ROW()-1,60),ROW()-1,FALSE))</f>
        <v>839.07500000000005</v>
      </c>
      <c r="AZ113">
        <f ca="1">IF(AND($B$183=1,LEN($AZ$214)&gt;0),$AZ$214*1000,HLOOKUP(INDIRECT(ADDRESS(2,COLUMN())),OFFSET($BN$2,0,0,ROW()-1,60),ROW()-1,FALSE))</f>
        <v>335.65199999999999</v>
      </c>
      <c r="BA113">
        <f ca="1">IF(AND($B$183=1,LEN($BA$214)&gt;0),$BA$214*1000,HLOOKUP(INDIRECT(ADDRESS(2,COLUMN())),OFFSET($BN$2,0,0,ROW()-1,60),ROW()-1,FALSE))</f>
        <v>426.661</v>
      </c>
      <c r="BB113">
        <f ca="1">IF(AND($B$183=1,LEN($BB$214)&gt;0),$BB$214*1000,HLOOKUP(INDIRECT(ADDRESS(2,COLUMN())),OFFSET($BN$2,0,0,ROW()-1,60),ROW()-1,FALSE))</f>
        <v>695.28399999999999</v>
      </c>
      <c r="BC113">
        <f ca="1">IF(AND($B$183=1,LEN($BC$214)&gt;0),$BC$214*1000,HLOOKUP(INDIRECT(ADDRESS(2,COLUMN())),OFFSET($BN$2,0,0,ROW()-1,60),ROW()-1,FALSE))</f>
        <v>399.303</v>
      </c>
      <c r="BD113">
        <f ca="1">IF(AND($B$183=1,LEN($BD$214)&gt;0),$BD$214*1000,HLOOKUP(INDIRECT(ADDRESS(2,COLUMN())),OFFSET($BN$2,0,0,ROW()-1,60),ROW()-1,FALSE))</f>
        <v>544.17600000000004</v>
      </c>
      <c r="BE113">
        <f ca="1">IF(AND($B$183=1,LEN($BE$214)&gt;0),$BE$214*1000,HLOOKUP(INDIRECT(ADDRESS(2,COLUMN())),OFFSET($BN$2,0,0,ROW()-1,60),ROW()-1,FALSE))</f>
        <v>371.197</v>
      </c>
      <c r="BF113">
        <f ca="1">IF(AND($B$183=1,LEN($BF$214)&gt;0),$BF$214*1000,HLOOKUP(INDIRECT(ADDRESS(2,COLUMN())),OFFSET($BN$2,0,0,ROW()-1,60),ROW()-1,FALSE))</f>
        <v>200.69200000000001</v>
      </c>
      <c r="BG113">
        <f ca="1">IF(AND($B$183=1,LEN($BG$214)&gt;0),$BG$214*1000,HLOOKUP(INDIRECT(ADDRESS(2,COLUMN())),OFFSET($BN$2,0,0,ROW()-1,60),ROW()-1,FALSE))</f>
        <v>74.186000000000007</v>
      </c>
      <c r="BH113">
        <f ca="1">IF(AND($B$183=1,LEN($BH$214)&gt;0),$BH$214*1000,HLOOKUP(INDIRECT(ADDRESS(2,COLUMN())),OFFSET($BN$2,0,0,ROW()-1,60),ROW()-1,FALSE))</f>
        <v>362.31700000000001</v>
      </c>
      <c r="BI113">
        <f ca="1">IF(AND($B$183=1,LEN($BI$214)&gt;0),$BI$214*1000,HLOOKUP(INDIRECT(ADDRESS(2,COLUMN())),OFFSET($BN$2,0,0,ROW()-1,60),ROW()-1,FALSE))</f>
        <v>93.346000000000004</v>
      </c>
      <c r="BJ113">
        <f ca="1">IF(AND($B$183=1,LEN($BJ$214)&gt;0),$BJ$214*1000,HLOOKUP(INDIRECT(ADDRESS(2,COLUMN())),OFFSET($BN$2,0,0,ROW()-1,60),ROW()-1,FALSE))</f>
        <v>296.70100000000002</v>
      </c>
      <c r="BK113">
        <f ca="1">IF(AND($B$183=1,LEN($BK$214)&gt;0),$BK$214*1000,HLOOKUP(INDIRECT(ADDRESS(2,COLUMN())),OFFSET($BN$2,0,0,ROW()-1,60),ROW()-1,FALSE))</f>
        <v>0</v>
      </c>
      <c r="BL113">
        <f ca="1">IF(AND($B$183=1,LEN($BL$214)&gt;0),$BL$214*1000,HLOOKUP(INDIRECT(ADDRESS(2,COLUMN())),OFFSET($BN$2,0,0,ROW()-1,60),ROW()-1,FALSE))</f>
        <v>0</v>
      </c>
      <c r="BM113">
        <f ca="1">IF(AND($B$183=1,LEN($BM$214)&gt;0),$BM$214*1000,HLOOKUP(INDIRECT(ADDRESS(2,COLUMN())),OFFSET($BN$2,0,0,ROW()-1,60),ROW()-1,FALSE))</f>
        <v>227.25200000000001</v>
      </c>
      <c r="BN113">
        <f>178.051</f>
        <v>178.05099999999999</v>
      </c>
      <c r="BO113">
        <f>6629.622</f>
        <v>6629.6220000000003</v>
      </c>
      <c r="BP113">
        <f>701.336</f>
        <v>701.33600000000001</v>
      </c>
      <c r="BQ113">
        <f>2552.536</f>
        <v>2552.5360000000001</v>
      </c>
      <c r="BR113">
        <f>1123.931</f>
        <v>1123.931</v>
      </c>
      <c r="BS113">
        <f>2052.275</f>
        <v>2052.2750000000001</v>
      </c>
      <c r="BT113">
        <f>1055.976</f>
        <v>1055.9760000000001</v>
      </c>
      <c r="BU113">
        <f>1676.077</f>
        <v>1676.077</v>
      </c>
      <c r="BV113">
        <f>1445.57</f>
        <v>1445.57</v>
      </c>
      <c r="BW113">
        <f>884.302</f>
        <v>884.30200000000002</v>
      </c>
      <c r="BX113">
        <f>418.879</f>
        <v>418.87900000000002</v>
      </c>
      <c r="BY113">
        <f>737.476</f>
        <v>737.476</v>
      </c>
      <c r="BZ113">
        <f>1069.728</f>
        <v>1069.7280000000001</v>
      </c>
      <c r="CA113">
        <f>614.928</f>
        <v>614.928</v>
      </c>
      <c r="CB113">
        <f>901.629</f>
        <v>901.62900000000002</v>
      </c>
      <c r="CC113">
        <f>468.45</f>
        <v>468.45</v>
      </c>
      <c r="CD113">
        <f>786.274</f>
        <v>786.274</v>
      </c>
      <c r="CE113">
        <f>317.589</f>
        <v>317.589</v>
      </c>
      <c r="CF113">
        <f>1608.694</f>
        <v>1608.694</v>
      </c>
      <c r="CG113">
        <f>804.262</f>
        <v>804.26199999999994</v>
      </c>
      <c r="CH113">
        <f>694.247</f>
        <v>694.24699999999996</v>
      </c>
      <c r="CI113">
        <f>383.967</f>
        <v>383.96699999999998</v>
      </c>
      <c r="CJ113">
        <f>339.291</f>
        <v>339.291</v>
      </c>
      <c r="CK113">
        <f>321.539</f>
        <v>321.53899999999999</v>
      </c>
      <c r="CL113">
        <f>213.61</f>
        <v>213.61</v>
      </c>
      <c r="CM113">
        <f>352.936</f>
        <v>352.93599999999998</v>
      </c>
      <c r="CN113">
        <f>110.63</f>
        <v>110.63</v>
      </c>
      <c r="CO113">
        <f>574.718</f>
        <v>574.71799999999996</v>
      </c>
      <c r="CP113">
        <f>99.53</f>
        <v>99.53</v>
      </c>
      <c r="CQ113">
        <f>157.779</f>
        <v>157.779</v>
      </c>
      <c r="CR113">
        <f>66.03</f>
        <v>66.03</v>
      </c>
      <c r="CS113">
        <f>39.902</f>
        <v>39.902000000000001</v>
      </c>
      <c r="CT113">
        <f>82.006</f>
        <v>82.006</v>
      </c>
      <c r="CU113">
        <f>22.74</f>
        <v>22.74</v>
      </c>
      <c r="CV113">
        <f>119.728</f>
        <v>119.72799999999999</v>
      </c>
      <c r="CW113">
        <f>13.286</f>
        <v>13.286</v>
      </c>
      <c r="CX113">
        <f>185.642</f>
        <v>185.642</v>
      </c>
      <c r="CY113">
        <f>22.6</f>
        <v>22.6</v>
      </c>
      <c r="CZ113">
        <f>240.933</f>
        <v>240.93299999999999</v>
      </c>
      <c r="DA113">
        <f>344.143</f>
        <v>344.14299999999997</v>
      </c>
      <c r="DB113">
        <f>315.759</f>
        <v>315.75900000000001</v>
      </c>
      <c r="DC113">
        <f>277.112</f>
        <v>277.11200000000002</v>
      </c>
      <c r="DD113">
        <f>1640.238</f>
        <v>1640.2380000000001</v>
      </c>
      <c r="DE113">
        <f>241.12</f>
        <v>241.12</v>
      </c>
      <c r="DF113">
        <f>693.603</f>
        <v>693.60299999999995</v>
      </c>
      <c r="DG113">
        <f>839.075</f>
        <v>839.07500000000005</v>
      </c>
      <c r="DH113">
        <f>335.652</f>
        <v>335.65199999999999</v>
      </c>
      <c r="DI113">
        <f>426.661</f>
        <v>426.661</v>
      </c>
      <c r="DJ113">
        <f>695.284</f>
        <v>695.28399999999999</v>
      </c>
      <c r="DK113">
        <f>399.303</f>
        <v>399.303</v>
      </c>
      <c r="DL113">
        <f>544.176</f>
        <v>544.17600000000004</v>
      </c>
      <c r="DM113">
        <f>371.197</f>
        <v>371.197</v>
      </c>
      <c r="DN113">
        <f>200.692</f>
        <v>200.69200000000001</v>
      </c>
      <c r="DO113">
        <f>74.186</f>
        <v>74.186000000000007</v>
      </c>
      <c r="DP113">
        <f>362.317</f>
        <v>362.31700000000001</v>
      </c>
      <c r="DQ113">
        <f>93.346</f>
        <v>93.346000000000004</v>
      </c>
      <c r="DR113">
        <f>296.701</f>
        <v>296.70100000000002</v>
      </c>
      <c r="DS113">
        <f>0</f>
        <v>0</v>
      </c>
      <c r="DT113">
        <f>0</f>
        <v>0</v>
      </c>
      <c r="DU113">
        <f>227.252</f>
        <v>227.25200000000001</v>
      </c>
    </row>
    <row r="114" spans="1:125">
      <c r="A114" t="str">
        <f>"    Lodging/Resort REITs"</f>
        <v xml:space="preserve">    Lodging/Resort REITs</v>
      </c>
      <c r="B114" t="str">
        <f>"RECFDSLR Index"</f>
        <v>RECFDSLR Index</v>
      </c>
      <c r="E114" t="str">
        <f t="shared" si="24"/>
        <v>Expression</v>
      </c>
      <c r="F114">
        <f ca="1">IF(AND($B$183=1,LEN($F$215)&gt;0),$F$215*1000,HLOOKUP(INDIRECT(ADDRESS(2,COLUMN())),OFFSET($BN$2,0,0,ROW()-1,60),ROW()-1,FALSE))</f>
        <v>299.39999999999998</v>
      </c>
      <c r="G114">
        <f ca="1">IF(AND($B$183=1,LEN($G$215)&gt;0),$G$215*1000,HLOOKUP(INDIRECT(ADDRESS(2,COLUMN())),OFFSET($BN$2,0,0,ROW()-1,60),ROW()-1,FALSE))</f>
        <v>331.87700000000001</v>
      </c>
      <c r="H114">
        <f ca="1">IF(AND($B$183=1,LEN($H$215)&gt;0),$H$215*1000,HLOOKUP(INDIRECT(ADDRESS(2,COLUMN())),OFFSET($BN$2,0,0,ROW()-1,60),ROW()-1,FALSE))</f>
        <v>1015.885</v>
      </c>
      <c r="I114">
        <f ca="1">IF(AND($B$183=1,LEN($I$215)&gt;0),$I$215*1000,HLOOKUP(INDIRECT(ADDRESS(2,COLUMN())),OFFSET($BN$2,0,0,ROW()-1,60),ROW()-1,FALSE))</f>
        <v>675.14800000000002</v>
      </c>
      <c r="J114">
        <f ca="1">IF(AND($B$183=1,LEN($J$215)&gt;0),$J$215*1000,HLOOKUP(INDIRECT(ADDRESS(2,COLUMN())),OFFSET($BN$2,0,0,ROW()-1,60),ROW()-1,FALSE))</f>
        <v>549.93499999999995</v>
      </c>
      <c r="K114">
        <f ca="1">IF(AND($B$183=1,LEN($K$215)&gt;0),$K$215*1000,HLOOKUP(INDIRECT(ADDRESS(2,COLUMN())),OFFSET($BN$2,0,0,ROW()-1,60),ROW()-1,FALSE))</f>
        <v>511.65800000000002</v>
      </c>
      <c r="L114">
        <f ca="1">IF(AND($B$183=1,LEN($L$215)&gt;0),$L$215*1000,HLOOKUP(INDIRECT(ADDRESS(2,COLUMN())),OFFSET($BN$2,0,0,ROW()-1,60),ROW()-1,FALSE))</f>
        <v>1579.5740000000001</v>
      </c>
      <c r="M114">
        <f ca="1">IF(AND($B$183=1,LEN($M$215)&gt;0),$M$215*1000,HLOOKUP(INDIRECT(ADDRESS(2,COLUMN())),OFFSET($BN$2,0,0,ROW()-1,60),ROW()-1,FALSE))</f>
        <v>277.58300000000003</v>
      </c>
      <c r="N114">
        <f ca="1">IF(AND($B$183=1,LEN($N$215)&gt;0),$N$215*1000,HLOOKUP(INDIRECT(ADDRESS(2,COLUMN())),OFFSET($BN$2,0,0,ROW()-1,60),ROW()-1,FALSE))</f>
        <v>1545.604</v>
      </c>
      <c r="O114">
        <f ca="1">IF(AND($B$183=1,LEN($O$215)&gt;0),$O$215*1000,HLOOKUP(INDIRECT(ADDRESS(2,COLUMN())),OFFSET($BN$2,0,0,ROW()-1,60),ROW()-1,FALSE))</f>
        <v>80.239999999999995</v>
      </c>
      <c r="P114">
        <f ca="1">IF(AND($B$183=1,LEN($P$215)&gt;0),$P$215*1000,HLOOKUP(INDIRECT(ADDRESS(2,COLUMN())),OFFSET($BN$2,0,0,ROW()-1,60),ROW()-1,FALSE))</f>
        <v>528.16</v>
      </c>
      <c r="Q114">
        <f ca="1">IF(AND($B$183=1,LEN($Q$215)&gt;0),$Q$215*1000,HLOOKUP(INDIRECT(ADDRESS(2,COLUMN())),OFFSET($BN$2,0,0,ROW()-1,60),ROW()-1,FALSE))</f>
        <v>371.78899999999999</v>
      </c>
      <c r="R114">
        <f ca="1">IF(AND($B$183=1,LEN($R$215)&gt;0),$R$215*1000,HLOOKUP(INDIRECT(ADDRESS(2,COLUMN())),OFFSET($BN$2,0,0,ROW()-1,60),ROW()-1,FALSE))</f>
        <v>516.5</v>
      </c>
      <c r="S114">
        <f ca="1">IF(AND($B$183=1,LEN($S$215)&gt;0),$S$215*1000,HLOOKUP(INDIRECT(ADDRESS(2,COLUMN())),OFFSET($BN$2,0,0,ROW()-1,60),ROW()-1,FALSE))</f>
        <v>160.30000000000001</v>
      </c>
      <c r="T114">
        <f ca="1">IF(AND($B$183=1,LEN($T$215)&gt;0),$T$215*1000,HLOOKUP(INDIRECT(ADDRESS(2,COLUMN())),OFFSET($BN$2,0,0,ROW()-1,60),ROW()-1,FALSE))</f>
        <v>1541.68</v>
      </c>
      <c r="U114">
        <f ca="1">IF(AND($B$183=1,LEN($U$215)&gt;0),$U$215*1000,HLOOKUP(INDIRECT(ADDRESS(2,COLUMN())),OFFSET($BN$2,0,0,ROW()-1,60),ROW()-1,FALSE))</f>
        <v>1040.2539999999999</v>
      </c>
      <c r="V114">
        <f ca="1">IF(AND($B$183=1,LEN($V$215)&gt;0),$V$215*1000,HLOOKUP(INDIRECT(ADDRESS(2,COLUMN())),OFFSET($BN$2,0,0,ROW()-1,60),ROW()-1,FALSE))</f>
        <v>509.12099999999998</v>
      </c>
      <c r="W114">
        <f ca="1">IF(AND($B$183=1,LEN($W$215)&gt;0),$W$215*1000,HLOOKUP(INDIRECT(ADDRESS(2,COLUMN())),OFFSET($BN$2,0,0,ROW()-1,60),ROW()-1,FALSE))</f>
        <v>91.775000000000006</v>
      </c>
      <c r="X114">
        <f ca="1">IF(AND($B$183=1,LEN($X$215)&gt;0),$X$215*1000,HLOOKUP(INDIRECT(ADDRESS(2,COLUMN())),OFFSET($BN$2,0,0,ROW()-1,60),ROW()-1,FALSE))</f>
        <v>215.905</v>
      </c>
      <c r="Y114">
        <f ca="1">IF(AND($B$183=1,LEN($Y$215)&gt;0),$Y$215*1000,HLOOKUP(INDIRECT(ADDRESS(2,COLUMN())),OFFSET($BN$2,0,0,ROW()-1,60),ROW()-1,FALSE))</f>
        <v>545.13499999999999</v>
      </c>
      <c r="Z114">
        <f ca="1">IF(AND($B$183=1,LEN($Z$215)&gt;0),$Z$215*1000,HLOOKUP(INDIRECT(ADDRESS(2,COLUMN())),OFFSET($BN$2,0,0,ROW()-1,60),ROW()-1,FALSE))</f>
        <v>196.86500000000001</v>
      </c>
      <c r="AA114">
        <f ca="1">IF(AND($B$183=1,LEN($AA$215)&gt;0),$AA$215*1000,HLOOKUP(INDIRECT(ADDRESS(2,COLUMN())),OFFSET($BN$2,0,0,ROW()-1,60),ROW()-1,FALSE))</f>
        <v>242.67</v>
      </c>
      <c r="AB114">
        <f ca="1">IF(AND($B$183=1,LEN($AB$215)&gt;0),$AB$215*1000,HLOOKUP(INDIRECT(ADDRESS(2,COLUMN())),OFFSET($BN$2,0,0,ROW()-1,60),ROW()-1,FALSE))</f>
        <v>180.47499999999999</v>
      </c>
      <c r="AC114">
        <f ca="1">IF(AND($B$183=1,LEN($AC$215)&gt;0),$AC$215*1000,HLOOKUP(INDIRECT(ADDRESS(2,COLUMN())),OFFSET($BN$2,0,0,ROW()-1,60),ROW()-1,FALSE))</f>
        <v>481.36</v>
      </c>
      <c r="AD114">
        <f ca="1">IF(AND($B$183=1,LEN($AD$215)&gt;0),$AD$215*1000,HLOOKUP(INDIRECT(ADDRESS(2,COLUMN())),OFFSET($BN$2,0,0,ROW()-1,60),ROW()-1,FALSE))</f>
        <v>55.42</v>
      </c>
      <c r="AE114">
        <f ca="1">IF(AND($B$183=1,LEN($AE$215)&gt;0),$AE$215*1000,HLOOKUP(INDIRECT(ADDRESS(2,COLUMN())),OFFSET($BN$2,0,0,ROW()-1,60),ROW()-1,FALSE))</f>
        <v>166.655</v>
      </c>
      <c r="AF114">
        <f ca="1">IF(AND($B$183=1,LEN($AF$215)&gt;0),$AF$215*1000,HLOOKUP(INDIRECT(ADDRESS(2,COLUMN())),OFFSET($BN$2,0,0,ROW()-1,60),ROW()-1,FALSE))</f>
        <v>245.262</v>
      </c>
      <c r="AG114">
        <f ca="1">IF(AND($B$183=1,LEN($AG$215)&gt;0),$AG$215*1000,HLOOKUP(INDIRECT(ADDRESS(2,COLUMN())),OFFSET($BN$2,0,0,ROW()-1,60),ROW()-1,FALSE))</f>
        <v>174.2</v>
      </c>
      <c r="AH114">
        <f ca="1">IF(AND($B$183=1,LEN($AH$215)&gt;0),$AH$215*1000,HLOOKUP(INDIRECT(ADDRESS(2,COLUMN())),OFFSET($BN$2,0,0,ROW()-1,60),ROW()-1,FALSE))</f>
        <v>544</v>
      </c>
      <c r="AI114">
        <f ca="1">IF(AND($B$183=1,LEN($AI$215)&gt;0),$AI$215*1000,HLOOKUP(INDIRECT(ADDRESS(2,COLUMN())),OFFSET($BN$2,0,0,ROW()-1,60),ROW()-1,FALSE))</f>
        <v>180.2</v>
      </c>
      <c r="AJ114">
        <f ca="1">IF(AND($B$183=1,LEN($AJ$215)&gt;0),$AJ$215*1000,HLOOKUP(INDIRECT(ADDRESS(2,COLUMN())),OFFSET($BN$2,0,0,ROW()-1,60),ROW()-1,FALSE))</f>
        <v>34.200000000000003</v>
      </c>
      <c r="AK114">
        <f ca="1">IF(AND($B$183=1,LEN($AK$215)&gt;0),$AK$215*1000,HLOOKUP(INDIRECT(ADDRESS(2,COLUMN())),OFFSET($BN$2,0,0,ROW()-1,60),ROW()-1,FALSE))</f>
        <v>32.947000000000003</v>
      </c>
      <c r="AL114">
        <f ca="1">IF(AND($B$183=1,LEN($AL$215)&gt;0),$AL$215*1000,HLOOKUP(INDIRECT(ADDRESS(2,COLUMN())),OFFSET($BN$2,0,0,ROW()-1,60),ROW()-1,FALSE))</f>
        <v>141.12700000000001</v>
      </c>
      <c r="AM114">
        <f ca="1">IF(AND($B$183=1,LEN($AM$215)&gt;0),$AM$215*1000,HLOOKUP(INDIRECT(ADDRESS(2,COLUMN())),OFFSET($BN$2,0,0,ROW()-1,60),ROW()-1,FALSE))</f>
        <v>140.55000000000001</v>
      </c>
      <c r="AN114">
        <f ca="1">IF(AND($B$183=1,LEN($AN$215)&gt;0),$AN$215*1000,HLOOKUP(INDIRECT(ADDRESS(2,COLUMN())),OFFSET($BN$2,0,0,ROW()-1,60),ROW()-1,FALSE))</f>
        <v>58.6</v>
      </c>
      <c r="AO114">
        <f ca="1">IF(AND($B$183=1,LEN($AO$215)&gt;0),$AO$215*1000,HLOOKUP(INDIRECT(ADDRESS(2,COLUMN())),OFFSET($BN$2,0,0,ROW()-1,60),ROW()-1,FALSE))</f>
        <v>116.9</v>
      </c>
      <c r="AP114">
        <f ca="1">IF(AND($B$183=1,LEN($AP$215)&gt;0),$AP$215*1000,HLOOKUP(INDIRECT(ADDRESS(2,COLUMN())),OFFSET($BN$2,0,0,ROW()-1,60),ROW()-1,FALSE))</f>
        <v>137.19999999999999</v>
      </c>
      <c r="AQ114">
        <f ca="1">IF(AND($B$183=1,LEN($AQ$215)&gt;0),$AQ$215*1000,HLOOKUP(INDIRECT(ADDRESS(2,COLUMN())),OFFSET($BN$2,0,0,ROW()-1,60),ROW()-1,FALSE))</f>
        <v>147.19999999999999</v>
      </c>
      <c r="AR114">
        <f ca="1">IF(AND($B$183=1,LEN($AR$215)&gt;0),$AR$215*1000,HLOOKUP(INDIRECT(ADDRESS(2,COLUMN())),OFFSET($BN$2,0,0,ROW()-1,60),ROW()-1,FALSE))</f>
        <v>604.85</v>
      </c>
      <c r="AS114">
        <f ca="1">IF(AND($B$183=1,LEN($AS$215)&gt;0),$AS$215*1000,HLOOKUP(INDIRECT(ADDRESS(2,COLUMN())),OFFSET($BN$2,0,0,ROW()-1,60),ROW()-1,FALSE))</f>
        <v>89</v>
      </c>
      <c r="AT114">
        <f ca="1">IF(AND($B$183=1,LEN($AT$215)&gt;0),$AT$215*1000,HLOOKUP(INDIRECT(ADDRESS(2,COLUMN())),OFFSET($BN$2,0,0,ROW()-1,60),ROW()-1,FALSE))</f>
        <v>358.1</v>
      </c>
      <c r="AU114">
        <f ca="1">IF(AND($B$183=1,LEN($AU$215)&gt;0),$AU$215*1000,HLOOKUP(INDIRECT(ADDRESS(2,COLUMN())),OFFSET($BN$2,0,0,ROW()-1,60),ROW()-1,FALSE))</f>
        <v>215.35</v>
      </c>
      <c r="AV114">
        <f ca="1">IF(AND($B$183=1,LEN($AV$215)&gt;0),$AV$215*1000,HLOOKUP(INDIRECT(ADDRESS(2,COLUMN())),OFFSET($BN$2,0,0,ROW()-1,60),ROW()-1,FALSE))</f>
        <v>392.6</v>
      </c>
      <c r="AW114">
        <f ca="1">IF(AND($B$183=1,LEN($AW$215)&gt;0),$AW$215*1000,HLOOKUP(INDIRECT(ADDRESS(2,COLUMN())),OFFSET($BN$2,0,0,ROW()-1,60),ROW()-1,FALSE))</f>
        <v>517.84400000000005</v>
      </c>
      <c r="AX114">
        <f ca="1">IF(AND($B$183=1,LEN($AX$215)&gt;0),$AX$215*1000,HLOOKUP(INDIRECT(ADDRESS(2,COLUMN())),OFFSET($BN$2,0,0,ROW()-1,60),ROW()-1,FALSE))</f>
        <v>206.95</v>
      </c>
      <c r="AY114">
        <f ca="1">IF(AND($B$183=1,LEN($AY$215)&gt;0),$AY$215*1000,HLOOKUP(INDIRECT(ADDRESS(2,COLUMN())),OFFSET($BN$2,0,0,ROW()-1,60),ROW()-1,FALSE))</f>
        <v>589.44200000000001</v>
      </c>
      <c r="AZ114">
        <f ca="1">IF(AND($B$183=1,LEN($AZ$215)&gt;0),$AZ$215*1000,HLOOKUP(INDIRECT(ADDRESS(2,COLUMN())),OFFSET($BN$2,0,0,ROW()-1,60),ROW()-1,FALSE))</f>
        <v>145.721</v>
      </c>
      <c r="BA114">
        <f ca="1">IF(AND($B$183=1,LEN($BA$215)&gt;0),$BA$215*1000,HLOOKUP(INDIRECT(ADDRESS(2,COLUMN())),OFFSET($BN$2,0,0,ROW()-1,60),ROW()-1,FALSE))</f>
        <v>1308.461</v>
      </c>
      <c r="BB114">
        <f ca="1">IF(AND($B$183=1,LEN($BB$215)&gt;0),$BB$215*1000,HLOOKUP(INDIRECT(ADDRESS(2,COLUMN())),OFFSET($BN$2,0,0,ROW()-1,60),ROW()-1,FALSE))</f>
        <v>125.77800000000001</v>
      </c>
      <c r="BC114">
        <f ca="1">IF(AND($B$183=1,LEN($BC$215)&gt;0),$BC$215*1000,HLOOKUP(INDIRECT(ADDRESS(2,COLUMN())),OFFSET($BN$2,0,0,ROW()-1,60),ROW()-1,FALSE))</f>
        <v>83.206999999999994</v>
      </c>
      <c r="BD114">
        <f ca="1">IF(AND($B$183=1,LEN($BD$215)&gt;0),$BD$215*1000,HLOOKUP(INDIRECT(ADDRESS(2,COLUMN())),OFFSET($BN$2,0,0,ROW()-1,60),ROW()-1,FALSE))</f>
        <v>129.303</v>
      </c>
      <c r="BE114">
        <f ca="1">IF(AND($B$183=1,LEN($BE$215)&gt;0),$BE$215*1000,HLOOKUP(INDIRECT(ADDRESS(2,COLUMN())),OFFSET($BN$2,0,0,ROW()-1,60),ROW()-1,FALSE))</f>
        <v>264.93900000000002</v>
      </c>
      <c r="BF114">
        <f ca="1">IF(AND($B$183=1,LEN($BF$215)&gt;0),$BF$215*1000,HLOOKUP(INDIRECT(ADDRESS(2,COLUMN())),OFFSET($BN$2,0,0,ROW()-1,60),ROW()-1,FALSE))</f>
        <v>228.97499999999999</v>
      </c>
      <c r="BG114">
        <f ca="1">IF(AND($B$183=1,LEN($BG$215)&gt;0),$BG$215*1000,HLOOKUP(INDIRECT(ADDRESS(2,COLUMN())),OFFSET($BN$2,0,0,ROW()-1,60),ROW()-1,FALSE))</f>
        <v>146.11699999999999</v>
      </c>
      <c r="BH114">
        <f ca="1">IF(AND($B$183=1,LEN($BH$215)&gt;0),$BH$215*1000,HLOOKUP(INDIRECT(ADDRESS(2,COLUMN())),OFFSET($BN$2,0,0,ROW()-1,60),ROW()-1,FALSE))</f>
        <v>110.759</v>
      </c>
      <c r="BI114">
        <f ca="1">IF(AND($B$183=1,LEN($BI$215)&gt;0),$BI$215*1000,HLOOKUP(INDIRECT(ADDRESS(2,COLUMN())),OFFSET($BN$2,0,0,ROW()-1,60),ROW()-1,FALSE))</f>
        <v>252.68700000000001</v>
      </c>
      <c r="BJ114">
        <f ca="1">IF(AND($B$183=1,LEN($BJ$215)&gt;0),$BJ$215*1000,HLOOKUP(INDIRECT(ADDRESS(2,COLUMN())),OFFSET($BN$2,0,0,ROW()-1,60),ROW()-1,FALSE))</f>
        <v>96.905000000000001</v>
      </c>
      <c r="BK114">
        <f ca="1">IF(AND($B$183=1,LEN($BK$215)&gt;0),$BK$215*1000,HLOOKUP(INDIRECT(ADDRESS(2,COLUMN())),OFFSET($BN$2,0,0,ROW()-1,60),ROW()-1,FALSE))</f>
        <v>0</v>
      </c>
      <c r="BL114">
        <f ca="1">IF(AND($B$183=1,LEN($BL$215)&gt;0),$BL$215*1000,HLOOKUP(INDIRECT(ADDRESS(2,COLUMN())),OFFSET($BN$2,0,0,ROW()-1,60),ROW()-1,FALSE))</f>
        <v>0</v>
      </c>
      <c r="BM114">
        <f ca="1">IF(AND($B$183=1,LEN($BM$215)&gt;0),$BM$215*1000,HLOOKUP(INDIRECT(ADDRESS(2,COLUMN())),OFFSET($BN$2,0,0,ROW()-1,60),ROW()-1,FALSE))</f>
        <v>0</v>
      </c>
      <c r="BN114">
        <f>299.4</f>
        <v>299.39999999999998</v>
      </c>
      <c r="BO114">
        <f>331.877</f>
        <v>331.87700000000001</v>
      </c>
      <c r="BP114">
        <f>1015.885</f>
        <v>1015.885</v>
      </c>
      <c r="BQ114">
        <f>675.148</f>
        <v>675.14800000000002</v>
      </c>
      <c r="BR114">
        <f>549.935</f>
        <v>549.93499999999995</v>
      </c>
      <c r="BS114">
        <f>511.658</f>
        <v>511.65800000000002</v>
      </c>
      <c r="BT114">
        <f>1579.574</f>
        <v>1579.5740000000001</v>
      </c>
      <c r="BU114">
        <f>277.583</f>
        <v>277.58300000000003</v>
      </c>
      <c r="BV114">
        <f>1545.604</f>
        <v>1545.604</v>
      </c>
      <c r="BW114">
        <f>80.24</f>
        <v>80.239999999999995</v>
      </c>
      <c r="BX114">
        <f>528.16</f>
        <v>528.16</v>
      </c>
      <c r="BY114">
        <f>371.789</f>
        <v>371.78899999999999</v>
      </c>
      <c r="BZ114">
        <f>516.5</f>
        <v>516.5</v>
      </c>
      <c r="CA114">
        <f>160.3</f>
        <v>160.30000000000001</v>
      </c>
      <c r="CB114">
        <f>1541.68</f>
        <v>1541.68</v>
      </c>
      <c r="CC114">
        <f>1040.254</f>
        <v>1040.2539999999999</v>
      </c>
      <c r="CD114">
        <f>509.121</f>
        <v>509.12099999999998</v>
      </c>
      <c r="CE114">
        <f>91.775</f>
        <v>91.775000000000006</v>
      </c>
      <c r="CF114">
        <f>215.905</f>
        <v>215.905</v>
      </c>
      <c r="CG114">
        <f>545.135</f>
        <v>545.13499999999999</v>
      </c>
      <c r="CH114">
        <f>196.865</f>
        <v>196.86500000000001</v>
      </c>
      <c r="CI114">
        <f>242.67</f>
        <v>242.67</v>
      </c>
      <c r="CJ114">
        <f>180.475</f>
        <v>180.47499999999999</v>
      </c>
      <c r="CK114">
        <f>481.36</f>
        <v>481.36</v>
      </c>
      <c r="CL114">
        <f>55.42</f>
        <v>55.42</v>
      </c>
      <c r="CM114">
        <f>166.655</f>
        <v>166.655</v>
      </c>
      <c r="CN114">
        <f>245.262</f>
        <v>245.262</v>
      </c>
      <c r="CO114">
        <f>174.2</f>
        <v>174.2</v>
      </c>
      <c r="CP114">
        <f>544</f>
        <v>544</v>
      </c>
      <c r="CQ114">
        <f>180.2</f>
        <v>180.2</v>
      </c>
      <c r="CR114">
        <f>34.2</f>
        <v>34.200000000000003</v>
      </c>
      <c r="CS114">
        <f>32.947</f>
        <v>32.947000000000003</v>
      </c>
      <c r="CT114">
        <f>141.127</f>
        <v>141.12700000000001</v>
      </c>
      <c r="CU114">
        <f>140.55</f>
        <v>140.55000000000001</v>
      </c>
      <c r="CV114">
        <f>58.6</f>
        <v>58.6</v>
      </c>
      <c r="CW114">
        <f>116.9</f>
        <v>116.9</v>
      </c>
      <c r="CX114">
        <f>137.2</f>
        <v>137.19999999999999</v>
      </c>
      <c r="CY114">
        <f>147.2</f>
        <v>147.19999999999999</v>
      </c>
      <c r="CZ114">
        <f>604.85</f>
        <v>604.85</v>
      </c>
      <c r="DA114">
        <f>89</f>
        <v>89</v>
      </c>
      <c r="DB114">
        <f>358.1</f>
        <v>358.1</v>
      </c>
      <c r="DC114">
        <f>215.35</f>
        <v>215.35</v>
      </c>
      <c r="DD114">
        <f>392.6</f>
        <v>392.6</v>
      </c>
      <c r="DE114">
        <f>517.844</f>
        <v>517.84400000000005</v>
      </c>
      <c r="DF114">
        <f>206.95</f>
        <v>206.95</v>
      </c>
      <c r="DG114">
        <f>589.442</f>
        <v>589.44200000000001</v>
      </c>
      <c r="DH114">
        <f>145.721</f>
        <v>145.721</v>
      </c>
      <c r="DI114">
        <f>1308.461</f>
        <v>1308.461</v>
      </c>
      <c r="DJ114">
        <f>125.778</f>
        <v>125.77800000000001</v>
      </c>
      <c r="DK114">
        <f>83.207</f>
        <v>83.206999999999994</v>
      </c>
      <c r="DL114">
        <f>129.303</f>
        <v>129.303</v>
      </c>
      <c r="DM114">
        <f>264.939</f>
        <v>264.93900000000002</v>
      </c>
      <c r="DN114">
        <f>228.975</f>
        <v>228.97499999999999</v>
      </c>
      <c r="DO114">
        <f>146.117</f>
        <v>146.11699999999999</v>
      </c>
      <c r="DP114">
        <f>110.759</f>
        <v>110.759</v>
      </c>
      <c r="DQ114">
        <f>252.687</f>
        <v>252.68700000000001</v>
      </c>
      <c r="DR114">
        <f>96.905</f>
        <v>96.905000000000001</v>
      </c>
      <c r="DS114">
        <f>0</f>
        <v>0</v>
      </c>
      <c r="DT114">
        <f>0</f>
        <v>0</v>
      </c>
      <c r="DU114">
        <f>0</f>
        <v>0</v>
      </c>
    </row>
    <row r="115" spans="1:125">
      <c r="A115" t="str">
        <f>"    Self Storage REITs"</f>
        <v xml:space="preserve">    Self Storage REITs</v>
      </c>
      <c r="B115" t="str">
        <f>"RECFDSSS Index"</f>
        <v>RECFDSSS Index</v>
      </c>
      <c r="E115" t="str">
        <f t="shared" si="24"/>
        <v>Expression</v>
      </c>
      <c r="F115">
        <f ca="1">IF(AND($B$183=1,LEN($F$216)&gt;0),$F$216*1000,HLOOKUP(INDIRECT(ADDRESS(2,COLUMN())),OFFSET($BN$2,0,0,ROW()-1,60),ROW()-1,FALSE))</f>
        <v>304.39999999999998</v>
      </c>
      <c r="G115">
        <f ca="1">IF(AND($B$183=1,LEN($G$216)&gt;0),$G$216*1000,HLOOKUP(INDIRECT(ADDRESS(2,COLUMN())),OFFSET($BN$2,0,0,ROW()-1,60),ROW()-1,FALSE))</f>
        <v>0</v>
      </c>
      <c r="H115">
        <f ca="1">IF(AND($B$183=1,LEN($H$216)&gt;0),$H$216*1000,HLOOKUP(INDIRECT(ADDRESS(2,COLUMN())),OFFSET($BN$2,0,0,ROW()-1,60),ROW()-1,FALSE))</f>
        <v>12.35</v>
      </c>
      <c r="I115">
        <f ca="1">IF(AND($B$183=1,LEN($I$216)&gt;0),$I$216*1000,HLOOKUP(INDIRECT(ADDRESS(2,COLUMN())),OFFSET($BN$2,0,0,ROW()-1,60),ROW()-1,FALSE))</f>
        <v>5.3</v>
      </c>
      <c r="J115">
        <f ca="1">IF(AND($B$183=1,LEN($J$216)&gt;0),$J$216*1000,HLOOKUP(INDIRECT(ADDRESS(2,COLUMN())),OFFSET($BN$2,0,0,ROW()-1,60),ROW()-1,FALSE))</f>
        <v>4.91</v>
      </c>
      <c r="K115">
        <f ca="1">IF(AND($B$183=1,LEN($K$216)&gt;0),$K$216*1000,HLOOKUP(INDIRECT(ADDRESS(2,COLUMN())),OFFSET($BN$2,0,0,ROW()-1,60),ROW()-1,FALSE))</f>
        <v>39.457999999999998</v>
      </c>
      <c r="L115">
        <f ca="1">IF(AND($B$183=1,LEN($L$216)&gt;0),$L$216*1000,HLOOKUP(INDIRECT(ADDRESS(2,COLUMN())),OFFSET($BN$2,0,0,ROW()-1,60),ROW()-1,FALSE))</f>
        <v>59.8</v>
      </c>
      <c r="M115">
        <f ca="1">IF(AND($B$183=1,LEN($M$216)&gt;0),$M$216*1000,HLOOKUP(INDIRECT(ADDRESS(2,COLUMN())),OFFSET($BN$2,0,0,ROW()-1,60),ROW()-1,FALSE))</f>
        <v>0</v>
      </c>
      <c r="N115">
        <f ca="1">IF(AND($B$183=1,LEN($N$216)&gt;0),$N$216*1000,HLOOKUP(INDIRECT(ADDRESS(2,COLUMN())),OFFSET($BN$2,0,0,ROW()-1,60),ROW()-1,FALSE))</f>
        <v>51.7</v>
      </c>
      <c r="O115">
        <f ca="1">IF(AND($B$183=1,LEN($O$216)&gt;0),$O$216*1000,HLOOKUP(INDIRECT(ADDRESS(2,COLUMN())),OFFSET($BN$2,0,0,ROW()-1,60),ROW()-1,FALSE))</f>
        <v>30.6</v>
      </c>
      <c r="P115">
        <f ca="1">IF(AND($B$183=1,LEN($P$216)&gt;0),$P$216*1000,HLOOKUP(INDIRECT(ADDRESS(2,COLUMN())),OFFSET($BN$2,0,0,ROW()-1,60),ROW()-1,FALSE))</f>
        <v>20.5</v>
      </c>
      <c r="Q115">
        <f ca="1">IF(AND($B$183=1,LEN($Q$216)&gt;0),$Q$216*1000,HLOOKUP(INDIRECT(ADDRESS(2,COLUMN())),OFFSET($BN$2,0,0,ROW()-1,60),ROW()-1,FALSE))</f>
        <v>34.481000000000002</v>
      </c>
      <c r="R115">
        <f ca="1">IF(AND($B$183=1,LEN($R$216)&gt;0),$R$216*1000,HLOOKUP(INDIRECT(ADDRESS(2,COLUMN())),OFFSET($BN$2,0,0,ROW()-1,60),ROW()-1,FALSE))</f>
        <v>58.3</v>
      </c>
      <c r="S115">
        <f ca="1">IF(AND($B$183=1,LEN($S$216)&gt;0),$S$216*1000,HLOOKUP(INDIRECT(ADDRESS(2,COLUMN())),OFFSET($BN$2,0,0,ROW()-1,60),ROW()-1,FALSE))</f>
        <v>4.9000000000000004</v>
      </c>
      <c r="T115">
        <f ca="1">IF(AND($B$183=1,LEN($T$216)&gt;0),$T$216*1000,HLOOKUP(INDIRECT(ADDRESS(2,COLUMN())),OFFSET($BN$2,0,0,ROW()-1,60),ROW()-1,FALSE))</f>
        <v>7</v>
      </c>
      <c r="U115">
        <f ca="1">IF(AND($B$183=1,LEN($U$216)&gt;0),$U$216*1000,HLOOKUP(INDIRECT(ADDRESS(2,COLUMN())),OFFSET($BN$2,0,0,ROW()-1,60),ROW()-1,FALSE))</f>
        <v>0</v>
      </c>
      <c r="V115">
        <f ca="1">IF(AND($B$183=1,LEN($V$216)&gt;0),$V$216*1000,HLOOKUP(INDIRECT(ADDRESS(2,COLUMN())),OFFSET($BN$2,0,0,ROW()-1,60),ROW()-1,FALSE))</f>
        <v>104.991</v>
      </c>
      <c r="W115">
        <f ca="1">IF(AND($B$183=1,LEN($W$216)&gt;0),$W$216*1000,HLOOKUP(INDIRECT(ADDRESS(2,COLUMN())),OFFSET($BN$2,0,0,ROW()-1,60),ROW()-1,FALSE))</f>
        <v>25</v>
      </c>
      <c r="X115">
        <f ca="1">IF(AND($B$183=1,LEN($X$216)&gt;0),$X$216*1000,HLOOKUP(INDIRECT(ADDRESS(2,COLUMN())),OFFSET($BN$2,0,0,ROW()-1,60),ROW()-1,FALSE))</f>
        <v>0.95</v>
      </c>
      <c r="Y115">
        <f ca="1">IF(AND($B$183=1,LEN($Y$216)&gt;0),$Y$216*1000,HLOOKUP(INDIRECT(ADDRESS(2,COLUMN())),OFFSET($BN$2,0,0,ROW()-1,60),ROW()-1,FALSE))</f>
        <v>15.766999999999999</v>
      </c>
      <c r="Z115">
        <f ca="1">IF(AND($B$183=1,LEN($Z$216)&gt;0),$Z$216*1000,HLOOKUP(INDIRECT(ADDRESS(2,COLUMN())),OFFSET($BN$2,0,0,ROW()-1,60),ROW()-1,FALSE))</f>
        <v>26.6</v>
      </c>
      <c r="AA115">
        <f ca="1">IF(AND($B$183=1,LEN($AA$216)&gt;0),$AA$216*1000,HLOOKUP(INDIRECT(ADDRESS(2,COLUMN())),OFFSET($BN$2,0,0,ROW()-1,60),ROW()-1,FALSE))</f>
        <v>60.198</v>
      </c>
      <c r="AB115">
        <f ca="1">IF(AND($B$183=1,LEN($AB$216)&gt;0),$AB$216*1000,HLOOKUP(INDIRECT(ADDRESS(2,COLUMN())),OFFSET($BN$2,0,0,ROW()-1,60),ROW()-1,FALSE))</f>
        <v>23.161999999999999</v>
      </c>
      <c r="AC115">
        <f ca="1">IF(AND($B$183=1,LEN($AC$216)&gt;0),$AC$216*1000,HLOOKUP(INDIRECT(ADDRESS(2,COLUMN())),OFFSET($BN$2,0,0,ROW()-1,60),ROW()-1,FALSE))</f>
        <v>0</v>
      </c>
      <c r="AD115">
        <f ca="1">IF(AND($B$183=1,LEN($AD$216)&gt;0),$AD$216*1000,HLOOKUP(INDIRECT(ADDRESS(2,COLUMN())),OFFSET($BN$2,0,0,ROW()-1,60),ROW()-1,FALSE))</f>
        <v>5.96</v>
      </c>
      <c r="AE115">
        <f ca="1">IF(AND($B$183=1,LEN($AE$216)&gt;0),$AE$216*1000,HLOOKUP(INDIRECT(ADDRESS(2,COLUMN())),OFFSET($BN$2,0,0,ROW()-1,60),ROW()-1,FALSE))</f>
        <v>53.3</v>
      </c>
      <c r="AF115">
        <f ca="1">IF(AND($B$183=1,LEN($AF$216)&gt;0),$AF$216*1000,HLOOKUP(INDIRECT(ADDRESS(2,COLUMN())),OFFSET($BN$2,0,0,ROW()-1,60),ROW()-1,FALSE))</f>
        <v>0</v>
      </c>
      <c r="AG115">
        <f ca="1">IF(AND($B$183=1,LEN($AG$216)&gt;0),$AG$216*1000,HLOOKUP(INDIRECT(ADDRESS(2,COLUMN())),OFFSET($BN$2,0,0,ROW()-1,60),ROW()-1,FALSE))</f>
        <v>0.45100000000000001</v>
      </c>
      <c r="AH115">
        <f ca="1">IF(AND($B$183=1,LEN($AH$216)&gt;0),$AH$216*1000,HLOOKUP(INDIRECT(ADDRESS(2,COLUMN())),OFFSET($BN$2,0,0,ROW()-1,60),ROW()-1,FALSE))</f>
        <v>38.1</v>
      </c>
      <c r="AI115">
        <f ca="1">IF(AND($B$183=1,LEN($AI$216)&gt;0),$AI$216*1000,HLOOKUP(INDIRECT(ADDRESS(2,COLUMN())),OFFSET($BN$2,0,0,ROW()-1,60),ROW()-1,FALSE))</f>
        <v>0</v>
      </c>
      <c r="AJ115">
        <f ca="1">IF(AND($B$183=1,LEN($AJ$216)&gt;0),$AJ$216*1000,HLOOKUP(INDIRECT(ADDRESS(2,COLUMN())),OFFSET($BN$2,0,0,ROW()-1,60),ROW()-1,FALSE))</f>
        <v>24.5</v>
      </c>
      <c r="AK115">
        <f ca="1">IF(AND($B$183=1,LEN($AK$216)&gt;0),$AK$216*1000,HLOOKUP(INDIRECT(ADDRESS(2,COLUMN())),OFFSET($BN$2,0,0,ROW()-1,60),ROW()-1,FALSE))</f>
        <v>10</v>
      </c>
      <c r="AL115">
        <f ca="1">IF(AND($B$183=1,LEN($AL$216)&gt;0),$AL$216*1000,HLOOKUP(INDIRECT(ADDRESS(2,COLUMN())),OFFSET($BN$2,0,0,ROW()-1,60),ROW()-1,FALSE))</f>
        <v>15.3</v>
      </c>
      <c r="AM115">
        <f ca="1">IF(AND($B$183=1,LEN($AM$216)&gt;0),$AM$216*1000,HLOOKUP(INDIRECT(ADDRESS(2,COLUMN())),OFFSET($BN$2,0,0,ROW()-1,60),ROW()-1,FALSE))</f>
        <v>80.143000000000001</v>
      </c>
      <c r="AN115">
        <f ca="1">IF(AND($B$183=1,LEN($AN$216)&gt;0),$AN$216*1000,HLOOKUP(INDIRECT(ADDRESS(2,COLUMN())),OFFSET($BN$2,0,0,ROW()-1,60),ROW()-1,FALSE))</f>
        <v>8.75</v>
      </c>
      <c r="AO115">
        <f ca="1">IF(AND($B$183=1,LEN($AO$216)&gt;0),$AO$216*1000,HLOOKUP(INDIRECT(ADDRESS(2,COLUMN())),OFFSET($BN$2,0,0,ROW()-1,60),ROW()-1,FALSE))</f>
        <v>2.9729999999999999</v>
      </c>
      <c r="AP115">
        <f ca="1">IF(AND($B$183=1,LEN($AP$216)&gt;0),$AP$216*1000,HLOOKUP(INDIRECT(ADDRESS(2,COLUMN())),OFFSET($BN$2,0,0,ROW()-1,60),ROW()-1,FALSE))</f>
        <v>16.844999999999999</v>
      </c>
      <c r="AQ115">
        <f ca="1">IF(AND($B$183=1,LEN($AQ$216)&gt;0),$AQ$216*1000,HLOOKUP(INDIRECT(ADDRESS(2,COLUMN())),OFFSET($BN$2,0,0,ROW()-1,60),ROW()-1,FALSE))</f>
        <v>28.013000000000002</v>
      </c>
      <c r="AR115">
        <f ca="1">IF(AND($B$183=1,LEN($AR$216)&gt;0),$AR$216*1000,HLOOKUP(INDIRECT(ADDRESS(2,COLUMN())),OFFSET($BN$2,0,0,ROW()-1,60),ROW()-1,FALSE))</f>
        <v>19.925000000000001</v>
      </c>
      <c r="AS115">
        <f ca="1">IF(AND($B$183=1,LEN($AS$216)&gt;0),$AS$216*1000,HLOOKUP(INDIRECT(ADDRESS(2,COLUMN())),OFFSET($BN$2,0,0,ROW()-1,60),ROW()-1,FALSE))</f>
        <v>610.202</v>
      </c>
      <c r="AT115">
        <f ca="1">IF(AND($B$183=1,LEN($AT$216)&gt;0),$AT$216*1000,HLOOKUP(INDIRECT(ADDRESS(2,COLUMN())),OFFSET($BN$2,0,0,ROW()-1,60),ROW()-1,FALSE))</f>
        <v>6.44</v>
      </c>
      <c r="AU115">
        <f ca="1">IF(AND($B$183=1,LEN($AU$216)&gt;0),$AU$216*1000,HLOOKUP(INDIRECT(ADDRESS(2,COLUMN())),OFFSET($BN$2,0,0,ROW()-1,60),ROW()-1,FALSE))</f>
        <v>0</v>
      </c>
      <c r="AV115">
        <f ca="1">IF(AND($B$183=1,LEN($AV$216)&gt;0),$AV$216*1000,HLOOKUP(INDIRECT(ADDRESS(2,COLUMN())),OFFSET($BN$2,0,0,ROW()-1,60),ROW()-1,FALSE))</f>
        <v>12.75</v>
      </c>
      <c r="AW115">
        <f ca="1">IF(AND($B$183=1,LEN($AW$216)&gt;0),$AW$216*1000,HLOOKUP(INDIRECT(ADDRESS(2,COLUMN())),OFFSET($BN$2,0,0,ROW()-1,60),ROW()-1,FALSE))</f>
        <v>0</v>
      </c>
      <c r="AX115">
        <f ca="1">IF(AND($B$183=1,LEN($AX$216)&gt;0),$AX$216*1000,HLOOKUP(INDIRECT(ADDRESS(2,COLUMN())),OFFSET($BN$2,0,0,ROW()-1,60),ROW()-1,FALSE))</f>
        <v>14.545</v>
      </c>
      <c r="AY115">
        <f ca="1">IF(AND($B$183=1,LEN($AY$216)&gt;0),$AY$216*1000,HLOOKUP(INDIRECT(ADDRESS(2,COLUMN())),OFFSET($BN$2,0,0,ROW()-1,60),ROW()-1,FALSE))</f>
        <v>0</v>
      </c>
      <c r="AZ115">
        <f ca="1">IF(AND($B$183=1,LEN($AZ$216)&gt;0),$AZ$216*1000,HLOOKUP(INDIRECT(ADDRESS(2,COLUMN())),OFFSET($BN$2,0,0,ROW()-1,60),ROW()-1,FALSE))</f>
        <v>5.2149999999999999</v>
      </c>
      <c r="BA115">
        <f ca="1">IF(AND($B$183=1,LEN($BA$216)&gt;0),$BA$216*1000,HLOOKUP(INDIRECT(ADDRESS(2,COLUMN())),OFFSET($BN$2,0,0,ROW()-1,60),ROW()-1,FALSE))</f>
        <v>2.9</v>
      </c>
      <c r="BB115">
        <f ca="1">IF(AND($B$183=1,LEN($BB$216)&gt;0),$BB$216*1000,HLOOKUP(INDIRECT(ADDRESS(2,COLUMN())),OFFSET($BN$2,0,0,ROW()-1,60),ROW()-1,FALSE))</f>
        <v>5.6</v>
      </c>
      <c r="BC115">
        <f ca="1">IF(AND($B$183=1,LEN($BC$216)&gt;0),$BC$216*1000,HLOOKUP(INDIRECT(ADDRESS(2,COLUMN())),OFFSET($BN$2,0,0,ROW()-1,60),ROW()-1,FALSE))</f>
        <v>75.95</v>
      </c>
      <c r="BD115">
        <f ca="1">IF(AND($B$183=1,LEN($BD$216)&gt;0),$BD$216*1000,HLOOKUP(INDIRECT(ADDRESS(2,COLUMN())),OFFSET($BN$2,0,0,ROW()-1,60),ROW()-1,FALSE))</f>
        <v>0.6</v>
      </c>
      <c r="BE115">
        <f ca="1">IF(AND($B$183=1,LEN($BE$216)&gt;0),$BE$216*1000,HLOOKUP(INDIRECT(ADDRESS(2,COLUMN())),OFFSET($BN$2,0,0,ROW()-1,60),ROW()-1,FALSE))</f>
        <v>26.14</v>
      </c>
      <c r="BF115">
        <f ca="1">IF(AND($B$183=1,LEN($BF$216)&gt;0),$BF$216*1000,HLOOKUP(INDIRECT(ADDRESS(2,COLUMN())),OFFSET($BN$2,0,0,ROW()-1,60),ROW()-1,FALSE))</f>
        <v>0</v>
      </c>
      <c r="BG115">
        <f ca="1">IF(AND($B$183=1,LEN($BG$216)&gt;0),$BG$216*1000,HLOOKUP(INDIRECT(ADDRESS(2,COLUMN())),OFFSET($BN$2,0,0,ROW()-1,60),ROW()-1,FALSE))</f>
        <v>11.226000000000001</v>
      </c>
      <c r="BH115">
        <f ca="1">IF(AND($B$183=1,LEN($BH$216)&gt;0),$BH$216*1000,HLOOKUP(INDIRECT(ADDRESS(2,COLUMN())),OFFSET($BN$2,0,0,ROW()-1,60),ROW()-1,FALSE))</f>
        <v>23.835999999999999</v>
      </c>
      <c r="BI115">
        <f ca="1">IF(AND($B$183=1,LEN($BI$216)&gt;0),$BI$216*1000,HLOOKUP(INDIRECT(ADDRESS(2,COLUMN())),OFFSET($BN$2,0,0,ROW()-1,60),ROW()-1,FALSE))</f>
        <v>6.1070000000000002</v>
      </c>
      <c r="BJ115">
        <f ca="1">IF(AND($B$183=1,LEN($BJ$216)&gt;0),$BJ$216*1000,HLOOKUP(INDIRECT(ADDRESS(2,COLUMN())),OFFSET($BN$2,0,0,ROW()-1,60),ROW()-1,FALSE))</f>
        <v>0</v>
      </c>
      <c r="BK115">
        <f ca="1">IF(AND($B$183=1,LEN($BK$216)&gt;0),$BK$216*1000,HLOOKUP(INDIRECT(ADDRESS(2,COLUMN())),OFFSET($BN$2,0,0,ROW()-1,60),ROW()-1,FALSE))</f>
        <v>0</v>
      </c>
      <c r="BL115">
        <f ca="1">IF(AND($B$183=1,LEN($BL$216)&gt;0),$BL$216*1000,HLOOKUP(INDIRECT(ADDRESS(2,COLUMN())),OFFSET($BN$2,0,0,ROW()-1,60),ROW()-1,FALSE))</f>
        <v>0</v>
      </c>
      <c r="BM115">
        <f ca="1">IF(AND($B$183=1,LEN($BM$216)&gt;0),$BM$216*1000,HLOOKUP(INDIRECT(ADDRESS(2,COLUMN())),OFFSET($BN$2,0,0,ROW()-1,60),ROW()-1,FALSE))</f>
        <v>0</v>
      </c>
      <c r="BN115">
        <f>304.4</f>
        <v>304.39999999999998</v>
      </c>
      <c r="BO115">
        <f>0</f>
        <v>0</v>
      </c>
      <c r="BP115">
        <f>12.35</f>
        <v>12.35</v>
      </c>
      <c r="BQ115">
        <f>5.3</f>
        <v>5.3</v>
      </c>
      <c r="BR115">
        <f>4.91</f>
        <v>4.91</v>
      </c>
      <c r="BS115">
        <f>39.458</f>
        <v>39.457999999999998</v>
      </c>
      <c r="BT115">
        <f>59.8</f>
        <v>59.8</v>
      </c>
      <c r="BU115">
        <f>0</f>
        <v>0</v>
      </c>
      <c r="BV115">
        <f>51.7</f>
        <v>51.7</v>
      </c>
      <c r="BW115">
        <f>30.6</f>
        <v>30.6</v>
      </c>
      <c r="BX115">
        <f>20.5</f>
        <v>20.5</v>
      </c>
      <c r="BY115">
        <f>34.481</f>
        <v>34.481000000000002</v>
      </c>
      <c r="BZ115">
        <f>58.3</f>
        <v>58.3</v>
      </c>
      <c r="CA115">
        <f>4.9</f>
        <v>4.9000000000000004</v>
      </c>
      <c r="CB115">
        <f>7</f>
        <v>7</v>
      </c>
      <c r="CC115">
        <f>0</f>
        <v>0</v>
      </c>
      <c r="CD115">
        <f>104.991</f>
        <v>104.991</v>
      </c>
      <c r="CE115">
        <f>25</f>
        <v>25</v>
      </c>
      <c r="CF115">
        <f>0.95</f>
        <v>0.95</v>
      </c>
      <c r="CG115">
        <f>15.767</f>
        <v>15.766999999999999</v>
      </c>
      <c r="CH115">
        <f>26.6</f>
        <v>26.6</v>
      </c>
      <c r="CI115">
        <f>60.198</f>
        <v>60.198</v>
      </c>
      <c r="CJ115">
        <f>23.162</f>
        <v>23.161999999999999</v>
      </c>
      <c r="CK115">
        <f>0</f>
        <v>0</v>
      </c>
      <c r="CL115">
        <f>5.96</f>
        <v>5.96</v>
      </c>
      <c r="CM115">
        <f>53.3</f>
        <v>53.3</v>
      </c>
      <c r="CN115">
        <f>0</f>
        <v>0</v>
      </c>
      <c r="CO115">
        <f>0.451</f>
        <v>0.45100000000000001</v>
      </c>
      <c r="CP115">
        <f>38.1</f>
        <v>38.1</v>
      </c>
      <c r="CQ115">
        <f>0</f>
        <v>0</v>
      </c>
      <c r="CR115">
        <f>24.5</f>
        <v>24.5</v>
      </c>
      <c r="CS115">
        <f>10</f>
        <v>10</v>
      </c>
      <c r="CT115">
        <f>15.3</f>
        <v>15.3</v>
      </c>
      <c r="CU115">
        <f>80.143</f>
        <v>80.143000000000001</v>
      </c>
      <c r="CV115">
        <f>8.75</f>
        <v>8.75</v>
      </c>
      <c r="CW115">
        <f>2.973</f>
        <v>2.9729999999999999</v>
      </c>
      <c r="CX115">
        <f>16.845</f>
        <v>16.844999999999999</v>
      </c>
      <c r="CY115">
        <f>28.013</f>
        <v>28.013000000000002</v>
      </c>
      <c r="CZ115">
        <f>19.925</f>
        <v>19.925000000000001</v>
      </c>
      <c r="DA115">
        <f>610.202</f>
        <v>610.202</v>
      </c>
      <c r="DB115">
        <f>6.44</f>
        <v>6.44</v>
      </c>
      <c r="DC115">
        <f>0</f>
        <v>0</v>
      </c>
      <c r="DD115">
        <f>12.75</f>
        <v>12.75</v>
      </c>
      <c r="DE115">
        <f>0</f>
        <v>0</v>
      </c>
      <c r="DF115">
        <f>14.545</f>
        <v>14.545</v>
      </c>
      <c r="DG115">
        <f>0</f>
        <v>0</v>
      </c>
      <c r="DH115">
        <f>5.215</f>
        <v>5.2149999999999999</v>
      </c>
      <c r="DI115">
        <f>2.9</f>
        <v>2.9</v>
      </c>
      <c r="DJ115">
        <f>5.6</f>
        <v>5.6</v>
      </c>
      <c r="DK115">
        <f>75.95</f>
        <v>75.95</v>
      </c>
      <c r="DL115">
        <f>0.6</f>
        <v>0.6</v>
      </c>
      <c r="DM115">
        <f>26.14</f>
        <v>26.14</v>
      </c>
      <c r="DN115">
        <f>0</f>
        <v>0</v>
      </c>
      <c r="DO115">
        <f>11.226</f>
        <v>11.226000000000001</v>
      </c>
      <c r="DP115">
        <f>23.836</f>
        <v>23.835999999999999</v>
      </c>
      <c r="DQ115">
        <f>6.107</f>
        <v>6.1070000000000002</v>
      </c>
      <c r="DR115">
        <f>0</f>
        <v>0</v>
      </c>
      <c r="DS115">
        <f>0</f>
        <v>0</v>
      </c>
      <c r="DT115">
        <f>0</f>
        <v>0</v>
      </c>
      <c r="DU115">
        <f>0</f>
        <v>0</v>
      </c>
    </row>
    <row r="116" spans="1:125">
      <c r="A116" t="str">
        <f>"    Health Care REITs"</f>
        <v xml:space="preserve">    Health Care REITs</v>
      </c>
      <c r="B116" t="str">
        <f>"RECFDSHC Index"</f>
        <v>RECFDSHC Index</v>
      </c>
      <c r="E116" t="str">
        <f t="shared" si="24"/>
        <v>Expression</v>
      </c>
      <c r="F116">
        <f ca="1">IF(AND($B$183=1,LEN($F$217)&gt;0),$F$217*1000,HLOOKUP(INDIRECT(ADDRESS(2,COLUMN())),OFFSET($BN$2,0,0,ROW()-1,60),ROW()-1,FALSE))</f>
        <v>879.32600000000002</v>
      </c>
      <c r="G116">
        <f ca="1">IF(AND($B$183=1,LEN($G$217)&gt;0),$G$217*1000,HLOOKUP(INDIRECT(ADDRESS(2,COLUMN())),OFFSET($BN$2,0,0,ROW()-1,60),ROW()-1,FALSE))</f>
        <v>618.63599999999997</v>
      </c>
      <c r="H116">
        <f ca="1">IF(AND($B$183=1,LEN($H$217)&gt;0),$H$217*1000,HLOOKUP(INDIRECT(ADDRESS(2,COLUMN())),OFFSET($BN$2,0,0,ROW()-1,60),ROW()-1,FALSE))</f>
        <v>399.37599999999998</v>
      </c>
      <c r="I116">
        <f ca="1">IF(AND($B$183=1,LEN($I$217)&gt;0),$I$217*1000,HLOOKUP(INDIRECT(ADDRESS(2,COLUMN())),OFFSET($BN$2,0,0,ROW()-1,60),ROW()-1,FALSE))</f>
        <v>3521.2</v>
      </c>
      <c r="J116">
        <f ca="1">IF(AND($B$183=1,LEN($J$217)&gt;0),$J$217*1000,HLOOKUP(INDIRECT(ADDRESS(2,COLUMN())),OFFSET($BN$2,0,0,ROW()-1,60),ROW()-1,FALSE))</f>
        <v>2296.5920000000001</v>
      </c>
      <c r="K116">
        <f ca="1">IF(AND($B$183=1,LEN($K$217)&gt;0),$K$217*1000,HLOOKUP(INDIRECT(ADDRESS(2,COLUMN())),OFFSET($BN$2,0,0,ROW()-1,60),ROW()-1,FALSE))</f>
        <v>619.44799999999998</v>
      </c>
      <c r="L116">
        <f ca="1">IF(AND($B$183=1,LEN($L$217)&gt;0),$L$217*1000,HLOOKUP(INDIRECT(ADDRESS(2,COLUMN())),OFFSET($BN$2,0,0,ROW()-1,60),ROW()-1,FALSE))</f>
        <v>749.92</v>
      </c>
      <c r="M116">
        <f ca="1">IF(AND($B$183=1,LEN($M$217)&gt;0),$M$217*1000,HLOOKUP(INDIRECT(ADDRESS(2,COLUMN())),OFFSET($BN$2,0,0,ROW()-1,60),ROW()-1,FALSE))</f>
        <v>206.03899999999999</v>
      </c>
      <c r="N116">
        <f ca="1">IF(AND($B$183=1,LEN($N$217)&gt;0),$N$217*1000,HLOOKUP(INDIRECT(ADDRESS(2,COLUMN())),OFFSET($BN$2,0,0,ROW()-1,60),ROW()-1,FALSE))</f>
        <v>752.05200000000002</v>
      </c>
      <c r="O116">
        <f ca="1">IF(AND($B$183=1,LEN($O$217)&gt;0),$O$217*1000,HLOOKUP(INDIRECT(ADDRESS(2,COLUMN())),OFFSET($BN$2,0,0,ROW()-1,60),ROW()-1,FALSE))</f>
        <v>279.37900000000002</v>
      </c>
      <c r="P116">
        <f ca="1">IF(AND($B$183=1,LEN($P$217)&gt;0),$P$217*1000,HLOOKUP(INDIRECT(ADDRESS(2,COLUMN())),OFFSET($BN$2,0,0,ROW()-1,60),ROW()-1,FALSE))</f>
        <v>809.64300000000003</v>
      </c>
      <c r="Q116">
        <f ca="1">IF(AND($B$183=1,LEN($Q$217)&gt;0),$Q$217*1000,HLOOKUP(INDIRECT(ADDRESS(2,COLUMN())),OFFSET($BN$2,0,0,ROW()-1,60),ROW()-1,FALSE))</f>
        <v>571.80600000000004</v>
      </c>
      <c r="R116">
        <f ca="1">IF(AND($B$183=1,LEN($R$217)&gt;0),$R$217*1000,HLOOKUP(INDIRECT(ADDRESS(2,COLUMN())),OFFSET($BN$2,0,0,ROW()-1,60),ROW()-1,FALSE))</f>
        <v>573.81600000000003</v>
      </c>
      <c r="S116">
        <f ca="1">IF(AND($B$183=1,LEN($S$217)&gt;0),$S$217*1000,HLOOKUP(INDIRECT(ADDRESS(2,COLUMN())),OFFSET($BN$2,0,0,ROW()-1,60),ROW()-1,FALSE))</f>
        <v>393.267</v>
      </c>
      <c r="T116">
        <f ca="1">IF(AND($B$183=1,LEN($T$217)&gt;0),$T$217*1000,HLOOKUP(INDIRECT(ADDRESS(2,COLUMN())),OFFSET($BN$2,0,0,ROW()-1,60),ROW()-1,FALSE))</f>
        <v>183.74799999999999</v>
      </c>
      <c r="U116">
        <f ca="1">IF(AND($B$183=1,LEN($U$217)&gt;0),$U$217*1000,HLOOKUP(INDIRECT(ADDRESS(2,COLUMN())),OFFSET($BN$2,0,0,ROW()-1,60),ROW()-1,FALSE))</f>
        <v>71.132000000000005</v>
      </c>
      <c r="V116">
        <f ca="1">IF(AND($B$183=1,LEN($V$217)&gt;0),$V$217*1000,HLOOKUP(INDIRECT(ADDRESS(2,COLUMN())),OFFSET($BN$2,0,0,ROW()-1,60),ROW()-1,FALSE))</f>
        <v>360.45499999999998</v>
      </c>
      <c r="W116">
        <f ca="1">IF(AND($B$183=1,LEN($W$217)&gt;0),$W$217*1000,HLOOKUP(INDIRECT(ADDRESS(2,COLUMN())),OFFSET($BN$2,0,0,ROW()-1,60),ROW()-1,FALSE))</f>
        <v>267.49099999999999</v>
      </c>
      <c r="X116">
        <f ca="1">IF(AND($B$183=1,LEN($X$217)&gt;0),$X$217*1000,HLOOKUP(INDIRECT(ADDRESS(2,COLUMN())),OFFSET($BN$2,0,0,ROW()-1,60),ROW()-1,FALSE))</f>
        <v>183.49600000000001</v>
      </c>
      <c r="Y116">
        <f ca="1">IF(AND($B$183=1,LEN($Y$217)&gt;0),$Y$217*1000,HLOOKUP(INDIRECT(ADDRESS(2,COLUMN())),OFFSET($BN$2,0,0,ROW()-1,60),ROW()-1,FALSE))</f>
        <v>370.32299999999998</v>
      </c>
      <c r="Z116">
        <f ca="1">IF(AND($B$183=1,LEN($Z$217)&gt;0),$Z$217*1000,HLOOKUP(INDIRECT(ADDRESS(2,COLUMN())),OFFSET($BN$2,0,0,ROW()-1,60),ROW()-1,FALSE))</f>
        <v>562.16700000000003</v>
      </c>
      <c r="AA116">
        <f ca="1">IF(AND($B$183=1,LEN($AA$217)&gt;0),$AA$217*1000,HLOOKUP(INDIRECT(ADDRESS(2,COLUMN())),OFFSET($BN$2,0,0,ROW()-1,60),ROW()-1,FALSE))</f>
        <v>254.56200000000001</v>
      </c>
      <c r="AB116">
        <f ca="1">IF(AND($B$183=1,LEN($AB$217)&gt;0),$AB$217*1000,HLOOKUP(INDIRECT(ADDRESS(2,COLUMN())),OFFSET($BN$2,0,0,ROW()-1,60),ROW()-1,FALSE))</f>
        <v>271.69200000000001</v>
      </c>
      <c r="AC116">
        <f ca="1">IF(AND($B$183=1,LEN($AC$217)&gt;0),$AC$217*1000,HLOOKUP(INDIRECT(ADDRESS(2,COLUMN())),OFFSET($BN$2,0,0,ROW()-1,60),ROW()-1,FALSE))</f>
        <v>199.85499999999999</v>
      </c>
      <c r="AD116">
        <f ca="1">IF(AND($B$183=1,LEN($AD$217)&gt;0),$AD$217*1000,HLOOKUP(INDIRECT(ADDRESS(2,COLUMN())),OFFSET($BN$2,0,0,ROW()-1,60),ROW()-1,FALSE))</f>
        <v>163.72300000000001</v>
      </c>
      <c r="AE116">
        <f ca="1">IF(AND($B$183=1,LEN($AE$217)&gt;0),$AE$217*1000,HLOOKUP(INDIRECT(ADDRESS(2,COLUMN())),OFFSET($BN$2,0,0,ROW()-1,60),ROW()-1,FALSE))</f>
        <v>21.22</v>
      </c>
      <c r="AF116">
        <f ca="1">IF(AND($B$183=1,LEN($AF$217)&gt;0),$AF$217*1000,HLOOKUP(INDIRECT(ADDRESS(2,COLUMN())),OFFSET($BN$2,0,0,ROW()-1,60),ROW()-1,FALSE))</f>
        <v>173.93799999999999</v>
      </c>
      <c r="AG116">
        <f ca="1">IF(AND($B$183=1,LEN($AG$217)&gt;0),$AG$217*1000,HLOOKUP(INDIRECT(ADDRESS(2,COLUMN())),OFFSET($BN$2,0,0,ROW()-1,60),ROW()-1,FALSE))</f>
        <v>35.177999999999997</v>
      </c>
      <c r="AH116">
        <f ca="1">IF(AND($B$183=1,LEN($AH$217)&gt;0),$AH$217*1000,HLOOKUP(INDIRECT(ADDRESS(2,COLUMN())),OFFSET($BN$2,0,0,ROW()-1,60),ROW()-1,FALSE))</f>
        <v>162.71700000000001</v>
      </c>
      <c r="AI116">
        <f ca="1">IF(AND($B$183=1,LEN($AI$217)&gt;0),$AI$217*1000,HLOOKUP(INDIRECT(ADDRESS(2,COLUMN())),OFFSET($BN$2,0,0,ROW()-1,60),ROW()-1,FALSE))</f>
        <v>101.914</v>
      </c>
      <c r="AJ116">
        <f ca="1">IF(AND($B$183=1,LEN($AJ$217)&gt;0),$AJ$217*1000,HLOOKUP(INDIRECT(ADDRESS(2,COLUMN())),OFFSET($BN$2,0,0,ROW()-1,60),ROW()-1,FALSE))</f>
        <v>145.452</v>
      </c>
      <c r="AK116">
        <f ca="1">IF(AND($B$183=1,LEN($AK$217)&gt;0),$AK$217*1000,HLOOKUP(INDIRECT(ADDRESS(2,COLUMN())),OFFSET($BN$2,0,0,ROW()-1,60),ROW()-1,FALSE))</f>
        <v>53.441000000000003</v>
      </c>
      <c r="AL116">
        <f ca="1">IF(AND($B$183=1,LEN($AL$217)&gt;0),$AL$217*1000,HLOOKUP(INDIRECT(ADDRESS(2,COLUMN())),OFFSET($BN$2,0,0,ROW()-1,60),ROW()-1,FALSE))</f>
        <v>92.388999999999996</v>
      </c>
      <c r="AM116">
        <f ca="1">IF(AND($B$183=1,LEN($AM$217)&gt;0),$AM$217*1000,HLOOKUP(INDIRECT(ADDRESS(2,COLUMN())),OFFSET($BN$2,0,0,ROW()-1,60),ROW()-1,FALSE))</f>
        <v>34.593000000000004</v>
      </c>
      <c r="AN116">
        <f ca="1">IF(AND($B$183=1,LEN($AN$217)&gt;0),$AN$217*1000,HLOOKUP(INDIRECT(ADDRESS(2,COLUMN())),OFFSET($BN$2,0,0,ROW()-1,60),ROW()-1,FALSE))</f>
        <v>187.66</v>
      </c>
      <c r="AO116">
        <f ca="1">IF(AND($B$183=1,LEN($AO$217)&gt;0),$AO$217*1000,HLOOKUP(INDIRECT(ADDRESS(2,COLUMN())),OFFSET($BN$2,0,0,ROW()-1,60),ROW()-1,FALSE))</f>
        <v>247.583</v>
      </c>
      <c r="AP116">
        <f ca="1">IF(AND($B$183=1,LEN($AP$217)&gt;0),$AP$217*1000,HLOOKUP(INDIRECT(ADDRESS(2,COLUMN())),OFFSET($BN$2,0,0,ROW()-1,60),ROW()-1,FALSE))</f>
        <v>119.059</v>
      </c>
      <c r="AQ116">
        <f ca="1">IF(AND($B$183=1,LEN($AQ$217)&gt;0),$AQ$217*1000,HLOOKUP(INDIRECT(ADDRESS(2,COLUMN())),OFFSET($BN$2,0,0,ROW()-1,60),ROW()-1,FALSE))</f>
        <v>187.5</v>
      </c>
      <c r="AR116">
        <f ca="1">IF(AND($B$183=1,LEN($AR$217)&gt;0),$AR$217*1000,HLOOKUP(INDIRECT(ADDRESS(2,COLUMN())),OFFSET($BN$2,0,0,ROW()-1,60),ROW()-1,FALSE))</f>
        <v>784.65099999999995</v>
      </c>
      <c r="AS116">
        <f ca="1">IF(AND($B$183=1,LEN($AS$217)&gt;0),$AS$217*1000,HLOOKUP(INDIRECT(ADDRESS(2,COLUMN())),OFFSET($BN$2,0,0,ROW()-1,60),ROW()-1,FALSE))</f>
        <v>36.049999999999997</v>
      </c>
      <c r="AT116">
        <f ca="1">IF(AND($B$183=1,LEN($AT$217)&gt;0),$AT$217*1000,HLOOKUP(INDIRECT(ADDRESS(2,COLUMN())),OFFSET($BN$2,0,0,ROW()-1,60),ROW()-1,FALSE))</f>
        <v>50.825000000000003</v>
      </c>
      <c r="AU116">
        <f ca="1">IF(AND($B$183=1,LEN($AU$217)&gt;0),$AU$217*1000,HLOOKUP(INDIRECT(ADDRESS(2,COLUMN())),OFFSET($BN$2,0,0,ROW()-1,60),ROW()-1,FALSE))</f>
        <v>556.322</v>
      </c>
      <c r="AV116">
        <f ca="1">IF(AND($B$183=1,LEN($AV$217)&gt;0),$AV$217*1000,HLOOKUP(INDIRECT(ADDRESS(2,COLUMN())),OFFSET($BN$2,0,0,ROW()-1,60),ROW()-1,FALSE))</f>
        <v>375.22500000000002</v>
      </c>
      <c r="AW116">
        <f ca="1">IF(AND($B$183=1,LEN($AW$217)&gt;0),$AW$217*1000,HLOOKUP(INDIRECT(ADDRESS(2,COLUMN())),OFFSET($BN$2,0,0,ROW()-1,60),ROW()-1,FALSE))</f>
        <v>363.78300000000002</v>
      </c>
      <c r="AX116">
        <f ca="1">IF(AND($B$183=1,LEN($AX$217)&gt;0),$AX$217*1000,HLOOKUP(INDIRECT(ADDRESS(2,COLUMN())),OFFSET($BN$2,0,0,ROW()-1,60),ROW()-1,FALSE))</f>
        <v>435.62299999999999</v>
      </c>
      <c r="AY116">
        <f ca="1">IF(AND($B$183=1,LEN($AY$217)&gt;0),$AY$217*1000,HLOOKUP(INDIRECT(ADDRESS(2,COLUMN())),OFFSET($BN$2,0,0,ROW()-1,60),ROW()-1,FALSE))</f>
        <v>126.312</v>
      </c>
      <c r="AZ116">
        <f ca="1">IF(AND($B$183=1,LEN($AZ$217)&gt;0),$AZ$217*1000,HLOOKUP(INDIRECT(ADDRESS(2,COLUMN())),OFFSET($BN$2,0,0,ROW()-1,60),ROW()-1,FALSE))</f>
        <v>68.290999999999997</v>
      </c>
      <c r="BA116">
        <f ca="1">IF(AND($B$183=1,LEN($BA$217)&gt;0),$BA$217*1000,HLOOKUP(INDIRECT(ADDRESS(2,COLUMN())),OFFSET($BN$2,0,0,ROW()-1,60),ROW()-1,FALSE))</f>
        <v>119.702</v>
      </c>
      <c r="BB116">
        <f ca="1">IF(AND($B$183=1,LEN($BB$217)&gt;0),$BB$217*1000,HLOOKUP(INDIRECT(ADDRESS(2,COLUMN())),OFFSET($BN$2,0,0,ROW()-1,60),ROW()-1,FALSE))</f>
        <v>31.35</v>
      </c>
      <c r="BC116">
        <f ca="1">IF(AND($B$183=1,LEN($BC$217)&gt;0),$BC$217*1000,HLOOKUP(INDIRECT(ADDRESS(2,COLUMN())),OFFSET($BN$2,0,0,ROW()-1,60),ROW()-1,FALSE))</f>
        <v>74.834999999999994</v>
      </c>
      <c r="BD116">
        <f ca="1">IF(AND($B$183=1,LEN($BD$217)&gt;0),$BD$217*1000,HLOOKUP(INDIRECT(ADDRESS(2,COLUMN())),OFFSET($BN$2,0,0,ROW()-1,60),ROW()-1,FALSE))</f>
        <v>38.683</v>
      </c>
      <c r="BE116">
        <f ca="1">IF(AND($B$183=1,LEN($BE$217)&gt;0),$BE$217*1000,HLOOKUP(INDIRECT(ADDRESS(2,COLUMN())),OFFSET($BN$2,0,0,ROW()-1,60),ROW()-1,FALSE))</f>
        <v>140.643</v>
      </c>
      <c r="BF116">
        <f ca="1">IF(AND($B$183=1,LEN($BF$217)&gt;0),$BF$217*1000,HLOOKUP(INDIRECT(ADDRESS(2,COLUMN())),OFFSET($BN$2,0,0,ROW()-1,60),ROW()-1,FALSE))</f>
        <v>38.020000000000003</v>
      </c>
      <c r="BG116">
        <f ca="1">IF(AND($B$183=1,LEN($BG$217)&gt;0),$BG$217*1000,HLOOKUP(INDIRECT(ADDRESS(2,COLUMN())),OFFSET($BN$2,0,0,ROW()-1,60),ROW()-1,FALSE))</f>
        <v>4.5519999999999996</v>
      </c>
      <c r="BH116">
        <f ca="1">IF(AND($B$183=1,LEN($BH$217)&gt;0),$BH$217*1000,HLOOKUP(INDIRECT(ADDRESS(2,COLUMN())),OFFSET($BN$2,0,0,ROW()-1,60),ROW()-1,FALSE))</f>
        <v>14.005000000000001</v>
      </c>
      <c r="BI116">
        <f ca="1">IF(AND($B$183=1,LEN($BI$217)&gt;0),$BI$217*1000,HLOOKUP(INDIRECT(ADDRESS(2,COLUMN())),OFFSET($BN$2,0,0,ROW()-1,60),ROW()-1,FALSE))</f>
        <v>131.81399999999999</v>
      </c>
      <c r="BJ116">
        <f ca="1">IF(AND($B$183=1,LEN($BJ$217)&gt;0),$BJ$217*1000,HLOOKUP(INDIRECT(ADDRESS(2,COLUMN())),OFFSET($BN$2,0,0,ROW()-1,60),ROW()-1,FALSE))</f>
        <v>77.8</v>
      </c>
      <c r="BK116">
        <f ca="1">IF(AND($B$183=1,LEN($BK$217)&gt;0),$BK$217*1000,HLOOKUP(INDIRECT(ADDRESS(2,COLUMN())),OFFSET($BN$2,0,0,ROW()-1,60),ROW()-1,FALSE))</f>
        <v>0</v>
      </c>
      <c r="BL116">
        <f ca="1">IF(AND($B$183=1,LEN($BL$217)&gt;0),$BL$217*1000,HLOOKUP(INDIRECT(ADDRESS(2,COLUMN())),OFFSET($BN$2,0,0,ROW()-1,60),ROW()-1,FALSE))</f>
        <v>0</v>
      </c>
      <c r="BM116">
        <f ca="1">IF(AND($B$183=1,LEN($BM$217)&gt;0),$BM$217*1000,HLOOKUP(INDIRECT(ADDRESS(2,COLUMN())),OFFSET($BN$2,0,0,ROW()-1,60),ROW()-1,FALSE))</f>
        <v>0</v>
      </c>
      <c r="BN116">
        <f>879.326</f>
        <v>879.32600000000002</v>
      </c>
      <c r="BO116">
        <f>618.636</f>
        <v>618.63599999999997</v>
      </c>
      <c r="BP116">
        <f>399.376</f>
        <v>399.37599999999998</v>
      </c>
      <c r="BQ116">
        <f>3521.2</f>
        <v>3521.2</v>
      </c>
      <c r="BR116">
        <f>2296.592</f>
        <v>2296.5920000000001</v>
      </c>
      <c r="BS116">
        <f>619.448</f>
        <v>619.44799999999998</v>
      </c>
      <c r="BT116">
        <f>749.92</f>
        <v>749.92</v>
      </c>
      <c r="BU116">
        <f>206.039</f>
        <v>206.03899999999999</v>
      </c>
      <c r="BV116">
        <f>752.052</f>
        <v>752.05200000000002</v>
      </c>
      <c r="BW116">
        <f>279.379</f>
        <v>279.37900000000002</v>
      </c>
      <c r="BX116">
        <f>809.643</f>
        <v>809.64300000000003</v>
      </c>
      <c r="BY116">
        <f>571.806</f>
        <v>571.80600000000004</v>
      </c>
      <c r="BZ116">
        <f>573.816</f>
        <v>573.81600000000003</v>
      </c>
      <c r="CA116">
        <f>393.267</f>
        <v>393.267</v>
      </c>
      <c r="CB116">
        <f>183.748</f>
        <v>183.74799999999999</v>
      </c>
      <c r="CC116">
        <f>71.132</f>
        <v>71.132000000000005</v>
      </c>
      <c r="CD116">
        <f>360.455</f>
        <v>360.45499999999998</v>
      </c>
      <c r="CE116">
        <f>267.491</f>
        <v>267.49099999999999</v>
      </c>
      <c r="CF116">
        <f>183.496</f>
        <v>183.49600000000001</v>
      </c>
      <c r="CG116">
        <f>370.323</f>
        <v>370.32299999999998</v>
      </c>
      <c r="CH116">
        <f>562.167</f>
        <v>562.16700000000003</v>
      </c>
      <c r="CI116">
        <f>254.562</f>
        <v>254.56200000000001</v>
      </c>
      <c r="CJ116">
        <f>271.692</f>
        <v>271.69200000000001</v>
      </c>
      <c r="CK116">
        <f>199.855</f>
        <v>199.85499999999999</v>
      </c>
      <c r="CL116">
        <f>163.723</f>
        <v>163.72300000000001</v>
      </c>
      <c r="CM116">
        <f>21.22</f>
        <v>21.22</v>
      </c>
      <c r="CN116">
        <f>173.938</f>
        <v>173.93799999999999</v>
      </c>
      <c r="CO116">
        <f>35.178</f>
        <v>35.177999999999997</v>
      </c>
      <c r="CP116">
        <f>162.717</f>
        <v>162.71700000000001</v>
      </c>
      <c r="CQ116">
        <f>101.914</f>
        <v>101.914</v>
      </c>
      <c r="CR116">
        <f>145.452</f>
        <v>145.452</v>
      </c>
      <c r="CS116">
        <f>53.441</f>
        <v>53.441000000000003</v>
      </c>
      <c r="CT116">
        <f>92.389</f>
        <v>92.388999999999996</v>
      </c>
      <c r="CU116">
        <f>34.593</f>
        <v>34.593000000000004</v>
      </c>
      <c r="CV116">
        <f>187.66</f>
        <v>187.66</v>
      </c>
      <c r="CW116">
        <f>247.583</f>
        <v>247.583</v>
      </c>
      <c r="CX116">
        <f>119.059</f>
        <v>119.059</v>
      </c>
      <c r="CY116">
        <f>187.5</f>
        <v>187.5</v>
      </c>
      <c r="CZ116">
        <f>784.651</f>
        <v>784.65099999999995</v>
      </c>
      <c r="DA116">
        <f>36.05</f>
        <v>36.049999999999997</v>
      </c>
      <c r="DB116">
        <f>50.825</f>
        <v>50.825000000000003</v>
      </c>
      <c r="DC116">
        <f>556.322</f>
        <v>556.322</v>
      </c>
      <c r="DD116">
        <f>375.225</f>
        <v>375.22500000000002</v>
      </c>
      <c r="DE116">
        <f>363.783</f>
        <v>363.78300000000002</v>
      </c>
      <c r="DF116">
        <f>435.623</f>
        <v>435.62299999999999</v>
      </c>
      <c r="DG116">
        <f>126.312</f>
        <v>126.312</v>
      </c>
      <c r="DH116">
        <f>68.291</f>
        <v>68.290999999999997</v>
      </c>
      <c r="DI116">
        <f>119.702</f>
        <v>119.702</v>
      </c>
      <c r="DJ116">
        <f>31.35</f>
        <v>31.35</v>
      </c>
      <c r="DK116">
        <f>74.835</f>
        <v>74.834999999999994</v>
      </c>
      <c r="DL116">
        <f>38.683</f>
        <v>38.683</v>
      </c>
      <c r="DM116">
        <f>140.643</f>
        <v>140.643</v>
      </c>
      <c r="DN116">
        <f>38.02</f>
        <v>38.020000000000003</v>
      </c>
      <c r="DO116">
        <f>4.552</f>
        <v>4.5519999999999996</v>
      </c>
      <c r="DP116">
        <f>14.005</f>
        <v>14.005000000000001</v>
      </c>
      <c r="DQ116">
        <f>131.814</f>
        <v>131.81399999999999</v>
      </c>
      <c r="DR116">
        <f>77.8</f>
        <v>77.8</v>
      </c>
      <c r="DS116">
        <f>0</f>
        <v>0</v>
      </c>
      <c r="DT116">
        <f>0</f>
        <v>0</v>
      </c>
      <c r="DU116">
        <f>0</f>
        <v>0</v>
      </c>
    </row>
    <row r="117" spans="1:125">
      <c r="A117" t="str">
        <f>"    Data Center REITs"</f>
        <v xml:space="preserve">    Data Center REITs</v>
      </c>
      <c r="B117" t="str">
        <f>"RECFDSDC Index"</f>
        <v>RECFDSDC Index</v>
      </c>
      <c r="E117" t="str">
        <f t="shared" si="24"/>
        <v>Expression</v>
      </c>
      <c r="F117">
        <f ca="1">IF(AND($B$183=1,LEN($F$218)&gt;0),$F$218*1000,HLOOKUP(INDIRECT(ADDRESS(2,COLUMN())),OFFSET($BN$2,0,0,ROW()-1,60),ROW()-1,FALSE))</f>
        <v>0</v>
      </c>
      <c r="G117">
        <f ca="1">IF(AND($B$183=1,LEN($G$218)&gt;0),$G$218*1000,HLOOKUP(INDIRECT(ADDRESS(2,COLUMN())),OFFSET($BN$2,0,0,ROW()-1,60),ROW()-1,FALSE))</f>
        <v>20.2</v>
      </c>
      <c r="H117">
        <f ca="1">IF(AND($B$183=1,LEN($H$218)&gt;0),$H$218*1000,HLOOKUP(INDIRECT(ADDRESS(2,COLUMN())),OFFSET($BN$2,0,0,ROW()-1,60),ROW()-1,FALSE))</f>
        <v>0</v>
      </c>
      <c r="I117">
        <f ca="1">IF(AND($B$183=1,LEN($I$218)&gt;0),$I$218*1000,HLOOKUP(INDIRECT(ADDRESS(2,COLUMN())),OFFSET($BN$2,0,0,ROW()-1,60),ROW()-1,FALSE))</f>
        <v>0</v>
      </c>
      <c r="J117">
        <f ca="1">IF(AND($B$183=1,LEN($J$218)&gt;0),$J$218*1000,HLOOKUP(INDIRECT(ADDRESS(2,COLUMN())),OFFSET($BN$2,0,0,ROW()-1,60),ROW()-1,FALSE))</f>
        <v>0</v>
      </c>
      <c r="K117">
        <f ca="1">IF(AND($B$183=1,LEN($K$218)&gt;0),$K$218*1000,HLOOKUP(INDIRECT(ADDRESS(2,COLUMN())),OFFSET($BN$2,0,0,ROW()-1,60),ROW()-1,FALSE))</f>
        <v>1153.8140000000001</v>
      </c>
      <c r="L117">
        <f ca="1">IF(AND($B$183=1,LEN($L$218)&gt;0),$L$218*1000,HLOOKUP(INDIRECT(ADDRESS(2,COLUMN())),OFFSET($BN$2,0,0,ROW()-1,60),ROW()-1,FALSE))</f>
        <v>125</v>
      </c>
      <c r="M117">
        <f ca="1">IF(AND($B$183=1,LEN($M$218)&gt;0),$M$218*1000,HLOOKUP(INDIRECT(ADDRESS(2,COLUMN())),OFFSET($BN$2,0,0,ROW()-1,60),ROW()-1,FALSE))</f>
        <v>37.5</v>
      </c>
      <c r="N117">
        <f ca="1">IF(AND($B$183=1,LEN($N$218)&gt;0),$N$218*1000,HLOOKUP(INDIRECT(ADDRESS(2,COLUMN())),OFFSET($BN$2,0,0,ROW()-1,60),ROW()-1,FALSE))</f>
        <v>9.85</v>
      </c>
      <c r="O117">
        <f ca="1">IF(AND($B$183=1,LEN($O$218)&gt;0),$O$218*1000,HLOOKUP(INDIRECT(ADDRESS(2,COLUMN())),OFFSET($BN$2,0,0,ROW()-1,60),ROW()-1,FALSE))</f>
        <v>0</v>
      </c>
      <c r="P117">
        <f ca="1">IF(AND($B$183=1,LEN($P$218)&gt;0),$P$218*1000,HLOOKUP(INDIRECT(ADDRESS(2,COLUMN())),OFFSET($BN$2,0,0,ROW()-1,60),ROW()-1,FALSE))</f>
        <v>160.75</v>
      </c>
      <c r="Q117">
        <f ca="1">IF(AND($B$183=1,LEN($Q$218)&gt;0),$Q$218*1000,HLOOKUP(INDIRECT(ADDRESS(2,COLUMN())),OFFSET($BN$2,0,0,ROW()-1,60),ROW()-1,FALSE))</f>
        <v>45.25</v>
      </c>
      <c r="R117">
        <f ca="1">IF(AND($B$183=1,LEN($R$218)&gt;0),$R$218*1000,HLOOKUP(INDIRECT(ADDRESS(2,COLUMN())),OFFSET($BN$2,0,0,ROW()-1,60),ROW()-1,FALSE))</f>
        <v>0</v>
      </c>
      <c r="S117">
        <f ca="1">IF(AND($B$183=1,LEN($S$218)&gt;0),$S$218*1000,HLOOKUP(INDIRECT(ADDRESS(2,COLUMN())),OFFSET($BN$2,0,0,ROW()-1,60),ROW()-1,FALSE))</f>
        <v>187.6</v>
      </c>
      <c r="T117">
        <f ca="1">IF(AND($B$183=1,LEN($T$218)&gt;0),$T$218*1000,HLOOKUP(INDIRECT(ADDRESS(2,COLUMN())),OFFSET($BN$2,0,0,ROW()-1,60),ROW()-1,FALSE))</f>
        <v>41.5</v>
      </c>
      <c r="U117">
        <f ca="1">IF(AND($B$183=1,LEN($U$218)&gt;0),$U$218*1000,HLOOKUP(INDIRECT(ADDRESS(2,COLUMN())),OFFSET($BN$2,0,0,ROW()-1,60),ROW()-1,FALSE))</f>
        <v>40.4</v>
      </c>
      <c r="V117">
        <f ca="1">IF(AND($B$183=1,LEN($V$218)&gt;0),$V$218*1000,HLOOKUP(INDIRECT(ADDRESS(2,COLUMN())),OFFSET($BN$2,0,0,ROW()-1,60),ROW()-1,FALSE))</f>
        <v>0</v>
      </c>
      <c r="W117">
        <f ca="1">IF(AND($B$183=1,LEN($W$218)&gt;0),$W$218*1000,HLOOKUP(INDIRECT(ADDRESS(2,COLUMN())),OFFSET($BN$2,0,0,ROW()-1,60),ROW()-1,FALSE))</f>
        <v>328.56900000000002</v>
      </c>
      <c r="X117">
        <f ca="1">IF(AND($B$183=1,LEN($X$218)&gt;0),$X$218*1000,HLOOKUP(INDIRECT(ADDRESS(2,COLUMN())),OFFSET($BN$2,0,0,ROW()-1,60),ROW()-1,FALSE))</f>
        <v>0</v>
      </c>
      <c r="Y117">
        <f ca="1">IF(AND($B$183=1,LEN($Y$218)&gt;0),$Y$218*1000,HLOOKUP(INDIRECT(ADDRESS(2,COLUMN())),OFFSET($BN$2,0,0,ROW()-1,60),ROW()-1,FALSE))</f>
        <v>0</v>
      </c>
      <c r="Z117">
        <f ca="1">IF(AND($B$183=1,LEN($Z$218)&gt;0),$Z$218*1000,HLOOKUP(INDIRECT(ADDRESS(2,COLUMN())),OFFSET($BN$2,0,0,ROW()-1,60),ROW()-1,FALSE))</f>
        <v>0</v>
      </c>
      <c r="AA117">
        <f ca="1">IF(AND($B$183=1,LEN($AA$218)&gt;0),$AA$218*1000,HLOOKUP(INDIRECT(ADDRESS(2,COLUMN())),OFFSET($BN$2,0,0,ROW()-1,60),ROW()-1,FALSE))</f>
        <v>0</v>
      </c>
      <c r="AB117">
        <f ca="1">IF(AND($B$183=1,LEN($AB$218)&gt;0),$AB$218*1000,HLOOKUP(INDIRECT(ADDRESS(2,COLUMN())),OFFSET($BN$2,0,0,ROW()-1,60),ROW()-1,FALSE))</f>
        <v>47.8</v>
      </c>
      <c r="AC117">
        <f ca="1">IF(AND($B$183=1,LEN($AC$218)&gt;0),$AC$218*1000,HLOOKUP(INDIRECT(ADDRESS(2,COLUMN())),OFFSET($BN$2,0,0,ROW()-1,60),ROW()-1,FALSE))</f>
        <v>0</v>
      </c>
      <c r="AD117">
        <f ca="1">IF(AND($B$183=1,LEN($AD$218)&gt;0),$AD$218*1000,HLOOKUP(INDIRECT(ADDRESS(2,COLUMN())),OFFSET($BN$2,0,0,ROW()-1,60),ROW()-1,FALSE))</f>
        <v>0</v>
      </c>
      <c r="AE117">
        <f ca="1">IF(AND($B$183=1,LEN($AE$218)&gt;0),$AE$218*1000,HLOOKUP(INDIRECT(ADDRESS(2,COLUMN())),OFFSET($BN$2,0,0,ROW()-1,60),ROW()-1,FALSE))</f>
        <v>0</v>
      </c>
      <c r="AF117">
        <f ca="1">IF(AND($B$183=1,LEN($AF$218)&gt;0),$AF$218*1000,HLOOKUP(INDIRECT(ADDRESS(2,COLUMN())),OFFSET($BN$2,0,0,ROW()-1,60),ROW()-1,FALSE))</f>
        <v>0</v>
      </c>
      <c r="AG117">
        <f ca="1">IF(AND($B$183=1,LEN($AG$218)&gt;0),$AG$218*1000,HLOOKUP(INDIRECT(ADDRESS(2,COLUMN())),OFFSET($BN$2,0,0,ROW()-1,60),ROW()-1,FALSE))</f>
        <v>0</v>
      </c>
      <c r="AH117">
        <f ca="1">IF(AND($B$183=1,LEN($AH$218)&gt;0),$AH$218*1000,HLOOKUP(INDIRECT(ADDRESS(2,COLUMN())),OFFSET($BN$2,0,0,ROW()-1,60),ROW()-1,FALSE))</f>
        <v>0</v>
      </c>
      <c r="AI117">
        <f ca="1">IF(AND($B$183=1,LEN($AI$218)&gt;0),$AI$218*1000,HLOOKUP(INDIRECT(ADDRESS(2,COLUMN())),OFFSET($BN$2,0,0,ROW()-1,60),ROW()-1,FALSE))</f>
        <v>0</v>
      </c>
      <c r="AJ117">
        <f ca="1">IF(AND($B$183=1,LEN($AJ$218)&gt;0),$AJ$218*1000,HLOOKUP(INDIRECT(ADDRESS(2,COLUMN())),OFFSET($BN$2,0,0,ROW()-1,60),ROW()-1,FALSE))</f>
        <v>0</v>
      </c>
      <c r="AK117">
        <f ca="1">IF(AND($B$183=1,LEN($AK$218)&gt;0),$AK$218*1000,HLOOKUP(INDIRECT(ADDRESS(2,COLUMN())),OFFSET($BN$2,0,0,ROW()-1,60),ROW()-1,FALSE))</f>
        <v>0</v>
      </c>
      <c r="AL117">
        <f ca="1">IF(AND($B$183=1,LEN($AL$218)&gt;0),$AL$218*1000,HLOOKUP(INDIRECT(ADDRESS(2,COLUMN())),OFFSET($BN$2,0,0,ROW()-1,60),ROW()-1,FALSE))</f>
        <v>0</v>
      </c>
      <c r="AM117">
        <f ca="1">IF(AND($B$183=1,LEN($AM$218)&gt;0),$AM$218*1000,HLOOKUP(INDIRECT(ADDRESS(2,COLUMN())),OFFSET($BN$2,0,0,ROW()-1,60),ROW()-1,FALSE))</f>
        <v>0</v>
      </c>
      <c r="AN117">
        <f ca="1">IF(AND($B$183=1,LEN($AN$218)&gt;0),$AN$218*1000,HLOOKUP(INDIRECT(ADDRESS(2,COLUMN())),OFFSET($BN$2,0,0,ROW()-1,60),ROW()-1,FALSE))</f>
        <v>0</v>
      </c>
      <c r="AO117">
        <f ca="1">IF(AND($B$183=1,LEN($AO$218)&gt;0),$AO$218*1000,HLOOKUP(INDIRECT(ADDRESS(2,COLUMN())),OFFSET($BN$2,0,0,ROW()-1,60),ROW()-1,FALSE))</f>
        <v>0</v>
      </c>
      <c r="AP117">
        <f ca="1">IF(AND($B$183=1,LEN($AP$218)&gt;0),$AP$218*1000,HLOOKUP(INDIRECT(ADDRESS(2,COLUMN())),OFFSET($BN$2,0,0,ROW()-1,60),ROW()-1,FALSE))</f>
        <v>0</v>
      </c>
      <c r="AQ117">
        <f ca="1">IF(AND($B$183=1,LEN($AQ$218)&gt;0),$AQ$218*1000,HLOOKUP(INDIRECT(ADDRESS(2,COLUMN())),OFFSET($BN$2,0,0,ROW()-1,60),ROW()-1,FALSE))</f>
        <v>0</v>
      </c>
      <c r="AR117">
        <f ca="1">IF(AND($B$183=1,LEN($AR$218)&gt;0),$AR$218*1000,HLOOKUP(INDIRECT(ADDRESS(2,COLUMN())),OFFSET($BN$2,0,0,ROW()-1,60),ROW()-1,FALSE))</f>
        <v>0</v>
      </c>
      <c r="AS117">
        <f ca="1">IF(AND($B$183=1,LEN($AS$218)&gt;0),$AS$218*1000,HLOOKUP(INDIRECT(ADDRESS(2,COLUMN())),OFFSET($BN$2,0,0,ROW()-1,60),ROW()-1,FALSE))</f>
        <v>0</v>
      </c>
      <c r="AT117">
        <f ca="1">IF(AND($B$183=1,LEN($AT$218)&gt;0),$AT$218*1000,HLOOKUP(INDIRECT(ADDRESS(2,COLUMN())),OFFSET($BN$2,0,0,ROW()-1,60),ROW()-1,FALSE))</f>
        <v>0</v>
      </c>
      <c r="AU117">
        <f ca="1">IF(AND($B$183=1,LEN($AU$218)&gt;0),$AU$218*1000,HLOOKUP(INDIRECT(ADDRESS(2,COLUMN())),OFFSET($BN$2,0,0,ROW()-1,60),ROW()-1,FALSE))</f>
        <v>0</v>
      </c>
      <c r="AV117">
        <f ca="1">IF(AND($B$183=1,LEN($AV$218)&gt;0),$AV$218*1000,HLOOKUP(INDIRECT(ADDRESS(2,COLUMN())),OFFSET($BN$2,0,0,ROW()-1,60),ROW()-1,FALSE))</f>
        <v>0</v>
      </c>
      <c r="AW117">
        <f ca="1">IF(AND($B$183=1,LEN($AW$218)&gt;0),$AW$218*1000,HLOOKUP(INDIRECT(ADDRESS(2,COLUMN())),OFFSET($BN$2,0,0,ROW()-1,60),ROW()-1,FALSE))</f>
        <v>78.5</v>
      </c>
      <c r="AX117">
        <f ca="1">IF(AND($B$183=1,LEN($AX$218)&gt;0),$AX$218*1000,HLOOKUP(INDIRECT(ADDRESS(2,COLUMN())),OFFSET($BN$2,0,0,ROW()-1,60),ROW()-1,FALSE))</f>
        <v>0</v>
      </c>
      <c r="AY117">
        <f ca="1">IF(AND($B$183=1,LEN($AY$218)&gt;0),$AY$218*1000,HLOOKUP(INDIRECT(ADDRESS(2,COLUMN())),OFFSET($BN$2,0,0,ROW()-1,60),ROW()-1,FALSE))</f>
        <v>60.4</v>
      </c>
      <c r="AZ117">
        <f ca="1">IF(AND($B$183=1,LEN($AZ$218)&gt;0),$AZ$218*1000,HLOOKUP(INDIRECT(ADDRESS(2,COLUMN())),OFFSET($BN$2,0,0,ROW()-1,60),ROW()-1,FALSE))</f>
        <v>0</v>
      </c>
      <c r="BA117">
        <f ca="1">IF(AND($B$183=1,LEN($BA$218)&gt;0),$BA$218*1000,HLOOKUP(INDIRECT(ADDRESS(2,COLUMN())),OFFSET($BN$2,0,0,ROW()-1,60),ROW()-1,FALSE))</f>
        <v>0</v>
      </c>
      <c r="BB117">
        <f ca="1">IF(AND($B$183=1,LEN($BB$218)&gt;0),$BB$218*1000,HLOOKUP(INDIRECT(ADDRESS(2,COLUMN())),OFFSET($BN$2,0,0,ROW()-1,60),ROW()-1,FALSE))</f>
        <v>0</v>
      </c>
      <c r="BC117">
        <f ca="1">IF(AND($B$183=1,LEN($BC$218)&gt;0),$BC$218*1000,HLOOKUP(INDIRECT(ADDRESS(2,COLUMN())),OFFSET($BN$2,0,0,ROW()-1,60),ROW()-1,FALSE))</f>
        <v>0</v>
      </c>
      <c r="BD117">
        <f ca="1">IF(AND($B$183=1,LEN($BD$218)&gt;0),$BD$218*1000,HLOOKUP(INDIRECT(ADDRESS(2,COLUMN())),OFFSET($BN$2,0,0,ROW()-1,60),ROW()-1,FALSE))</f>
        <v>0</v>
      </c>
      <c r="BE117">
        <f ca="1">IF(AND($B$183=1,LEN($BE$218)&gt;0),$BE$218*1000,HLOOKUP(INDIRECT(ADDRESS(2,COLUMN())),OFFSET($BN$2,0,0,ROW()-1,60),ROW()-1,FALSE))</f>
        <v>0</v>
      </c>
      <c r="BF117">
        <f ca="1">IF(AND($B$183=1,LEN($BF$218)&gt;0),$BF$218*1000,HLOOKUP(INDIRECT(ADDRESS(2,COLUMN())),OFFSET($BN$2,0,0,ROW()-1,60),ROW()-1,FALSE))</f>
        <v>0</v>
      </c>
      <c r="BG117">
        <f ca="1">IF(AND($B$183=1,LEN($BG$218)&gt;0),$BG$218*1000,HLOOKUP(INDIRECT(ADDRESS(2,COLUMN())),OFFSET($BN$2,0,0,ROW()-1,60),ROW()-1,FALSE))</f>
        <v>0</v>
      </c>
      <c r="BH117">
        <f ca="1">IF(AND($B$183=1,LEN($BH$218)&gt;0),$BH$218*1000,HLOOKUP(INDIRECT(ADDRESS(2,COLUMN())),OFFSET($BN$2,0,0,ROW()-1,60),ROW()-1,FALSE))</f>
        <v>0</v>
      </c>
      <c r="BI117">
        <f ca="1">IF(AND($B$183=1,LEN($BI$218)&gt;0),$BI$218*1000,HLOOKUP(INDIRECT(ADDRESS(2,COLUMN())),OFFSET($BN$2,0,0,ROW()-1,60),ROW()-1,FALSE))</f>
        <v>0</v>
      </c>
      <c r="BJ117">
        <f ca="1">IF(AND($B$183=1,LEN($BJ$218)&gt;0),$BJ$218*1000,HLOOKUP(INDIRECT(ADDRESS(2,COLUMN())),OFFSET($BN$2,0,0,ROW()-1,60),ROW()-1,FALSE))</f>
        <v>0</v>
      </c>
      <c r="BK117">
        <f ca="1">IF(AND($B$183=1,LEN($BK$218)&gt;0),$BK$218*1000,HLOOKUP(INDIRECT(ADDRESS(2,COLUMN())),OFFSET($BN$2,0,0,ROW()-1,60),ROW()-1,FALSE))</f>
        <v>0</v>
      </c>
      <c r="BL117">
        <f ca="1">IF(AND($B$183=1,LEN($BL$218)&gt;0),$BL$218*1000,HLOOKUP(INDIRECT(ADDRESS(2,COLUMN())),OFFSET($BN$2,0,0,ROW()-1,60),ROW()-1,FALSE))</f>
        <v>0</v>
      </c>
      <c r="BM117">
        <f ca="1">IF(AND($B$183=1,LEN($BM$218)&gt;0),$BM$218*1000,HLOOKUP(INDIRECT(ADDRESS(2,COLUMN())),OFFSET($BN$2,0,0,ROW()-1,60),ROW()-1,FALSE))</f>
        <v>0</v>
      </c>
      <c r="BN117">
        <f>0</f>
        <v>0</v>
      </c>
      <c r="BO117">
        <f>20.2</f>
        <v>20.2</v>
      </c>
      <c r="BP117">
        <f>0</f>
        <v>0</v>
      </c>
      <c r="BQ117">
        <f>0</f>
        <v>0</v>
      </c>
      <c r="BR117">
        <f>0</f>
        <v>0</v>
      </c>
      <c r="BS117">
        <f>1153.814</f>
        <v>1153.8140000000001</v>
      </c>
      <c r="BT117">
        <f>125</f>
        <v>125</v>
      </c>
      <c r="BU117">
        <f>37.5</f>
        <v>37.5</v>
      </c>
      <c r="BV117">
        <f>9.85</f>
        <v>9.85</v>
      </c>
      <c r="BW117">
        <f>0</f>
        <v>0</v>
      </c>
      <c r="BX117">
        <f>160.75</f>
        <v>160.75</v>
      </c>
      <c r="BY117">
        <f>45.25</f>
        <v>45.25</v>
      </c>
      <c r="BZ117">
        <f>0</f>
        <v>0</v>
      </c>
      <c r="CA117">
        <f>187.6</f>
        <v>187.6</v>
      </c>
      <c r="CB117">
        <f>41.5</f>
        <v>41.5</v>
      </c>
      <c r="CC117">
        <f>40.4</f>
        <v>40.4</v>
      </c>
      <c r="CD117">
        <f>0</f>
        <v>0</v>
      </c>
      <c r="CE117">
        <f>328.569</f>
        <v>328.56900000000002</v>
      </c>
      <c r="CF117">
        <f>0</f>
        <v>0</v>
      </c>
      <c r="CG117">
        <f>0</f>
        <v>0</v>
      </c>
      <c r="CH117">
        <f>0</f>
        <v>0</v>
      </c>
      <c r="CI117">
        <f>0</f>
        <v>0</v>
      </c>
      <c r="CJ117">
        <f>47.8</f>
        <v>47.8</v>
      </c>
      <c r="CK117">
        <f>0</f>
        <v>0</v>
      </c>
      <c r="CL117">
        <f>0</f>
        <v>0</v>
      </c>
      <c r="CM117">
        <f>0</f>
        <v>0</v>
      </c>
      <c r="CN117">
        <f>0</f>
        <v>0</v>
      </c>
      <c r="CO117">
        <f>0</f>
        <v>0</v>
      </c>
      <c r="CP117">
        <f>0</f>
        <v>0</v>
      </c>
      <c r="CQ117">
        <f>0</f>
        <v>0</v>
      </c>
      <c r="CR117">
        <f>0</f>
        <v>0</v>
      </c>
      <c r="CS117">
        <f>0</f>
        <v>0</v>
      </c>
      <c r="CT117">
        <f>0</f>
        <v>0</v>
      </c>
      <c r="CU117">
        <f>0</f>
        <v>0</v>
      </c>
      <c r="CV117">
        <f>0</f>
        <v>0</v>
      </c>
      <c r="CW117">
        <f>0</f>
        <v>0</v>
      </c>
      <c r="CX117">
        <f>0</f>
        <v>0</v>
      </c>
      <c r="CY117">
        <f>0</f>
        <v>0</v>
      </c>
      <c r="CZ117">
        <f>0</f>
        <v>0</v>
      </c>
      <c r="DA117">
        <f>0</f>
        <v>0</v>
      </c>
      <c r="DB117">
        <f>0</f>
        <v>0</v>
      </c>
      <c r="DC117">
        <f>0</f>
        <v>0</v>
      </c>
      <c r="DD117">
        <f>0</f>
        <v>0</v>
      </c>
      <c r="DE117">
        <f>78.5</f>
        <v>78.5</v>
      </c>
      <c r="DF117">
        <f>0</f>
        <v>0</v>
      </c>
      <c r="DG117">
        <f>60.4</f>
        <v>60.4</v>
      </c>
      <c r="DH117">
        <f>0</f>
        <v>0</v>
      </c>
      <c r="DI117">
        <f>0</f>
        <v>0</v>
      </c>
      <c r="DJ117">
        <f>0</f>
        <v>0</v>
      </c>
      <c r="DK117">
        <f>0</f>
        <v>0</v>
      </c>
      <c r="DL117">
        <f>0</f>
        <v>0</v>
      </c>
      <c r="DM117">
        <f>0</f>
        <v>0</v>
      </c>
      <c r="DN117">
        <f>0</f>
        <v>0</v>
      </c>
      <c r="DO117">
        <f>0</f>
        <v>0</v>
      </c>
      <c r="DP117">
        <f>0</f>
        <v>0</v>
      </c>
      <c r="DQ117">
        <f>0</f>
        <v>0</v>
      </c>
      <c r="DR117">
        <f>0</f>
        <v>0</v>
      </c>
      <c r="DS117">
        <f>0</f>
        <v>0</v>
      </c>
      <c r="DT117">
        <f>0</f>
        <v>0</v>
      </c>
      <c r="DU117">
        <f>0</f>
        <v>0</v>
      </c>
    </row>
    <row r="118" spans="1:125">
      <c r="A118" t="str">
        <f>"    Specialty REITs"</f>
        <v xml:space="preserve">    Specialty REITs</v>
      </c>
      <c r="B118" t="str">
        <f>"RECFDSSP Index"</f>
        <v>RECFDSSP Index</v>
      </c>
      <c r="E118" t="str">
        <f t="shared" si="24"/>
        <v>Expression</v>
      </c>
      <c r="F118">
        <f ca="1">IF(AND($B$183=1,LEN($F$219)&gt;0),$F$219*1000,HLOOKUP(INDIRECT(ADDRESS(2,COLUMN())),OFFSET($BN$2,0,0,ROW()-1,60),ROW()-1,FALSE))</f>
        <v>57.125999999999998</v>
      </c>
      <c r="G118">
        <f ca="1">IF(AND($B$183=1,LEN($G$219)&gt;0),$G$219*1000,HLOOKUP(INDIRECT(ADDRESS(2,COLUMN())),OFFSET($BN$2,0,0,ROW()-1,60),ROW()-1,FALSE))</f>
        <v>7.2409999999999997</v>
      </c>
      <c r="H118">
        <f ca="1">IF(AND($B$183=1,LEN($H$219)&gt;0),$H$219*1000,HLOOKUP(INDIRECT(ADDRESS(2,COLUMN())),OFFSET($BN$2,0,0,ROW()-1,60),ROW()-1,FALSE))</f>
        <v>112.419</v>
      </c>
      <c r="I118">
        <f ca="1">IF(AND($B$183=1,LEN($I$219)&gt;0),$I$219*1000,HLOOKUP(INDIRECT(ADDRESS(2,COLUMN())),OFFSET($BN$2,0,0,ROW()-1,60),ROW()-1,FALSE))</f>
        <v>18.57</v>
      </c>
      <c r="J118">
        <f ca="1">IF(AND($B$183=1,LEN($J$219)&gt;0),$J$219*1000,HLOOKUP(INDIRECT(ADDRESS(2,COLUMN())),OFFSET($BN$2,0,0,ROW()-1,60),ROW()-1,FALSE))</f>
        <v>90.6</v>
      </c>
      <c r="K118">
        <f ca="1">IF(AND($B$183=1,LEN($K$219)&gt;0),$K$219*1000,HLOOKUP(INDIRECT(ADDRESS(2,COLUMN())),OFFSET($BN$2,0,0,ROW()-1,60),ROW()-1,FALSE))</f>
        <v>7.9329999999999998</v>
      </c>
      <c r="L118">
        <f ca="1">IF(AND($B$183=1,LEN($L$219)&gt;0),$L$219*1000,HLOOKUP(INDIRECT(ADDRESS(2,COLUMN())),OFFSET($BN$2,0,0,ROW()-1,60),ROW()-1,FALSE))</f>
        <v>99.634</v>
      </c>
      <c r="M118">
        <f ca="1">IF(AND($B$183=1,LEN($M$219)&gt;0),$M$219*1000,HLOOKUP(INDIRECT(ADDRESS(2,COLUMN())),OFFSET($BN$2,0,0,ROW()-1,60),ROW()-1,FALSE))</f>
        <v>0.3</v>
      </c>
      <c r="N118">
        <f ca="1">IF(AND($B$183=1,LEN($N$219)&gt;0),$N$219*1000,HLOOKUP(INDIRECT(ADDRESS(2,COLUMN())),OFFSET($BN$2,0,0,ROW()-1,60),ROW()-1,FALSE))</f>
        <v>0.1</v>
      </c>
      <c r="O118">
        <f ca="1">IF(AND($B$183=1,LEN($O$219)&gt;0),$O$219*1000,HLOOKUP(INDIRECT(ADDRESS(2,COLUMN())),OFFSET($BN$2,0,0,ROW()-1,60),ROW()-1,FALSE))</f>
        <v>0</v>
      </c>
      <c r="P118">
        <f ca="1">IF(AND($B$183=1,LEN($P$219)&gt;0),$P$219*1000,HLOOKUP(INDIRECT(ADDRESS(2,COLUMN())),OFFSET($BN$2,0,0,ROW()-1,60),ROW()-1,FALSE))</f>
        <v>0</v>
      </c>
      <c r="Q118">
        <f ca="1">IF(AND($B$183=1,LEN($Q$219)&gt;0),$Q$219*1000,HLOOKUP(INDIRECT(ADDRESS(2,COLUMN())),OFFSET($BN$2,0,0,ROW()-1,60),ROW()-1,FALSE))</f>
        <v>0</v>
      </c>
      <c r="R118">
        <f ca="1">IF(AND($B$183=1,LEN($R$219)&gt;0),$R$219*1000,HLOOKUP(INDIRECT(ADDRESS(2,COLUMN())),OFFSET($BN$2,0,0,ROW()-1,60),ROW()-1,FALSE))</f>
        <v>0</v>
      </c>
      <c r="S118">
        <f ca="1">IF(AND($B$183=1,LEN($S$219)&gt;0),$S$219*1000,HLOOKUP(INDIRECT(ADDRESS(2,COLUMN())),OFFSET($BN$2,0,0,ROW()-1,60),ROW()-1,FALSE))</f>
        <v>0</v>
      </c>
      <c r="T118">
        <f ca="1">IF(AND($B$183=1,LEN($T$219)&gt;0),$T$219*1000,HLOOKUP(INDIRECT(ADDRESS(2,COLUMN())),OFFSET($BN$2,0,0,ROW()-1,60),ROW()-1,FALSE))</f>
        <v>0</v>
      </c>
      <c r="U118">
        <f ca="1">IF(AND($B$183=1,LEN($U$219)&gt;0),$U$219*1000,HLOOKUP(INDIRECT(ADDRESS(2,COLUMN())),OFFSET($BN$2,0,0,ROW()-1,60),ROW()-1,FALSE))</f>
        <v>0</v>
      </c>
      <c r="V118">
        <f ca="1">IF(AND($B$183=1,LEN($V$219)&gt;0),$V$219*1000,HLOOKUP(INDIRECT(ADDRESS(2,COLUMN())),OFFSET($BN$2,0,0,ROW()-1,60),ROW()-1,FALSE))</f>
        <v>0</v>
      </c>
      <c r="W118">
        <f ca="1">IF(AND($B$183=1,LEN($W$219)&gt;0),$W$219*1000,HLOOKUP(INDIRECT(ADDRESS(2,COLUMN())),OFFSET($BN$2,0,0,ROW()-1,60),ROW()-1,FALSE))</f>
        <v>0</v>
      </c>
      <c r="X118">
        <f ca="1">IF(AND($B$183=1,LEN($X$219)&gt;0),$X$219*1000,HLOOKUP(INDIRECT(ADDRESS(2,COLUMN())),OFFSET($BN$2,0,0,ROW()-1,60),ROW()-1,FALSE))</f>
        <v>0</v>
      </c>
      <c r="Y118">
        <f ca="1">IF(AND($B$183=1,LEN($Y$219)&gt;0),$Y$219*1000,HLOOKUP(INDIRECT(ADDRESS(2,COLUMN())),OFFSET($BN$2,0,0,ROW()-1,60),ROW()-1,FALSE))</f>
        <v>0</v>
      </c>
      <c r="Z118">
        <f ca="1">IF(AND($B$183=1,LEN($Z$219)&gt;0),$Z$219*1000,HLOOKUP(INDIRECT(ADDRESS(2,COLUMN())),OFFSET($BN$2,0,0,ROW()-1,60),ROW()-1,FALSE))</f>
        <v>0</v>
      </c>
      <c r="AA118">
        <f ca="1">IF(AND($B$183=1,LEN($AA$219)&gt;0),$AA$219*1000,HLOOKUP(INDIRECT(ADDRESS(2,COLUMN())),OFFSET($BN$2,0,0,ROW()-1,60),ROW()-1,FALSE))</f>
        <v>0</v>
      </c>
      <c r="AB118">
        <f ca="1">IF(AND($B$183=1,LEN($AB$219)&gt;0),$AB$219*1000,HLOOKUP(INDIRECT(ADDRESS(2,COLUMN())),OFFSET($BN$2,0,0,ROW()-1,60),ROW()-1,FALSE))</f>
        <v>0</v>
      </c>
      <c r="AC118">
        <f ca="1">IF(AND($B$183=1,LEN($AC$219)&gt;0),$AC$219*1000,HLOOKUP(INDIRECT(ADDRESS(2,COLUMN())),OFFSET($BN$2,0,0,ROW()-1,60),ROW()-1,FALSE))</f>
        <v>0</v>
      </c>
      <c r="AD118">
        <f ca="1">IF(AND($B$183=1,LEN($AD$219)&gt;0),$AD$219*1000,HLOOKUP(INDIRECT(ADDRESS(2,COLUMN())),OFFSET($BN$2,0,0,ROW()-1,60),ROW()-1,FALSE))</f>
        <v>0</v>
      </c>
      <c r="AE118">
        <f ca="1">IF(AND($B$183=1,LEN($AE$219)&gt;0),$AE$219*1000,HLOOKUP(INDIRECT(ADDRESS(2,COLUMN())),OFFSET($BN$2,0,0,ROW()-1,60),ROW()-1,FALSE))</f>
        <v>0</v>
      </c>
      <c r="AF118">
        <f ca="1">IF(AND($B$183=1,LEN($AF$219)&gt;0),$AF$219*1000,HLOOKUP(INDIRECT(ADDRESS(2,COLUMN())),OFFSET($BN$2,0,0,ROW()-1,60),ROW()-1,FALSE))</f>
        <v>0</v>
      </c>
      <c r="AG118">
        <f ca="1">IF(AND($B$183=1,LEN($AG$219)&gt;0),$AG$219*1000,HLOOKUP(INDIRECT(ADDRESS(2,COLUMN())),OFFSET($BN$2,0,0,ROW()-1,60),ROW()-1,FALSE))</f>
        <v>0</v>
      </c>
      <c r="AH118">
        <f ca="1">IF(AND($B$183=1,LEN($AH$219)&gt;0),$AH$219*1000,HLOOKUP(INDIRECT(ADDRESS(2,COLUMN())),OFFSET($BN$2,0,0,ROW()-1,60),ROW()-1,FALSE))</f>
        <v>0</v>
      </c>
      <c r="AI118">
        <f ca="1">IF(AND($B$183=1,LEN($AI$219)&gt;0),$AI$219*1000,HLOOKUP(INDIRECT(ADDRESS(2,COLUMN())),OFFSET($BN$2,0,0,ROW()-1,60),ROW()-1,FALSE))</f>
        <v>1.155</v>
      </c>
      <c r="AJ118">
        <f ca="1">IF(AND($B$183=1,LEN($AJ$219)&gt;0),$AJ$219*1000,HLOOKUP(INDIRECT(ADDRESS(2,COLUMN())),OFFSET($BN$2,0,0,ROW()-1,60),ROW()-1,FALSE))</f>
        <v>6.5</v>
      </c>
      <c r="AK118">
        <f ca="1">IF(AND($B$183=1,LEN($AK$219)&gt;0),$AK$219*1000,HLOOKUP(INDIRECT(ADDRESS(2,COLUMN())),OFFSET($BN$2,0,0,ROW()-1,60),ROW()-1,FALSE))</f>
        <v>0</v>
      </c>
      <c r="AL118">
        <f ca="1">IF(AND($B$183=1,LEN($AL$219)&gt;0),$AL$219*1000,HLOOKUP(INDIRECT(ADDRESS(2,COLUMN())),OFFSET($BN$2,0,0,ROW()-1,60),ROW()-1,FALSE))</f>
        <v>0</v>
      </c>
      <c r="AM118">
        <f ca="1">IF(AND($B$183=1,LEN($AM$219)&gt;0),$AM$219*1000,HLOOKUP(INDIRECT(ADDRESS(2,COLUMN())),OFFSET($BN$2,0,0,ROW()-1,60),ROW()-1,FALSE))</f>
        <v>0</v>
      </c>
      <c r="AN118">
        <f ca="1">IF(AND($B$183=1,LEN($AN$219)&gt;0),$AN$219*1000,HLOOKUP(INDIRECT(ADDRESS(2,COLUMN())),OFFSET($BN$2,0,0,ROW()-1,60),ROW()-1,FALSE))</f>
        <v>0</v>
      </c>
      <c r="AO118">
        <f ca="1">IF(AND($B$183=1,LEN($AO$219)&gt;0),$AO$219*1000,HLOOKUP(INDIRECT(ADDRESS(2,COLUMN())),OFFSET($BN$2,0,0,ROW()-1,60),ROW()-1,FALSE))</f>
        <v>0</v>
      </c>
      <c r="AP118">
        <f ca="1">IF(AND($B$183=1,LEN($AP$219)&gt;0),$AP$219*1000,HLOOKUP(INDIRECT(ADDRESS(2,COLUMN())),OFFSET($BN$2,0,0,ROW()-1,60),ROW()-1,FALSE))</f>
        <v>0</v>
      </c>
      <c r="AQ118">
        <f ca="1">IF(AND($B$183=1,LEN($AQ$219)&gt;0),$AQ$219*1000,HLOOKUP(INDIRECT(ADDRESS(2,COLUMN())),OFFSET($BN$2,0,0,ROW()-1,60),ROW()-1,FALSE))</f>
        <v>0</v>
      </c>
      <c r="AR118">
        <f ca="1">IF(AND($B$183=1,LEN($AR$219)&gt;0),$AR$219*1000,HLOOKUP(INDIRECT(ADDRESS(2,COLUMN())),OFFSET($BN$2,0,0,ROW()-1,60),ROW()-1,FALSE))</f>
        <v>0</v>
      </c>
      <c r="AS118">
        <f ca="1">IF(AND($B$183=1,LEN($AS$219)&gt;0),$AS$219*1000,HLOOKUP(INDIRECT(ADDRESS(2,COLUMN())),OFFSET($BN$2,0,0,ROW()-1,60),ROW()-1,FALSE))</f>
        <v>0</v>
      </c>
      <c r="AT118">
        <f ca="1">IF(AND($B$183=1,LEN($AT$219)&gt;0),$AT$219*1000,HLOOKUP(INDIRECT(ADDRESS(2,COLUMN())),OFFSET($BN$2,0,0,ROW()-1,60),ROW()-1,FALSE))</f>
        <v>0</v>
      </c>
      <c r="AU118">
        <f ca="1">IF(AND($B$183=1,LEN($AU$219)&gt;0),$AU$219*1000,HLOOKUP(INDIRECT(ADDRESS(2,COLUMN())),OFFSET($BN$2,0,0,ROW()-1,60),ROW()-1,FALSE))</f>
        <v>0</v>
      </c>
      <c r="AV118">
        <f ca="1">IF(AND($B$183=1,LEN($AV$219)&gt;0),$AV$219*1000,HLOOKUP(INDIRECT(ADDRESS(2,COLUMN())),OFFSET($BN$2,0,0,ROW()-1,60),ROW()-1,FALSE))</f>
        <v>7.7</v>
      </c>
      <c r="AW118">
        <f ca="1">IF(AND($B$183=1,LEN($AW$219)&gt;0),$AW$219*1000,HLOOKUP(INDIRECT(ADDRESS(2,COLUMN())),OFFSET($BN$2,0,0,ROW()-1,60),ROW()-1,FALSE))</f>
        <v>0</v>
      </c>
      <c r="AX118">
        <f ca="1">IF(AND($B$183=1,LEN($AX$219)&gt;0),$AX$219*1000,HLOOKUP(INDIRECT(ADDRESS(2,COLUMN())),OFFSET($BN$2,0,0,ROW()-1,60),ROW()-1,FALSE))</f>
        <v>0</v>
      </c>
      <c r="AY118">
        <f ca="1">IF(AND($B$183=1,LEN($AY$219)&gt;0),$AY$219*1000,HLOOKUP(INDIRECT(ADDRESS(2,COLUMN())),OFFSET($BN$2,0,0,ROW()-1,60),ROW()-1,FALSE))</f>
        <v>0</v>
      </c>
      <c r="AZ118">
        <f ca="1">IF(AND($B$183=1,LEN($AZ$219)&gt;0),$AZ$219*1000,HLOOKUP(INDIRECT(ADDRESS(2,COLUMN())),OFFSET($BN$2,0,0,ROW()-1,60),ROW()-1,FALSE))</f>
        <v>0</v>
      </c>
      <c r="BA118">
        <f ca="1">IF(AND($B$183=1,LEN($BA$219)&gt;0),$BA$219*1000,HLOOKUP(INDIRECT(ADDRESS(2,COLUMN())),OFFSET($BN$2,0,0,ROW()-1,60),ROW()-1,FALSE))</f>
        <v>0</v>
      </c>
      <c r="BB118">
        <f ca="1">IF(AND($B$183=1,LEN($BB$219)&gt;0),$BB$219*1000,HLOOKUP(INDIRECT(ADDRESS(2,COLUMN())),OFFSET($BN$2,0,0,ROW()-1,60),ROW()-1,FALSE))</f>
        <v>0</v>
      </c>
      <c r="BC118">
        <f ca="1">IF(AND($B$183=1,LEN($BC$219)&gt;0),$BC$219*1000,HLOOKUP(INDIRECT(ADDRESS(2,COLUMN())),OFFSET($BN$2,0,0,ROW()-1,60),ROW()-1,FALSE))</f>
        <v>2</v>
      </c>
      <c r="BD118">
        <f ca="1">IF(AND($B$183=1,LEN($BD$219)&gt;0),$BD$219*1000,HLOOKUP(INDIRECT(ADDRESS(2,COLUMN())),OFFSET($BN$2,0,0,ROW()-1,60),ROW()-1,FALSE))</f>
        <v>9.3000000000000007</v>
      </c>
      <c r="BE118">
        <f ca="1">IF(AND($B$183=1,LEN($BE$219)&gt;0),$BE$219*1000,HLOOKUP(INDIRECT(ADDRESS(2,COLUMN())),OFFSET($BN$2,0,0,ROW()-1,60),ROW()-1,FALSE))</f>
        <v>6.4</v>
      </c>
      <c r="BF118">
        <f ca="1">IF(AND($B$183=1,LEN($BF$219)&gt;0),$BF$219*1000,HLOOKUP(INDIRECT(ADDRESS(2,COLUMN())),OFFSET($BN$2,0,0,ROW()-1,60),ROW()-1,FALSE))</f>
        <v>158.733</v>
      </c>
      <c r="BG118">
        <f ca="1">IF(AND($B$183=1,LEN($BG$219)&gt;0),$BG$219*1000,HLOOKUP(INDIRECT(ADDRESS(2,COLUMN())),OFFSET($BN$2,0,0,ROW()-1,60),ROW()-1,FALSE))</f>
        <v>44.264000000000003</v>
      </c>
      <c r="BH118">
        <f ca="1">IF(AND($B$183=1,LEN($BH$219)&gt;0),$BH$219*1000,HLOOKUP(INDIRECT(ADDRESS(2,COLUMN())),OFFSET($BN$2,0,0,ROW()-1,60),ROW()-1,FALSE))</f>
        <v>61.597999999999999</v>
      </c>
      <c r="BI118">
        <f ca="1">IF(AND($B$183=1,LEN($BI$219)&gt;0),$BI$219*1000,HLOOKUP(INDIRECT(ADDRESS(2,COLUMN())),OFFSET($BN$2,0,0,ROW()-1,60),ROW()-1,FALSE))</f>
        <v>38.347999999999999</v>
      </c>
      <c r="BJ118">
        <f ca="1">IF(AND($B$183=1,LEN($BJ$219)&gt;0),$BJ$219*1000,HLOOKUP(INDIRECT(ADDRESS(2,COLUMN())),OFFSET($BN$2,0,0,ROW()-1,60),ROW()-1,FALSE))</f>
        <v>0</v>
      </c>
      <c r="BK118">
        <f ca="1">IF(AND($B$183=1,LEN($BK$219)&gt;0),$BK$219*1000,HLOOKUP(INDIRECT(ADDRESS(2,COLUMN())),OFFSET($BN$2,0,0,ROW()-1,60),ROW()-1,FALSE))</f>
        <v>0</v>
      </c>
      <c r="BL118">
        <f ca="1">IF(AND($B$183=1,LEN($BL$219)&gt;0),$BL$219*1000,HLOOKUP(INDIRECT(ADDRESS(2,COLUMN())),OFFSET($BN$2,0,0,ROW()-1,60),ROW()-1,FALSE))</f>
        <v>0</v>
      </c>
      <c r="BM118">
        <f ca="1">IF(AND($B$183=1,LEN($BM$219)&gt;0),$BM$219*1000,HLOOKUP(INDIRECT(ADDRESS(2,COLUMN())),OFFSET($BN$2,0,0,ROW()-1,60),ROW()-1,FALSE))</f>
        <v>0</v>
      </c>
      <c r="BN118">
        <f>57.126</f>
        <v>57.125999999999998</v>
      </c>
      <c r="BO118">
        <f>7.241</f>
        <v>7.2409999999999997</v>
      </c>
      <c r="BP118">
        <f>112.419</f>
        <v>112.419</v>
      </c>
      <c r="BQ118">
        <f>18.57</f>
        <v>18.57</v>
      </c>
      <c r="BR118">
        <f>90.6</f>
        <v>90.6</v>
      </c>
      <c r="BS118">
        <f>7.933</f>
        <v>7.9329999999999998</v>
      </c>
      <c r="BT118">
        <f>99.634</f>
        <v>99.634</v>
      </c>
      <c r="BU118">
        <f>0.3</f>
        <v>0.3</v>
      </c>
      <c r="BV118">
        <f>0.1</f>
        <v>0.1</v>
      </c>
      <c r="BW118">
        <f>0</f>
        <v>0</v>
      </c>
      <c r="BX118">
        <f>0</f>
        <v>0</v>
      </c>
      <c r="BY118">
        <f>0</f>
        <v>0</v>
      </c>
      <c r="BZ118">
        <f>0</f>
        <v>0</v>
      </c>
      <c r="CA118">
        <f>0</f>
        <v>0</v>
      </c>
      <c r="CB118">
        <f>0</f>
        <v>0</v>
      </c>
      <c r="CC118">
        <f>0</f>
        <v>0</v>
      </c>
      <c r="CD118">
        <f>0</f>
        <v>0</v>
      </c>
      <c r="CE118">
        <f>0</f>
        <v>0</v>
      </c>
      <c r="CF118">
        <f>0</f>
        <v>0</v>
      </c>
      <c r="CG118">
        <f>0</f>
        <v>0</v>
      </c>
      <c r="CH118">
        <f>0</f>
        <v>0</v>
      </c>
      <c r="CI118">
        <f>0</f>
        <v>0</v>
      </c>
      <c r="CJ118">
        <f>0</f>
        <v>0</v>
      </c>
      <c r="CK118">
        <f>0</f>
        <v>0</v>
      </c>
      <c r="CL118">
        <f>0</f>
        <v>0</v>
      </c>
      <c r="CM118">
        <f>0</f>
        <v>0</v>
      </c>
      <c r="CN118">
        <f>0</f>
        <v>0</v>
      </c>
      <c r="CO118">
        <f>0</f>
        <v>0</v>
      </c>
      <c r="CP118">
        <f>0</f>
        <v>0</v>
      </c>
      <c r="CQ118">
        <f>1.155</f>
        <v>1.155</v>
      </c>
      <c r="CR118">
        <f>6.5</f>
        <v>6.5</v>
      </c>
      <c r="CS118">
        <f>0</f>
        <v>0</v>
      </c>
      <c r="CT118">
        <f>0</f>
        <v>0</v>
      </c>
      <c r="CU118">
        <f>0</f>
        <v>0</v>
      </c>
      <c r="CV118">
        <f>0</f>
        <v>0</v>
      </c>
      <c r="CW118">
        <f>0</f>
        <v>0</v>
      </c>
      <c r="CX118">
        <f>0</f>
        <v>0</v>
      </c>
      <c r="CY118">
        <f>0</f>
        <v>0</v>
      </c>
      <c r="CZ118">
        <f>0</f>
        <v>0</v>
      </c>
      <c r="DA118">
        <f>0</f>
        <v>0</v>
      </c>
      <c r="DB118">
        <f>0</f>
        <v>0</v>
      </c>
      <c r="DC118">
        <f>0</f>
        <v>0</v>
      </c>
      <c r="DD118">
        <f>7.7</f>
        <v>7.7</v>
      </c>
      <c r="DE118">
        <f>0</f>
        <v>0</v>
      </c>
      <c r="DF118">
        <f>0</f>
        <v>0</v>
      </c>
      <c r="DG118">
        <f>0</f>
        <v>0</v>
      </c>
      <c r="DH118">
        <f>0</f>
        <v>0</v>
      </c>
      <c r="DI118">
        <f>0</f>
        <v>0</v>
      </c>
      <c r="DJ118">
        <f>0</f>
        <v>0</v>
      </c>
      <c r="DK118">
        <f>2</f>
        <v>2</v>
      </c>
      <c r="DL118">
        <f>9.3</f>
        <v>9.3000000000000007</v>
      </c>
      <c r="DM118">
        <f>6.4</f>
        <v>6.4</v>
      </c>
      <c r="DN118">
        <f>158.733</f>
        <v>158.733</v>
      </c>
      <c r="DO118">
        <f>44.264</f>
        <v>44.264000000000003</v>
      </c>
      <c r="DP118">
        <f>61.598</f>
        <v>61.597999999999999</v>
      </c>
      <c r="DQ118">
        <f>38.348</f>
        <v>38.347999999999999</v>
      </c>
      <c r="DR118">
        <f>0</f>
        <v>0</v>
      </c>
      <c r="DS118">
        <f>0</f>
        <v>0</v>
      </c>
      <c r="DT118">
        <f>0</f>
        <v>0</v>
      </c>
      <c r="DU118">
        <f>0</f>
        <v>0</v>
      </c>
    </row>
    <row r="119" spans="1:125">
      <c r="A119" t="str">
        <f>"    "</f>
        <v xml:space="preserve">    </v>
      </c>
      <c r="B119" t="str">
        <f>""</f>
        <v/>
      </c>
      <c r="E119" t="str">
        <f>"静态"</f>
        <v>静态</v>
      </c>
      <c r="F119" t="str">
        <f t="shared" ref="F119:AK119" ca="1" si="25">HLOOKUP(INDIRECT(ADDRESS(2,COLUMN())),OFFSET($BN$2,0,0,ROW()-1,60),ROW()-1,FALSE)</f>
        <v/>
      </c>
      <c r="G119" t="str">
        <f t="shared" ca="1" si="25"/>
        <v/>
      </c>
      <c r="H119" t="str">
        <f t="shared" ca="1" si="25"/>
        <v/>
      </c>
      <c r="I119" t="str">
        <f t="shared" ca="1" si="25"/>
        <v/>
      </c>
      <c r="J119" t="str">
        <f t="shared" ca="1" si="25"/>
        <v/>
      </c>
      <c r="K119" t="str">
        <f t="shared" ca="1" si="25"/>
        <v/>
      </c>
      <c r="L119" t="str">
        <f t="shared" ca="1" si="25"/>
        <v/>
      </c>
      <c r="M119" t="str">
        <f t="shared" ca="1" si="25"/>
        <v/>
      </c>
      <c r="N119" t="str">
        <f t="shared" ca="1" si="25"/>
        <v/>
      </c>
      <c r="O119" t="str">
        <f t="shared" ca="1" si="25"/>
        <v/>
      </c>
      <c r="P119" t="str">
        <f t="shared" ca="1" si="25"/>
        <v/>
      </c>
      <c r="Q119" t="str">
        <f t="shared" ca="1" si="25"/>
        <v/>
      </c>
      <c r="R119" t="str">
        <f t="shared" ca="1" si="25"/>
        <v/>
      </c>
      <c r="S119" t="str">
        <f t="shared" ca="1" si="25"/>
        <v/>
      </c>
      <c r="T119" t="str">
        <f t="shared" ca="1" si="25"/>
        <v/>
      </c>
      <c r="U119" t="str">
        <f t="shared" ca="1" si="25"/>
        <v/>
      </c>
      <c r="V119" t="str">
        <f t="shared" ca="1" si="25"/>
        <v/>
      </c>
      <c r="W119" t="str">
        <f t="shared" ca="1" si="25"/>
        <v/>
      </c>
      <c r="X119" t="str">
        <f t="shared" ca="1" si="25"/>
        <v/>
      </c>
      <c r="Y119" t="str">
        <f t="shared" ca="1" si="25"/>
        <v/>
      </c>
      <c r="Z119" t="str">
        <f t="shared" ca="1" si="25"/>
        <v/>
      </c>
      <c r="AA119" t="str">
        <f t="shared" ca="1" si="25"/>
        <v/>
      </c>
      <c r="AB119" t="str">
        <f t="shared" ca="1" si="25"/>
        <v/>
      </c>
      <c r="AC119" t="str">
        <f t="shared" ca="1" si="25"/>
        <v/>
      </c>
      <c r="AD119" t="str">
        <f t="shared" ca="1" si="25"/>
        <v/>
      </c>
      <c r="AE119" t="str">
        <f t="shared" ca="1" si="25"/>
        <v/>
      </c>
      <c r="AF119" t="str">
        <f t="shared" ca="1" si="25"/>
        <v/>
      </c>
      <c r="AG119" t="str">
        <f t="shared" ca="1" si="25"/>
        <v/>
      </c>
      <c r="AH119" t="str">
        <f t="shared" ca="1" si="25"/>
        <v/>
      </c>
      <c r="AI119" t="str">
        <f t="shared" ca="1" si="25"/>
        <v/>
      </c>
      <c r="AJ119" t="str">
        <f t="shared" ca="1" si="25"/>
        <v/>
      </c>
      <c r="AK119" t="str">
        <f t="shared" ca="1" si="25"/>
        <v/>
      </c>
      <c r="AL119" t="str">
        <f t="shared" ref="AL119:BM119" ca="1" si="26">HLOOKUP(INDIRECT(ADDRESS(2,COLUMN())),OFFSET($BN$2,0,0,ROW()-1,60),ROW()-1,FALSE)</f>
        <v/>
      </c>
      <c r="AM119" t="str">
        <f t="shared" ca="1" si="26"/>
        <v/>
      </c>
      <c r="AN119" t="str">
        <f t="shared" ca="1" si="26"/>
        <v/>
      </c>
      <c r="AO119" t="str">
        <f t="shared" ca="1" si="26"/>
        <v/>
      </c>
      <c r="AP119" t="str">
        <f t="shared" ca="1" si="26"/>
        <v/>
      </c>
      <c r="AQ119" t="str">
        <f t="shared" ca="1" si="26"/>
        <v/>
      </c>
      <c r="AR119" t="str">
        <f t="shared" ca="1" si="26"/>
        <v/>
      </c>
      <c r="AS119" t="str">
        <f t="shared" ca="1" si="26"/>
        <v/>
      </c>
      <c r="AT119" t="str">
        <f t="shared" ca="1" si="26"/>
        <v/>
      </c>
      <c r="AU119" t="str">
        <f t="shared" ca="1" si="26"/>
        <v/>
      </c>
      <c r="AV119" t="str">
        <f t="shared" ca="1" si="26"/>
        <v/>
      </c>
      <c r="AW119" t="str">
        <f t="shared" ca="1" si="26"/>
        <v/>
      </c>
      <c r="AX119" t="str">
        <f t="shared" ca="1" si="26"/>
        <v/>
      </c>
      <c r="AY119" t="str">
        <f t="shared" ca="1" si="26"/>
        <v/>
      </c>
      <c r="AZ119" t="str">
        <f t="shared" ca="1" si="26"/>
        <v/>
      </c>
      <c r="BA119" t="str">
        <f t="shared" ca="1" si="26"/>
        <v/>
      </c>
      <c r="BB119" t="str">
        <f t="shared" ca="1" si="26"/>
        <v/>
      </c>
      <c r="BC119" t="str">
        <f t="shared" ca="1" si="26"/>
        <v/>
      </c>
      <c r="BD119" t="str">
        <f t="shared" ca="1" si="26"/>
        <v/>
      </c>
      <c r="BE119" t="str">
        <f t="shared" ca="1" si="26"/>
        <v/>
      </c>
      <c r="BF119" t="str">
        <f t="shared" ca="1" si="26"/>
        <v/>
      </c>
      <c r="BG119" t="str">
        <f t="shared" ca="1" si="26"/>
        <v/>
      </c>
      <c r="BH119" t="str">
        <f t="shared" ca="1" si="26"/>
        <v/>
      </c>
      <c r="BI119" t="str">
        <f t="shared" ca="1" si="26"/>
        <v/>
      </c>
      <c r="BJ119" t="str">
        <f t="shared" ca="1" si="26"/>
        <v/>
      </c>
      <c r="BK119" t="str">
        <f t="shared" ca="1" si="26"/>
        <v/>
      </c>
      <c r="BL119" t="str">
        <f t="shared" ca="1" si="26"/>
        <v/>
      </c>
      <c r="BM119" t="str">
        <f t="shared" ca="1" si="26"/>
        <v/>
      </c>
      <c r="BN119" t="str">
        <f>""</f>
        <v/>
      </c>
      <c r="BO119" t="str">
        <f>""</f>
        <v/>
      </c>
      <c r="BP119" t="str">
        <f>""</f>
        <v/>
      </c>
      <c r="BQ119" t="str">
        <f>""</f>
        <v/>
      </c>
      <c r="BR119" t="str">
        <f>""</f>
        <v/>
      </c>
      <c r="BS119" t="str">
        <f>""</f>
        <v/>
      </c>
      <c r="BT119" t="str">
        <f>""</f>
        <v/>
      </c>
      <c r="BU119" t="str">
        <f>""</f>
        <v/>
      </c>
      <c r="BV119" t="str">
        <f>""</f>
        <v/>
      </c>
      <c r="BW119" t="str">
        <f>""</f>
        <v/>
      </c>
      <c r="BX119" t="str">
        <f>""</f>
        <v/>
      </c>
      <c r="BY119" t="str">
        <f>""</f>
        <v/>
      </c>
      <c r="BZ119" t="str">
        <f>""</f>
        <v/>
      </c>
      <c r="CA119" t="str">
        <f>""</f>
        <v/>
      </c>
      <c r="CB119" t="str">
        <f>""</f>
        <v/>
      </c>
      <c r="CC119" t="str">
        <f>""</f>
        <v/>
      </c>
      <c r="CD119" t="str">
        <f>""</f>
        <v/>
      </c>
      <c r="CE119" t="str">
        <f>""</f>
        <v/>
      </c>
      <c r="CF119" t="str">
        <f>""</f>
        <v/>
      </c>
      <c r="CG119" t="str">
        <f>""</f>
        <v/>
      </c>
      <c r="CH119" t="str">
        <f>""</f>
        <v/>
      </c>
      <c r="CI119" t="str">
        <f>""</f>
        <v/>
      </c>
      <c r="CJ119" t="str">
        <f>""</f>
        <v/>
      </c>
      <c r="CK119" t="str">
        <f>""</f>
        <v/>
      </c>
      <c r="CL119" t="str">
        <f>""</f>
        <v/>
      </c>
      <c r="CM119" t="str">
        <f>""</f>
        <v/>
      </c>
      <c r="CN119" t="str">
        <f>""</f>
        <v/>
      </c>
      <c r="CO119" t="str">
        <f>""</f>
        <v/>
      </c>
      <c r="CP119" t="str">
        <f>""</f>
        <v/>
      </c>
      <c r="CQ119" t="str">
        <f>""</f>
        <v/>
      </c>
      <c r="CR119" t="str">
        <f>""</f>
        <v/>
      </c>
      <c r="CS119" t="str">
        <f>""</f>
        <v/>
      </c>
      <c r="CT119" t="str">
        <f>""</f>
        <v/>
      </c>
      <c r="CU119" t="str">
        <f>""</f>
        <v/>
      </c>
      <c r="CV119" t="str">
        <f>""</f>
        <v/>
      </c>
      <c r="CW119" t="str">
        <f>""</f>
        <v/>
      </c>
      <c r="CX119" t="str">
        <f>""</f>
        <v/>
      </c>
      <c r="CY119" t="str">
        <f>""</f>
        <v/>
      </c>
      <c r="CZ119" t="str">
        <f>""</f>
        <v/>
      </c>
      <c r="DA119" t="str">
        <f>""</f>
        <v/>
      </c>
      <c r="DB119" t="str">
        <f>""</f>
        <v/>
      </c>
      <c r="DC119" t="str">
        <f>""</f>
        <v/>
      </c>
      <c r="DD119" t="str">
        <f>""</f>
        <v/>
      </c>
      <c r="DE119" t="str">
        <f>""</f>
        <v/>
      </c>
      <c r="DF119" t="str">
        <f>""</f>
        <v/>
      </c>
      <c r="DG119" t="str">
        <f>""</f>
        <v/>
      </c>
      <c r="DH119" t="str">
        <f>""</f>
        <v/>
      </c>
      <c r="DI119" t="str">
        <f>""</f>
        <v/>
      </c>
      <c r="DJ119" t="str">
        <f>""</f>
        <v/>
      </c>
      <c r="DK119" t="str">
        <f>""</f>
        <v/>
      </c>
      <c r="DL119" t="str">
        <f>""</f>
        <v/>
      </c>
      <c r="DM119" t="str">
        <f>""</f>
        <v/>
      </c>
      <c r="DN119" t="str">
        <f>""</f>
        <v/>
      </c>
      <c r="DO119" t="str">
        <f>""</f>
        <v/>
      </c>
      <c r="DP119" t="str">
        <f>""</f>
        <v/>
      </c>
      <c r="DQ119" t="str">
        <f>""</f>
        <v/>
      </c>
      <c r="DR119" t="str">
        <f>""</f>
        <v/>
      </c>
      <c r="DS119" t="str">
        <f>""</f>
        <v/>
      </c>
      <c r="DT119" t="str">
        <f>""</f>
        <v/>
      </c>
      <c r="DU119" t="str">
        <f>""</f>
        <v/>
      </c>
    </row>
    <row r="120" spans="1:125">
      <c r="A120" t="str">
        <f>"净收购-所有房地产投资信托"</f>
        <v>净收购-所有房地产投资信托</v>
      </c>
      <c r="B120" t="str">
        <f>"RECFNAEQ Index"</f>
        <v>RECFNAEQ Index</v>
      </c>
      <c r="E120" t="str">
        <f t="shared" ref="E120:E136" si="27">"Expression"</f>
        <v>Expression</v>
      </c>
      <c r="F120">
        <f ca="1">IF(AND($B$183=1,LEN($F$220)&gt;0),$F$220*1000,HLOOKUP(INDIRECT(ADDRESS(2,COLUMN())),OFFSET($BN$2,0,0,ROW()-1,60),ROW()-1,FALSE))</f>
        <v>922.53099999999995</v>
      </c>
      <c r="G120">
        <f ca="1">IF(AND($B$183=1,LEN($G$220)&gt;0),$G$220*1000,HLOOKUP(INDIRECT(ADDRESS(2,COLUMN())),OFFSET($BN$2,0,0,ROW()-1,60),ROW()-1,FALSE))</f>
        <v>-1199.018</v>
      </c>
      <c r="H120">
        <f ca="1">IF(AND($B$183=1,LEN($H$220)&gt;0),$H$220*1000,HLOOKUP(INDIRECT(ADDRESS(2,COLUMN())),OFFSET($BN$2,0,0,ROW()-1,60),ROW()-1,FALSE))</f>
        <v>9870.43</v>
      </c>
      <c r="I120">
        <f ca="1">IF(AND($B$183=1,LEN($I$220)&gt;0),$I$220*1000,HLOOKUP(INDIRECT(ADDRESS(2,COLUMN())),OFFSET($BN$2,0,0,ROW()-1,60),ROW()-1,FALSE))</f>
        <v>-1446.4829999999999</v>
      </c>
      <c r="J120">
        <f ca="1">IF(AND($B$183=1,LEN($J$220)&gt;0),$J$220*1000,HLOOKUP(INDIRECT(ADDRESS(2,COLUMN())),OFFSET($BN$2,0,0,ROW()-1,60),ROW()-1,FALSE))</f>
        <v>6936.2569999999996</v>
      </c>
      <c r="K120">
        <f ca="1">IF(AND($B$183=1,LEN($K$220)&gt;0),$K$220*1000,HLOOKUP(INDIRECT(ADDRESS(2,COLUMN())),OFFSET($BN$2,0,0,ROW()-1,60),ROW()-1,FALSE))</f>
        <v>1796.325</v>
      </c>
      <c r="L120">
        <f ca="1">IF(AND($B$183=1,LEN($L$220)&gt;0),$L$220*1000,HLOOKUP(INDIRECT(ADDRESS(2,COLUMN())),OFFSET($BN$2,0,0,ROW()-1,60),ROW()-1,FALSE))</f>
        <v>6652.4139999999998</v>
      </c>
      <c r="M120">
        <f ca="1">IF(AND($B$183=1,LEN($M$220)&gt;0),$M$220*1000,HLOOKUP(INDIRECT(ADDRESS(2,COLUMN())),OFFSET($BN$2,0,0,ROW()-1,60),ROW()-1,FALSE))</f>
        <v>1753.903</v>
      </c>
      <c r="N120">
        <f ca="1">IF(AND($B$183=1,LEN($N$220)&gt;0),$N$220*1000,HLOOKUP(INDIRECT(ADDRESS(2,COLUMN())),OFFSET($BN$2,0,0,ROW()-1,60),ROW()-1,FALSE))</f>
        <v>2651.31</v>
      </c>
      <c r="O120">
        <f ca="1">IF(AND($B$183=1,LEN($O$220)&gt;0),$O$220*1000,HLOOKUP(INDIRECT(ADDRESS(2,COLUMN())),OFFSET($BN$2,0,0,ROW()-1,60),ROW()-1,FALSE))</f>
        <v>13627.575999999999</v>
      </c>
      <c r="P120">
        <f ca="1">IF(AND($B$183=1,LEN($P$220)&gt;0),$P$220*1000,HLOOKUP(INDIRECT(ADDRESS(2,COLUMN())),OFFSET($BN$2,0,0,ROW()-1,60),ROW()-1,FALSE))</f>
        <v>22496.235000000001</v>
      </c>
      <c r="Q120">
        <f ca="1">IF(AND($B$183=1,LEN($Q$220)&gt;0),$Q$220*1000,HLOOKUP(INDIRECT(ADDRESS(2,COLUMN())),OFFSET($BN$2,0,0,ROW()-1,60),ROW()-1,FALSE))</f>
        <v>18151.325000000001</v>
      </c>
      <c r="R120">
        <f ca="1">IF(AND($B$183=1,LEN($R$220)&gt;0),$R$220*1000,HLOOKUP(INDIRECT(ADDRESS(2,COLUMN())),OFFSET($BN$2,0,0,ROW()-1,60),ROW()-1,FALSE))</f>
        <v>10428.549000000001</v>
      </c>
      <c r="S120">
        <f ca="1">IF(AND($B$183=1,LEN($S$220)&gt;0),$S$220*1000,HLOOKUP(INDIRECT(ADDRESS(2,COLUMN())),OFFSET($BN$2,0,0,ROW()-1,60),ROW()-1,FALSE))</f>
        <v>12343.894</v>
      </c>
      <c r="T120">
        <f ca="1">IF(AND($B$183=1,LEN($T$220)&gt;0),$T$220*1000,HLOOKUP(INDIRECT(ADDRESS(2,COLUMN())),OFFSET($BN$2,0,0,ROW()-1,60),ROW()-1,FALSE))</f>
        <v>13721.249</v>
      </c>
      <c r="U120">
        <f ca="1">IF(AND($B$183=1,LEN($U$220)&gt;0),$U$220*1000,HLOOKUP(INDIRECT(ADDRESS(2,COLUMN())),OFFSET($BN$2,0,0,ROW()-1,60),ROW()-1,FALSE))</f>
        <v>17006.542000000001</v>
      </c>
      <c r="V120">
        <f ca="1">IF(AND($B$183=1,LEN($V$220)&gt;0),$V$220*1000,HLOOKUP(INDIRECT(ADDRESS(2,COLUMN())),OFFSET($BN$2,0,0,ROW()-1,60),ROW()-1,FALSE))</f>
        <v>11161.682000000001</v>
      </c>
      <c r="W120">
        <f ca="1">IF(AND($B$183=1,LEN($W$220)&gt;0),$W$220*1000,HLOOKUP(INDIRECT(ADDRESS(2,COLUMN())),OFFSET($BN$2,0,0,ROW()-1,60),ROW()-1,FALSE))</f>
        <v>14706.501</v>
      </c>
      <c r="X120">
        <f ca="1">IF(AND($B$183=1,LEN($X$220)&gt;0),$X$220*1000,HLOOKUP(INDIRECT(ADDRESS(2,COLUMN())),OFFSET($BN$2,0,0,ROW()-1,60),ROW()-1,FALSE))</f>
        <v>2453.6410000000001</v>
      </c>
      <c r="Y120">
        <f ca="1">IF(AND($B$183=1,LEN($Y$220)&gt;0),$Y$220*1000,HLOOKUP(INDIRECT(ADDRESS(2,COLUMN())),OFFSET($BN$2,0,0,ROW()-1,60),ROW()-1,FALSE))</f>
        <v>21730.824000000001</v>
      </c>
      <c r="Z120">
        <f ca="1">IF(AND($B$183=1,LEN($Z$220)&gt;0),$Z$220*1000,HLOOKUP(INDIRECT(ADDRESS(2,COLUMN())),OFFSET($BN$2,0,0,ROW()-1,60),ROW()-1,FALSE))</f>
        <v>10077.083000000001</v>
      </c>
      <c r="AA120">
        <f ca="1">IF(AND($B$183=1,LEN($AA$220)&gt;0),$AA$220*1000,HLOOKUP(INDIRECT(ADDRESS(2,COLUMN())),OFFSET($BN$2,0,0,ROW()-1,60),ROW()-1,FALSE))</f>
        <v>9383.9789999999994</v>
      </c>
      <c r="AB120">
        <f ca="1">IF(AND($B$183=1,LEN($AB$220)&gt;0),$AB$220*1000,HLOOKUP(INDIRECT(ADDRESS(2,COLUMN())),OFFSET($BN$2,0,0,ROW()-1,60),ROW()-1,FALSE))</f>
        <v>5819.6049999999996</v>
      </c>
      <c r="AC120">
        <f ca="1">IF(AND($B$183=1,LEN($AC$220)&gt;0),$AC$220*1000,HLOOKUP(INDIRECT(ADDRESS(2,COLUMN())),OFFSET($BN$2,0,0,ROW()-1,60),ROW()-1,FALSE))</f>
        <v>7313.3339999999998</v>
      </c>
      <c r="AD120">
        <f ca="1">IF(AND($B$183=1,LEN($AD$220)&gt;0),$AD$220*1000,HLOOKUP(INDIRECT(ADDRESS(2,COLUMN())),OFFSET($BN$2,0,0,ROW()-1,60),ROW()-1,FALSE))</f>
        <v>12844.879000000001</v>
      </c>
      <c r="AE120">
        <f ca="1">IF(AND($B$183=1,LEN($AE$220)&gt;0),$AE$220*1000,HLOOKUP(INDIRECT(ADDRESS(2,COLUMN())),OFFSET($BN$2,0,0,ROW()-1,60),ROW()-1,FALSE))</f>
        <v>15473.956</v>
      </c>
      <c r="AF120">
        <f ca="1">IF(AND($B$183=1,LEN($AF$220)&gt;0),$AF$220*1000,HLOOKUP(INDIRECT(ADDRESS(2,COLUMN())),OFFSET($BN$2,0,0,ROW()-1,60),ROW()-1,FALSE))</f>
        <v>31275.323</v>
      </c>
      <c r="AG120">
        <f ca="1">IF(AND($B$183=1,LEN($AG$220)&gt;0),$AG$220*1000,HLOOKUP(INDIRECT(ADDRESS(2,COLUMN())),OFFSET($BN$2,0,0,ROW()-1,60),ROW()-1,FALSE))</f>
        <v>7633.4570000000003</v>
      </c>
      <c r="AH120">
        <f ca="1">IF(AND($B$183=1,LEN($AH$220)&gt;0),$AH$220*1000,HLOOKUP(INDIRECT(ADDRESS(2,COLUMN())),OFFSET($BN$2,0,0,ROW()-1,60),ROW()-1,FALSE))</f>
        <v>7393.8649999999998</v>
      </c>
      <c r="AI120">
        <f ca="1">IF(AND($B$183=1,LEN($AI$220)&gt;0),$AI$220*1000,HLOOKUP(INDIRECT(ADDRESS(2,COLUMN())),OFFSET($BN$2,0,0,ROW()-1,60),ROW()-1,FALSE))</f>
        <v>8205.6059999999998</v>
      </c>
      <c r="AJ120">
        <f ca="1">IF(AND($B$183=1,LEN($AJ$220)&gt;0),$AJ$220*1000,HLOOKUP(INDIRECT(ADDRESS(2,COLUMN())),OFFSET($BN$2,0,0,ROW()-1,60),ROW()-1,FALSE))</f>
        <v>1927.5989999999999</v>
      </c>
      <c r="AK120">
        <f ca="1">IF(AND($B$183=1,LEN($AK$220)&gt;0),$AK$220*1000,HLOOKUP(INDIRECT(ADDRESS(2,COLUMN())),OFFSET($BN$2,0,0,ROW()-1,60),ROW()-1,FALSE))</f>
        <v>2229.4720000000002</v>
      </c>
      <c r="AL120">
        <f ca="1">IF(AND($B$183=1,LEN($AL$220)&gt;0),$AL$220*1000,HLOOKUP(INDIRECT(ADDRESS(2,COLUMN())),OFFSET($BN$2,0,0,ROW()-1,60),ROW()-1,FALSE))</f>
        <v>-673.00800000000004</v>
      </c>
      <c r="AM120">
        <f ca="1">IF(AND($B$183=1,LEN($AM$220)&gt;0),$AM$220*1000,HLOOKUP(INDIRECT(ADDRESS(2,COLUMN())),OFFSET($BN$2,0,0,ROW()-1,60),ROW()-1,FALSE))</f>
        <v>-1361.6089999999999</v>
      </c>
      <c r="AN120">
        <f ca="1">IF(AND($B$183=1,LEN($AN$220)&gt;0),$AN$220*1000,HLOOKUP(INDIRECT(ADDRESS(2,COLUMN())),OFFSET($BN$2,0,0,ROW()-1,60),ROW()-1,FALSE))</f>
        <v>-2259.3200000000002</v>
      </c>
      <c r="AO120">
        <f ca="1">IF(AND($B$183=1,LEN($AO$220)&gt;0),$AO$220*1000,HLOOKUP(INDIRECT(ADDRESS(2,COLUMN())),OFFSET($BN$2,0,0,ROW()-1,60),ROW()-1,FALSE))</f>
        <v>-2627.2069999999999</v>
      </c>
      <c r="AP120">
        <f ca="1">IF(AND($B$183=1,LEN($AP$220)&gt;0),$AP$220*1000,HLOOKUP(INDIRECT(ADDRESS(2,COLUMN())),OFFSET($BN$2,0,0,ROW()-1,60),ROW()-1,FALSE))</f>
        <v>-3119.6669999999999</v>
      </c>
      <c r="AQ120">
        <f ca="1">IF(AND($B$183=1,LEN($AQ$220)&gt;0),$AQ$220*1000,HLOOKUP(INDIRECT(ADDRESS(2,COLUMN())),OFFSET($BN$2,0,0,ROW()-1,60),ROW()-1,FALSE))</f>
        <v>-295.94600000000003</v>
      </c>
      <c r="AR120">
        <f ca="1">IF(AND($B$183=1,LEN($AR$220)&gt;0),$AR$220*1000,HLOOKUP(INDIRECT(ADDRESS(2,COLUMN())),OFFSET($BN$2,0,0,ROW()-1,60),ROW()-1,FALSE))</f>
        <v>-384.36599999999999</v>
      </c>
      <c r="AS120">
        <f ca="1">IF(AND($B$183=1,LEN($AS$220)&gt;0),$AS$220*1000,HLOOKUP(INDIRECT(ADDRESS(2,COLUMN())),OFFSET($BN$2,0,0,ROW()-1,60),ROW()-1,FALSE))</f>
        <v>-1496.8209999999999</v>
      </c>
      <c r="AT120">
        <f ca="1">IF(AND($B$183=1,LEN($AT$220)&gt;0),$AT$220*1000,HLOOKUP(INDIRECT(ADDRESS(2,COLUMN())),OFFSET($BN$2,0,0,ROW()-1,60),ROW()-1,FALSE))</f>
        <v>1654.711</v>
      </c>
      <c r="AU120">
        <f ca="1">IF(AND($B$183=1,LEN($AU$220)&gt;0),$AU$220*1000,HLOOKUP(INDIRECT(ADDRESS(2,COLUMN())),OFFSET($BN$2,0,0,ROW()-1,60),ROW()-1,FALSE))</f>
        <v>-244.58500000000001</v>
      </c>
      <c r="AV120">
        <f ca="1">IF(AND($B$183=1,LEN($AV$220)&gt;0),$AV$220*1000,HLOOKUP(INDIRECT(ADDRESS(2,COLUMN())),OFFSET($BN$2,0,0,ROW()-1,60),ROW()-1,FALSE))</f>
        <v>9422.5889999999999</v>
      </c>
      <c r="AW120">
        <f ca="1">IF(AND($B$183=1,LEN($AW$220)&gt;0),$AW$220*1000,HLOOKUP(INDIRECT(ADDRESS(2,COLUMN())),OFFSET($BN$2,0,0,ROW()-1,60),ROW()-1,FALSE))</f>
        <v>16379.32</v>
      </c>
      <c r="AX120">
        <f ca="1">IF(AND($B$183=1,LEN($AX$220)&gt;0),$AX$220*1000,HLOOKUP(INDIRECT(ADDRESS(2,COLUMN())),OFFSET($BN$2,0,0,ROW()-1,60),ROW()-1,FALSE))</f>
        <v>10337.761</v>
      </c>
      <c r="AY120">
        <f ca="1">IF(AND($B$183=1,LEN($AY$220)&gt;0),$AY$220*1000,HLOOKUP(INDIRECT(ADDRESS(2,COLUMN())),OFFSET($BN$2,0,0,ROW()-1,60),ROW()-1,FALSE))</f>
        <v>4860.2650000000003</v>
      </c>
      <c r="AZ120">
        <f ca="1">IF(AND($B$183=1,LEN($AZ$220)&gt;0),$AZ$220*1000,HLOOKUP(INDIRECT(ADDRESS(2,COLUMN())),OFFSET($BN$2,0,0,ROW()-1,60),ROW()-1,FALSE))</f>
        <v>7226.5959999999995</v>
      </c>
      <c r="BA120">
        <f ca="1">IF(AND($B$183=1,LEN($BA$220)&gt;0),$BA$220*1000,HLOOKUP(INDIRECT(ADDRESS(2,COLUMN())),OFFSET($BN$2,0,0,ROW()-1,60),ROW()-1,FALSE))</f>
        <v>6674.04</v>
      </c>
      <c r="BB120">
        <f ca="1">IF(AND($B$183=1,LEN($BB$220)&gt;0),$BB$220*1000,HLOOKUP(INDIRECT(ADDRESS(2,COLUMN())),OFFSET($BN$2,0,0,ROW()-1,60),ROW()-1,FALSE))</f>
        <v>3676.1640000000002</v>
      </c>
      <c r="BC120">
        <f ca="1">IF(AND($B$183=1,LEN($BC$220)&gt;0),$BC$220*1000,HLOOKUP(INDIRECT(ADDRESS(2,COLUMN())),OFFSET($BN$2,0,0,ROW()-1,60),ROW()-1,FALSE))</f>
        <v>7876.7479999999996</v>
      </c>
      <c r="BD120">
        <f ca="1">IF(AND($B$183=1,LEN($BD$220)&gt;0),$BD$220*1000,HLOOKUP(INDIRECT(ADDRESS(2,COLUMN())),OFFSET($BN$2,0,0,ROW()-1,60),ROW()-1,FALSE))</f>
        <v>12323.548000000001</v>
      </c>
      <c r="BE120">
        <f ca="1">IF(AND($B$183=1,LEN($BE$220)&gt;0),$BE$220*1000,HLOOKUP(INDIRECT(ADDRESS(2,COLUMN())),OFFSET($BN$2,0,0,ROW()-1,60),ROW()-1,FALSE))</f>
        <v>8005.7439999999997</v>
      </c>
      <c r="BF120">
        <f ca="1">IF(AND($B$183=1,LEN($BF$220)&gt;0),$BF$220*1000,HLOOKUP(INDIRECT(ADDRESS(2,COLUMN())),OFFSET($BN$2,0,0,ROW()-1,60),ROW()-1,FALSE))</f>
        <v>19619.424999999999</v>
      </c>
      <c r="BG120">
        <f ca="1">IF(AND($B$183=1,LEN($BG$220)&gt;0),$BG$220*1000,HLOOKUP(INDIRECT(ADDRESS(2,COLUMN())),OFFSET($BN$2,0,0,ROW()-1,60),ROW()-1,FALSE))</f>
        <v>8947.7639999999992</v>
      </c>
      <c r="BH120">
        <f ca="1">IF(AND($B$183=1,LEN($BH$220)&gt;0),$BH$220*1000,HLOOKUP(INDIRECT(ADDRESS(2,COLUMN())),OFFSET($BN$2,0,0,ROW()-1,60),ROW()-1,FALSE))</f>
        <v>7282.7950000000001</v>
      </c>
      <c r="BI120">
        <f ca="1">IF(AND($B$183=1,LEN($BI$220)&gt;0),$BI$220*1000,HLOOKUP(INDIRECT(ADDRESS(2,COLUMN())),OFFSET($BN$2,0,0,ROW()-1,60),ROW()-1,FALSE))</f>
        <v>5506.652</v>
      </c>
      <c r="BJ120">
        <f ca="1">IF(AND($B$183=1,LEN($BJ$220)&gt;0),$BJ$220*1000,HLOOKUP(INDIRECT(ADDRESS(2,COLUMN())),OFFSET($BN$2,0,0,ROW()-1,60),ROW()-1,FALSE))</f>
        <v>2337.5129999999999</v>
      </c>
      <c r="BK120">
        <f ca="1">IF(AND($B$183=1,LEN($BK$220)&gt;0),$BK$220*1000,HLOOKUP(INDIRECT(ADDRESS(2,COLUMN())),OFFSET($BN$2,0,0,ROW()-1,60),ROW()-1,FALSE))</f>
        <v>-19.861000000000001</v>
      </c>
      <c r="BL120">
        <f ca="1">IF(AND($B$183=1,LEN($BL$220)&gt;0),$BL$220*1000,HLOOKUP(INDIRECT(ADDRESS(2,COLUMN())),OFFSET($BN$2,0,0,ROW()-1,60),ROW()-1,FALSE))</f>
        <v>309.58800000000002</v>
      </c>
      <c r="BM120">
        <f ca="1">IF(AND($B$183=1,LEN($BM$220)&gt;0),$BM$220*1000,HLOOKUP(INDIRECT(ADDRESS(2,COLUMN())),OFFSET($BN$2,0,0,ROW()-1,60),ROW()-1,FALSE))</f>
        <v>811.68100000000004</v>
      </c>
      <c r="BN120">
        <f>922.531</f>
        <v>922.53099999999995</v>
      </c>
      <c r="BO120">
        <f>-1199.018</f>
        <v>-1199.018</v>
      </c>
      <c r="BP120">
        <f>9870.43</f>
        <v>9870.43</v>
      </c>
      <c r="BQ120">
        <f>-1446.483</f>
        <v>-1446.4829999999999</v>
      </c>
      <c r="BR120">
        <f>6936.257</f>
        <v>6936.2569999999996</v>
      </c>
      <c r="BS120">
        <f>1796.325</f>
        <v>1796.325</v>
      </c>
      <c r="BT120">
        <f>6652.414</f>
        <v>6652.4139999999998</v>
      </c>
      <c r="BU120">
        <f>1753.903</f>
        <v>1753.903</v>
      </c>
      <c r="BV120">
        <f>2651.31</f>
        <v>2651.31</v>
      </c>
      <c r="BW120">
        <f>13627.576</f>
        <v>13627.575999999999</v>
      </c>
      <c r="BX120">
        <f>22496.235</f>
        <v>22496.235000000001</v>
      </c>
      <c r="BY120">
        <f>18151.325</f>
        <v>18151.325000000001</v>
      </c>
      <c r="BZ120">
        <f>10428.549</f>
        <v>10428.549000000001</v>
      </c>
      <c r="CA120">
        <f>12343.894</f>
        <v>12343.894</v>
      </c>
      <c r="CB120">
        <f>13721.249</f>
        <v>13721.249</v>
      </c>
      <c r="CC120">
        <f>17006.542</f>
        <v>17006.542000000001</v>
      </c>
      <c r="CD120">
        <f>11161.682</f>
        <v>11161.682000000001</v>
      </c>
      <c r="CE120">
        <f>14706.501</f>
        <v>14706.501</v>
      </c>
      <c r="CF120">
        <f>2453.641</f>
        <v>2453.6410000000001</v>
      </c>
      <c r="CG120">
        <f>21730.824</f>
        <v>21730.824000000001</v>
      </c>
      <c r="CH120">
        <f>10077.083</f>
        <v>10077.083000000001</v>
      </c>
      <c r="CI120">
        <f>9383.979</f>
        <v>9383.9789999999994</v>
      </c>
      <c r="CJ120">
        <f>5819.605</f>
        <v>5819.6049999999996</v>
      </c>
      <c r="CK120">
        <f>7313.334</f>
        <v>7313.3339999999998</v>
      </c>
      <c r="CL120">
        <f>12844.879</f>
        <v>12844.879000000001</v>
      </c>
      <c r="CM120">
        <f>15473.956</f>
        <v>15473.956</v>
      </c>
      <c r="CN120">
        <f>31275.323</f>
        <v>31275.323</v>
      </c>
      <c r="CO120">
        <f>7633.457</f>
        <v>7633.4570000000003</v>
      </c>
      <c r="CP120">
        <f>7393.865</f>
        <v>7393.8649999999998</v>
      </c>
      <c r="CQ120">
        <f>8205.606</f>
        <v>8205.6059999999998</v>
      </c>
      <c r="CR120">
        <f>1927.599</f>
        <v>1927.5989999999999</v>
      </c>
      <c r="CS120">
        <f>2229.472</f>
        <v>2229.4720000000002</v>
      </c>
      <c r="CT120">
        <f>-673.008</f>
        <v>-673.00800000000004</v>
      </c>
      <c r="CU120">
        <f>-1361.609</f>
        <v>-1361.6089999999999</v>
      </c>
      <c r="CV120">
        <f>-2259.32</f>
        <v>-2259.3200000000002</v>
      </c>
      <c r="CW120">
        <f>-2627.207</f>
        <v>-2627.2069999999999</v>
      </c>
      <c r="CX120">
        <f>-3119.667</f>
        <v>-3119.6669999999999</v>
      </c>
      <c r="CY120">
        <f>-295.946</f>
        <v>-295.94600000000003</v>
      </c>
      <c r="CZ120">
        <f>-384.366</f>
        <v>-384.36599999999999</v>
      </c>
      <c r="DA120">
        <f>-1496.821</f>
        <v>-1496.8209999999999</v>
      </c>
      <c r="DB120">
        <f>1654.711</f>
        <v>1654.711</v>
      </c>
      <c r="DC120">
        <f>-244.585</f>
        <v>-244.58500000000001</v>
      </c>
      <c r="DD120">
        <f>9422.589</f>
        <v>9422.5889999999999</v>
      </c>
      <c r="DE120">
        <f>16379.32</f>
        <v>16379.32</v>
      </c>
      <c r="DF120">
        <f>10337.761</f>
        <v>10337.761</v>
      </c>
      <c r="DG120">
        <f>4860.265</f>
        <v>4860.2650000000003</v>
      </c>
      <c r="DH120">
        <f>7226.596</f>
        <v>7226.5959999999995</v>
      </c>
      <c r="DI120">
        <f>6674.04</f>
        <v>6674.04</v>
      </c>
      <c r="DJ120">
        <f>3676.164</f>
        <v>3676.1640000000002</v>
      </c>
      <c r="DK120">
        <f>7876.748</f>
        <v>7876.7479999999996</v>
      </c>
      <c r="DL120">
        <f>12323.548</f>
        <v>12323.548000000001</v>
      </c>
      <c r="DM120">
        <f>8005.744</f>
        <v>8005.7439999999997</v>
      </c>
      <c r="DN120">
        <f>19619.425</f>
        <v>19619.424999999999</v>
      </c>
      <c r="DO120">
        <f>8947.764</f>
        <v>8947.7639999999992</v>
      </c>
      <c r="DP120">
        <f>7282.795</f>
        <v>7282.7950000000001</v>
      </c>
      <c r="DQ120">
        <f>5506.652</f>
        <v>5506.652</v>
      </c>
      <c r="DR120">
        <f>2337.513</f>
        <v>2337.5129999999999</v>
      </c>
      <c r="DS120">
        <f>-19.861</f>
        <v>-19.861000000000001</v>
      </c>
      <c r="DT120">
        <f>309.588</f>
        <v>309.58800000000002</v>
      </c>
      <c r="DU120">
        <f>811.681</f>
        <v>811.68100000000004</v>
      </c>
    </row>
    <row r="121" spans="1:125">
      <c r="A121" t="str">
        <f>"    Office REITs"</f>
        <v xml:space="preserve">    Office REITs</v>
      </c>
      <c r="B121" t="str">
        <f>"RECFNAOF Index"</f>
        <v>RECFNAOF Index</v>
      </c>
      <c r="E121" t="str">
        <f t="shared" si="27"/>
        <v>Expression</v>
      </c>
      <c r="F121">
        <f ca="1">IF(AND($B$183=1,LEN($F$221)&gt;0),$F$221*1000,HLOOKUP(INDIRECT(ADDRESS(2,COLUMN())),OFFSET($BN$2,0,0,ROW()-1,60),ROW()-1,FALSE))</f>
        <v>-562.65599999999995</v>
      </c>
      <c r="G121">
        <f ca="1">IF(AND($B$183=1,LEN($G$221)&gt;0),$G$221*1000,HLOOKUP(INDIRECT(ADDRESS(2,COLUMN())),OFFSET($BN$2,0,0,ROW()-1,60),ROW()-1,FALSE))</f>
        <v>-1599.569</v>
      </c>
      <c r="H121">
        <f ca="1">IF(AND($B$183=1,LEN($H$221)&gt;0),$H$221*1000,HLOOKUP(INDIRECT(ADDRESS(2,COLUMN())),OFFSET($BN$2,0,0,ROW()-1,60),ROW()-1,FALSE))</f>
        <v>-332.60399999999998</v>
      </c>
      <c r="I121">
        <f ca="1">IF(AND($B$183=1,LEN($I$221)&gt;0),$I$221*1000,HLOOKUP(INDIRECT(ADDRESS(2,COLUMN())),OFFSET($BN$2,0,0,ROW()-1,60),ROW()-1,FALSE))</f>
        <v>-603.99300000000005</v>
      </c>
      <c r="J121">
        <f ca="1">IF(AND($B$183=1,LEN($J$221)&gt;0),$J$221*1000,HLOOKUP(INDIRECT(ADDRESS(2,COLUMN())),OFFSET($BN$2,0,0,ROW()-1,60),ROW()-1,FALSE))</f>
        <v>3692.4</v>
      </c>
      <c r="K121">
        <f ca="1">IF(AND($B$183=1,LEN($K$221)&gt;0),$K$221*1000,HLOOKUP(INDIRECT(ADDRESS(2,COLUMN())),OFFSET($BN$2,0,0,ROW()-1,60),ROW()-1,FALSE))</f>
        <v>-2847.4160000000002</v>
      </c>
      <c r="L121">
        <f ca="1">IF(AND($B$183=1,LEN($L$221)&gt;0),$L$221*1000,HLOOKUP(INDIRECT(ADDRESS(2,COLUMN())),OFFSET($BN$2,0,0,ROW()-1,60),ROW()-1,FALSE))</f>
        <v>-2307.0039999999999</v>
      </c>
      <c r="M121">
        <f ca="1">IF(AND($B$183=1,LEN($M$221)&gt;0),$M$221*1000,HLOOKUP(INDIRECT(ADDRESS(2,COLUMN())),OFFSET($BN$2,0,0,ROW()-1,60),ROW()-1,FALSE))</f>
        <v>-2713.1689999999999</v>
      </c>
      <c r="N121">
        <f ca="1">IF(AND($B$183=1,LEN($N$221)&gt;0),$N$221*1000,HLOOKUP(INDIRECT(ADDRESS(2,COLUMN())),OFFSET($BN$2,0,0,ROW()-1,60),ROW()-1,FALSE))</f>
        <v>757.84500000000003</v>
      </c>
      <c r="O121">
        <f ca="1">IF(AND($B$183=1,LEN($O$221)&gt;0),$O$221*1000,HLOOKUP(INDIRECT(ADDRESS(2,COLUMN())),OFFSET($BN$2,0,0,ROW()-1,60),ROW()-1,FALSE))</f>
        <v>1567.55</v>
      </c>
      <c r="P121">
        <f ca="1">IF(AND($B$183=1,LEN($P$221)&gt;0),$P$221*1000,HLOOKUP(INDIRECT(ADDRESS(2,COLUMN())),OFFSET($BN$2,0,0,ROW()-1,60),ROW()-1,FALSE))</f>
        <v>2873.547</v>
      </c>
      <c r="Q121">
        <f ca="1">IF(AND($B$183=1,LEN($Q$221)&gt;0),$Q$221*1000,HLOOKUP(INDIRECT(ADDRESS(2,COLUMN())),OFFSET($BN$2,0,0,ROW()-1,60),ROW()-1,FALSE))</f>
        <v>928.98099999999999</v>
      </c>
      <c r="R121">
        <f ca="1">IF(AND($B$183=1,LEN($R$221)&gt;0),$R$221*1000,HLOOKUP(INDIRECT(ADDRESS(2,COLUMN())),OFFSET($BN$2,0,0,ROW()-1,60),ROW()-1,FALSE))</f>
        <v>-3450.768</v>
      </c>
      <c r="S121">
        <f ca="1">IF(AND($B$183=1,LEN($S$221)&gt;0),$S$221*1000,HLOOKUP(INDIRECT(ADDRESS(2,COLUMN())),OFFSET($BN$2,0,0,ROW()-1,60),ROW()-1,FALSE))</f>
        <v>796.245</v>
      </c>
      <c r="T121">
        <f ca="1">IF(AND($B$183=1,LEN($T$221)&gt;0),$T$221*1000,HLOOKUP(INDIRECT(ADDRESS(2,COLUMN())),OFFSET($BN$2,0,0,ROW()-1,60),ROW()-1,FALSE))</f>
        <v>1855.683</v>
      </c>
      <c r="U121">
        <f ca="1">IF(AND($B$183=1,LEN($U$221)&gt;0),$U$221*1000,HLOOKUP(INDIRECT(ADDRESS(2,COLUMN())),OFFSET($BN$2,0,0,ROW()-1,60),ROW()-1,FALSE))</f>
        <v>-902.91</v>
      </c>
      <c r="V121">
        <f ca="1">IF(AND($B$183=1,LEN($V$221)&gt;0),$V$221*1000,HLOOKUP(INDIRECT(ADDRESS(2,COLUMN())),OFFSET($BN$2,0,0,ROW()-1,60),ROW()-1,FALSE))</f>
        <v>472.012</v>
      </c>
      <c r="W121">
        <f ca="1">IF(AND($B$183=1,LEN($W$221)&gt;0),$W$221*1000,HLOOKUP(INDIRECT(ADDRESS(2,COLUMN())),OFFSET($BN$2,0,0,ROW()-1,60),ROW()-1,FALSE))</f>
        <v>947.27300000000002</v>
      </c>
      <c r="X121">
        <f ca="1">IF(AND($B$183=1,LEN($X$221)&gt;0),$X$221*1000,HLOOKUP(INDIRECT(ADDRESS(2,COLUMN())),OFFSET($BN$2,0,0,ROW()-1,60),ROW()-1,FALSE))</f>
        <v>-240.26300000000001</v>
      </c>
      <c r="Y121">
        <f ca="1">IF(AND($B$183=1,LEN($Y$221)&gt;0),$Y$221*1000,HLOOKUP(INDIRECT(ADDRESS(2,COLUMN())),OFFSET($BN$2,0,0,ROW()-1,60),ROW()-1,FALSE))</f>
        <v>1054.806</v>
      </c>
      <c r="Z121">
        <f ca="1">IF(AND($B$183=1,LEN($Z$221)&gt;0),$Z$221*1000,HLOOKUP(INDIRECT(ADDRESS(2,COLUMN())),OFFSET($BN$2,0,0,ROW()-1,60),ROW()-1,FALSE))</f>
        <v>715.57600000000002</v>
      </c>
      <c r="AA121">
        <f ca="1">IF(AND($B$183=1,LEN($AA$221)&gt;0),$AA$221*1000,HLOOKUP(INDIRECT(ADDRESS(2,COLUMN())),OFFSET($BN$2,0,0,ROW()-1,60),ROW()-1,FALSE))</f>
        <v>896.66700000000003</v>
      </c>
      <c r="AB121">
        <f ca="1">IF(AND($B$183=1,LEN($AB$221)&gt;0),$AB$221*1000,HLOOKUP(INDIRECT(ADDRESS(2,COLUMN())),OFFSET($BN$2,0,0,ROW()-1,60),ROW()-1,FALSE))</f>
        <v>-100.449</v>
      </c>
      <c r="AC121">
        <f ca="1">IF(AND($B$183=1,LEN($AC$221)&gt;0),$AC$221*1000,HLOOKUP(INDIRECT(ADDRESS(2,COLUMN())),OFFSET($BN$2,0,0,ROW()-1,60),ROW()-1,FALSE))</f>
        <v>1042.0709999999999</v>
      </c>
      <c r="AD121">
        <f ca="1">IF(AND($B$183=1,LEN($AD$221)&gt;0),$AD$221*1000,HLOOKUP(INDIRECT(ADDRESS(2,COLUMN())),OFFSET($BN$2,0,0,ROW()-1,60),ROW()-1,FALSE))</f>
        <v>-182.44900000000001</v>
      </c>
      <c r="AE121">
        <f ca="1">IF(AND($B$183=1,LEN($AE$221)&gt;0),$AE$221*1000,HLOOKUP(INDIRECT(ADDRESS(2,COLUMN())),OFFSET($BN$2,0,0,ROW()-1,60),ROW()-1,FALSE))</f>
        <v>777.28</v>
      </c>
      <c r="AF121">
        <f ca="1">IF(AND($B$183=1,LEN($AF$221)&gt;0),$AF$221*1000,HLOOKUP(INDIRECT(ADDRESS(2,COLUMN())),OFFSET($BN$2,0,0,ROW()-1,60),ROW()-1,FALSE))</f>
        <v>3197.279</v>
      </c>
      <c r="AG121">
        <f ca="1">IF(AND($B$183=1,LEN($AG$221)&gt;0),$AG$221*1000,HLOOKUP(INDIRECT(ADDRESS(2,COLUMN())),OFFSET($BN$2,0,0,ROW()-1,60),ROW()-1,FALSE))</f>
        <v>1778.636</v>
      </c>
      <c r="AH121">
        <f ca="1">IF(AND($B$183=1,LEN($AH$221)&gt;0),$AH$221*1000,HLOOKUP(INDIRECT(ADDRESS(2,COLUMN())),OFFSET($BN$2,0,0,ROW()-1,60),ROW()-1,FALSE))</f>
        <v>3130.538</v>
      </c>
      <c r="AI121">
        <f ca="1">IF(AND($B$183=1,LEN($AI$221)&gt;0),$AI$221*1000,HLOOKUP(INDIRECT(ADDRESS(2,COLUMN())),OFFSET($BN$2,0,0,ROW()-1,60),ROW()-1,FALSE))</f>
        <v>1173.383</v>
      </c>
      <c r="AJ121">
        <f ca="1">IF(AND($B$183=1,LEN($AJ$221)&gt;0),$AJ$221*1000,HLOOKUP(INDIRECT(ADDRESS(2,COLUMN())),OFFSET($BN$2,0,0,ROW()-1,60),ROW()-1,FALSE))</f>
        <v>-195.79300000000001</v>
      </c>
      <c r="AK121">
        <f ca="1">IF(AND($B$183=1,LEN($AK$221)&gt;0),$AK$221*1000,HLOOKUP(INDIRECT(ADDRESS(2,COLUMN())),OFFSET($BN$2,0,0,ROW()-1,60),ROW()-1,FALSE))</f>
        <v>146.68799999999999</v>
      </c>
      <c r="AL121">
        <f ca="1">IF(AND($B$183=1,LEN($AL$221)&gt;0),$AL$221*1000,HLOOKUP(INDIRECT(ADDRESS(2,COLUMN())),OFFSET($BN$2,0,0,ROW()-1,60),ROW()-1,FALSE))</f>
        <v>153.90799999999999</v>
      </c>
      <c r="AM121">
        <f ca="1">IF(AND($B$183=1,LEN($AM$221)&gt;0),$AM$221*1000,HLOOKUP(INDIRECT(ADDRESS(2,COLUMN())),OFFSET($BN$2,0,0,ROW()-1,60),ROW()-1,FALSE))</f>
        <v>109.36799999999999</v>
      </c>
      <c r="AN121">
        <f ca="1">IF(AND($B$183=1,LEN($AN$221)&gt;0),$AN$221*1000,HLOOKUP(INDIRECT(ADDRESS(2,COLUMN())),OFFSET($BN$2,0,0,ROW()-1,60),ROW()-1,FALSE))</f>
        <v>-200.07900000000001</v>
      </c>
      <c r="AO121">
        <f ca="1">IF(AND($B$183=1,LEN($AO$221)&gt;0),$AO$221*1000,HLOOKUP(INDIRECT(ADDRESS(2,COLUMN())),OFFSET($BN$2,0,0,ROW()-1,60),ROW()-1,FALSE))</f>
        <v>-246.21600000000001</v>
      </c>
      <c r="AP121">
        <f ca="1">IF(AND($B$183=1,LEN($AP$221)&gt;0),$AP$221*1000,HLOOKUP(INDIRECT(ADDRESS(2,COLUMN())),OFFSET($BN$2,0,0,ROW()-1,60),ROW()-1,FALSE))</f>
        <v>-724.37400000000002</v>
      </c>
      <c r="AQ121">
        <f ca="1">IF(AND($B$183=1,LEN($AQ$221)&gt;0),$AQ$221*1000,HLOOKUP(INDIRECT(ADDRESS(2,COLUMN())),OFFSET($BN$2,0,0,ROW()-1,60),ROW()-1,FALSE))</f>
        <v>926.56399999999996</v>
      </c>
      <c r="AR121">
        <f ca="1">IF(AND($B$183=1,LEN($AR$221)&gt;0),$AR$221*1000,HLOOKUP(INDIRECT(ADDRESS(2,COLUMN())),OFFSET($BN$2,0,0,ROW()-1,60),ROW()-1,FALSE))</f>
        <v>1338.325</v>
      </c>
      <c r="AS121">
        <f ca="1">IF(AND($B$183=1,LEN($AS$221)&gt;0),$AS$221*1000,HLOOKUP(INDIRECT(ADDRESS(2,COLUMN())),OFFSET($BN$2,0,0,ROW()-1,60),ROW()-1,FALSE))</f>
        <v>559.47699999999998</v>
      </c>
      <c r="AT121">
        <f ca="1">IF(AND($B$183=1,LEN($AT$221)&gt;0),$AT$221*1000,HLOOKUP(INDIRECT(ADDRESS(2,COLUMN())),OFFSET($BN$2,0,0,ROW()-1,60),ROW()-1,FALSE))</f>
        <v>1614.7650000000001</v>
      </c>
      <c r="AU121">
        <f ca="1">IF(AND($B$183=1,LEN($AU$221)&gt;0),$AU$221*1000,HLOOKUP(INDIRECT(ADDRESS(2,COLUMN())),OFFSET($BN$2,0,0,ROW()-1,60),ROW()-1,FALSE))</f>
        <v>912.36400000000003</v>
      </c>
      <c r="AV121">
        <f ca="1">IF(AND($B$183=1,LEN($AV$221)&gt;0),$AV$221*1000,HLOOKUP(INDIRECT(ADDRESS(2,COLUMN())),OFFSET($BN$2,0,0,ROW()-1,60),ROW()-1,FALSE))</f>
        <v>1211.376</v>
      </c>
      <c r="AW121">
        <f ca="1">IF(AND($B$183=1,LEN($AW$221)&gt;0),$AW$221*1000,HLOOKUP(INDIRECT(ADDRESS(2,COLUMN())),OFFSET($BN$2,0,0,ROW()-1,60),ROW()-1,FALSE))</f>
        <v>3380.924</v>
      </c>
      <c r="AX121">
        <f ca="1">IF(AND($B$183=1,LEN($AX$221)&gt;0),$AX$221*1000,HLOOKUP(INDIRECT(ADDRESS(2,COLUMN())),OFFSET($BN$2,0,0,ROW()-1,60),ROW()-1,FALSE))</f>
        <v>-596.41600000000005</v>
      </c>
      <c r="AY121">
        <f ca="1">IF(AND($B$183=1,LEN($AY$221)&gt;0),$AY$221*1000,HLOOKUP(INDIRECT(ADDRESS(2,COLUMN())),OFFSET($BN$2,0,0,ROW()-1,60),ROW()-1,FALSE))</f>
        <v>1452.9010000000001</v>
      </c>
      <c r="AZ121">
        <f ca="1">IF(AND($B$183=1,LEN($AZ$221)&gt;0),$AZ$221*1000,HLOOKUP(INDIRECT(ADDRESS(2,COLUMN())),OFFSET($BN$2,0,0,ROW()-1,60),ROW()-1,FALSE))</f>
        <v>941.52800000000002</v>
      </c>
      <c r="BA121">
        <f ca="1">IF(AND($B$183=1,LEN($BA$221)&gt;0),$BA$221*1000,HLOOKUP(INDIRECT(ADDRESS(2,COLUMN())),OFFSET($BN$2,0,0,ROW()-1,60),ROW()-1,FALSE))</f>
        <v>2774.5419999999999</v>
      </c>
      <c r="BB121">
        <f ca="1">IF(AND($B$183=1,LEN($BB$221)&gt;0),$BB$221*1000,HLOOKUP(INDIRECT(ADDRESS(2,COLUMN())),OFFSET($BN$2,0,0,ROW()-1,60),ROW()-1,FALSE))</f>
        <v>-880.73699999999997</v>
      </c>
      <c r="BC121">
        <f ca="1">IF(AND($B$183=1,LEN($BC$221)&gt;0),$BC$221*1000,HLOOKUP(INDIRECT(ADDRESS(2,COLUMN())),OFFSET($BN$2,0,0,ROW()-1,60),ROW()-1,FALSE))</f>
        <v>224.035</v>
      </c>
      <c r="BD121">
        <f ca="1">IF(AND($B$183=1,LEN($BD$221)&gt;0),$BD$221*1000,HLOOKUP(INDIRECT(ADDRESS(2,COLUMN())),OFFSET($BN$2,0,0,ROW()-1,60),ROW()-1,FALSE))</f>
        <v>1107.595</v>
      </c>
      <c r="BE121">
        <f ca="1">IF(AND($B$183=1,LEN($BE$221)&gt;0),$BE$221*1000,HLOOKUP(INDIRECT(ADDRESS(2,COLUMN())),OFFSET($BN$2,0,0,ROW()-1,60),ROW()-1,FALSE))</f>
        <v>651.51700000000005</v>
      </c>
      <c r="BF121">
        <f ca="1">IF(AND($B$183=1,LEN($BF$221)&gt;0),$BF$221*1000,HLOOKUP(INDIRECT(ADDRESS(2,COLUMN())),OFFSET($BN$2,0,0,ROW()-1,60),ROW()-1,FALSE))</f>
        <v>684.45899999999995</v>
      </c>
      <c r="BG121">
        <f ca="1">IF(AND($B$183=1,LEN($BG$221)&gt;0),$BG$221*1000,HLOOKUP(INDIRECT(ADDRESS(2,COLUMN())),OFFSET($BN$2,0,0,ROW()-1,60),ROW()-1,FALSE))</f>
        <v>2989.44</v>
      </c>
      <c r="BH121">
        <f ca="1">IF(AND($B$183=1,LEN($BH$221)&gt;0),$BH$221*1000,HLOOKUP(INDIRECT(ADDRESS(2,COLUMN())),OFFSET($BN$2,0,0,ROW()-1,60),ROW()-1,FALSE))</f>
        <v>491.48200000000003</v>
      </c>
      <c r="BI121">
        <f ca="1">IF(AND($B$183=1,LEN($BI$221)&gt;0),$BI$221*1000,HLOOKUP(INDIRECT(ADDRESS(2,COLUMN())),OFFSET($BN$2,0,0,ROW()-1,60),ROW()-1,FALSE))</f>
        <v>311.00799999999998</v>
      </c>
      <c r="BJ121">
        <f ca="1">IF(AND($B$183=1,LEN($BJ$221)&gt;0),$BJ$221*1000,HLOOKUP(INDIRECT(ADDRESS(2,COLUMN())),OFFSET($BN$2,0,0,ROW()-1,60),ROW()-1,FALSE))</f>
        <v>1277.712</v>
      </c>
      <c r="BK121">
        <f ca="1">IF(AND($B$183=1,LEN($BK$221)&gt;0),$BK$221*1000,HLOOKUP(INDIRECT(ADDRESS(2,COLUMN())),OFFSET($BN$2,0,0,ROW()-1,60),ROW()-1,FALSE))</f>
        <v>55.359000000000002</v>
      </c>
      <c r="BL121">
        <f ca="1">IF(AND($B$183=1,LEN($BL$221)&gt;0),$BL$221*1000,HLOOKUP(INDIRECT(ADDRESS(2,COLUMN())),OFFSET($BN$2,0,0,ROW()-1,60),ROW()-1,FALSE))</f>
        <v>-12.811999999999999</v>
      </c>
      <c r="BM121">
        <f ca="1">IF(AND($B$183=1,LEN($BM$221)&gt;0),$BM$221*1000,HLOOKUP(INDIRECT(ADDRESS(2,COLUMN())),OFFSET($BN$2,0,0,ROW()-1,60),ROW()-1,FALSE))</f>
        <v>-191.06700000000001</v>
      </c>
      <c r="BN121">
        <f>-562.656</f>
        <v>-562.65599999999995</v>
      </c>
      <c r="BO121">
        <f>-1599.569</f>
        <v>-1599.569</v>
      </c>
      <c r="BP121">
        <f>-332.604</f>
        <v>-332.60399999999998</v>
      </c>
      <c r="BQ121">
        <f>-603.993</f>
        <v>-603.99300000000005</v>
      </c>
      <c r="BR121">
        <f>3692.4</f>
        <v>3692.4</v>
      </c>
      <c r="BS121">
        <f>-2847.416</f>
        <v>-2847.4160000000002</v>
      </c>
      <c r="BT121">
        <f>-2307.004</f>
        <v>-2307.0039999999999</v>
      </c>
      <c r="BU121">
        <f>-2713.169</f>
        <v>-2713.1689999999999</v>
      </c>
      <c r="BV121">
        <f>757.845</f>
        <v>757.84500000000003</v>
      </c>
      <c r="BW121">
        <f>1567.55</f>
        <v>1567.55</v>
      </c>
      <c r="BX121">
        <f>2873.547</f>
        <v>2873.547</v>
      </c>
      <c r="BY121">
        <f>928.981</f>
        <v>928.98099999999999</v>
      </c>
      <c r="BZ121">
        <f>-3450.768</f>
        <v>-3450.768</v>
      </c>
      <c r="CA121">
        <f>796.245</f>
        <v>796.245</v>
      </c>
      <c r="CB121">
        <f>1855.683</f>
        <v>1855.683</v>
      </c>
      <c r="CC121">
        <f>-902.91</f>
        <v>-902.91</v>
      </c>
      <c r="CD121">
        <f>472.012</f>
        <v>472.012</v>
      </c>
      <c r="CE121">
        <f>947.273</f>
        <v>947.27300000000002</v>
      </c>
      <c r="CF121">
        <f>-240.263</f>
        <v>-240.26300000000001</v>
      </c>
      <c r="CG121">
        <f>1054.806</f>
        <v>1054.806</v>
      </c>
      <c r="CH121">
        <f>715.576</f>
        <v>715.57600000000002</v>
      </c>
      <c r="CI121">
        <f>896.667</f>
        <v>896.66700000000003</v>
      </c>
      <c r="CJ121">
        <f>-100.449</f>
        <v>-100.449</v>
      </c>
      <c r="CK121">
        <f>1042.071</f>
        <v>1042.0709999999999</v>
      </c>
      <c r="CL121">
        <f>-182.449</f>
        <v>-182.44900000000001</v>
      </c>
      <c r="CM121">
        <f>777.28</f>
        <v>777.28</v>
      </c>
      <c r="CN121">
        <f>3197.279</f>
        <v>3197.279</v>
      </c>
      <c r="CO121">
        <f>1778.636</f>
        <v>1778.636</v>
      </c>
      <c r="CP121">
        <f>3130.538</f>
        <v>3130.538</v>
      </c>
      <c r="CQ121">
        <f>1173.383</f>
        <v>1173.383</v>
      </c>
      <c r="CR121">
        <f>-195.793</f>
        <v>-195.79300000000001</v>
      </c>
      <c r="CS121">
        <f>146.688</f>
        <v>146.68799999999999</v>
      </c>
      <c r="CT121">
        <f>153.908</f>
        <v>153.90799999999999</v>
      </c>
      <c r="CU121">
        <f>109.368</f>
        <v>109.36799999999999</v>
      </c>
      <c r="CV121">
        <f>-200.079</f>
        <v>-200.07900000000001</v>
      </c>
      <c r="CW121">
        <f>-246.216</f>
        <v>-246.21600000000001</v>
      </c>
      <c r="CX121">
        <f>-724.374</f>
        <v>-724.37400000000002</v>
      </c>
      <c r="CY121">
        <f>926.564</f>
        <v>926.56399999999996</v>
      </c>
      <c r="CZ121">
        <f>1338.325</f>
        <v>1338.325</v>
      </c>
      <c r="DA121">
        <f>559.477</f>
        <v>559.47699999999998</v>
      </c>
      <c r="DB121">
        <f>1614.765</f>
        <v>1614.7650000000001</v>
      </c>
      <c r="DC121">
        <f>912.364</f>
        <v>912.36400000000003</v>
      </c>
      <c r="DD121">
        <f>1211.376</f>
        <v>1211.376</v>
      </c>
      <c r="DE121">
        <f>3380.924</f>
        <v>3380.924</v>
      </c>
      <c r="DF121">
        <f>-596.416</f>
        <v>-596.41600000000005</v>
      </c>
      <c r="DG121">
        <f>1452.901</f>
        <v>1452.9010000000001</v>
      </c>
      <c r="DH121">
        <f>941.528</f>
        <v>941.52800000000002</v>
      </c>
      <c r="DI121">
        <f>2774.542</f>
        <v>2774.5419999999999</v>
      </c>
      <c r="DJ121">
        <f>-880.737</f>
        <v>-880.73699999999997</v>
      </c>
      <c r="DK121">
        <f>224.035</f>
        <v>224.035</v>
      </c>
      <c r="DL121">
        <f>1107.595</f>
        <v>1107.595</v>
      </c>
      <c r="DM121">
        <f>651.517</f>
        <v>651.51700000000005</v>
      </c>
      <c r="DN121">
        <f>684.459</f>
        <v>684.45899999999995</v>
      </c>
      <c r="DO121">
        <f>2989.44</f>
        <v>2989.44</v>
      </c>
      <c r="DP121">
        <f>491.482</f>
        <v>491.48200000000003</v>
      </c>
      <c r="DQ121">
        <f>311.008</f>
        <v>311.00799999999998</v>
      </c>
      <c r="DR121">
        <f>1277.712</f>
        <v>1277.712</v>
      </c>
      <c r="DS121">
        <f>55.359</f>
        <v>55.359000000000002</v>
      </c>
      <c r="DT121">
        <f>-12.812</f>
        <v>-12.811999999999999</v>
      </c>
      <c r="DU121">
        <f>-191.067</f>
        <v>-191.06700000000001</v>
      </c>
    </row>
    <row r="122" spans="1:125">
      <c r="A122" t="str">
        <f>"    Industrial REITs"</f>
        <v xml:space="preserve">    Industrial REITs</v>
      </c>
      <c r="B122" t="str">
        <f>"RECFNAIN Index"</f>
        <v>RECFNAIN Index</v>
      </c>
      <c r="E122" t="str">
        <f t="shared" si="27"/>
        <v>Expression</v>
      </c>
      <c r="F122">
        <f ca="1">IF(AND($B$183=1,LEN($F$222)&gt;0),$F$222*1000,HLOOKUP(INDIRECT(ADDRESS(2,COLUMN())),OFFSET($BN$2,0,0,ROW()-1,60),ROW()-1,FALSE))</f>
        <v>-439.56700000000001</v>
      </c>
      <c r="G122">
        <f ca="1">IF(AND($B$183=1,LEN($G$222)&gt;0),$G$222*1000,HLOOKUP(INDIRECT(ADDRESS(2,COLUMN())),OFFSET($BN$2,0,0,ROW()-1,60),ROW()-1,FALSE))</f>
        <v>427.255</v>
      </c>
      <c r="H122">
        <f ca="1">IF(AND($B$183=1,LEN($H$222)&gt;0),$H$222*1000,HLOOKUP(INDIRECT(ADDRESS(2,COLUMN())),OFFSET($BN$2,0,0,ROW()-1,60),ROW()-1,FALSE))</f>
        <v>-2188.9630000000002</v>
      </c>
      <c r="I122">
        <f ca="1">IF(AND($B$183=1,LEN($I$222)&gt;0),$I$222*1000,HLOOKUP(INDIRECT(ADDRESS(2,COLUMN())),OFFSET($BN$2,0,0,ROW()-1,60),ROW()-1,FALSE))</f>
        <v>92.563000000000002</v>
      </c>
      <c r="J122">
        <f ca="1">IF(AND($B$183=1,LEN($J$222)&gt;0),$J$222*1000,HLOOKUP(INDIRECT(ADDRESS(2,COLUMN())),OFFSET($BN$2,0,0,ROW()-1,60),ROW()-1,FALSE))</f>
        <v>-1035.7170000000001</v>
      </c>
      <c r="K122">
        <f ca="1">IF(AND($B$183=1,LEN($K$222)&gt;0),$K$222*1000,HLOOKUP(INDIRECT(ADDRESS(2,COLUMN())),OFFSET($BN$2,0,0,ROW()-1,60),ROW()-1,FALSE))</f>
        <v>-423.375</v>
      </c>
      <c r="L122">
        <f ca="1">IF(AND($B$183=1,LEN($L$222)&gt;0),$L$222*1000,HLOOKUP(INDIRECT(ADDRESS(2,COLUMN())),OFFSET($BN$2,0,0,ROW()-1,60),ROW()-1,FALSE))</f>
        <v>-592.27800000000002</v>
      </c>
      <c r="M122">
        <f ca="1">IF(AND($B$183=1,LEN($M$222)&gt;0),$M$222*1000,HLOOKUP(INDIRECT(ADDRESS(2,COLUMN())),OFFSET($BN$2,0,0,ROW()-1,60),ROW()-1,FALSE))</f>
        <v>-627.51400000000001</v>
      </c>
      <c r="N122">
        <f ca="1">IF(AND($B$183=1,LEN($N$222)&gt;0),$N$222*1000,HLOOKUP(INDIRECT(ADDRESS(2,COLUMN())),OFFSET($BN$2,0,0,ROW()-1,60),ROW()-1,FALSE))</f>
        <v>-399.06900000000002</v>
      </c>
      <c r="O122">
        <f ca="1">IF(AND($B$183=1,LEN($O$222)&gt;0),$O$222*1000,HLOOKUP(INDIRECT(ADDRESS(2,COLUMN())),OFFSET($BN$2,0,0,ROW()-1,60),ROW()-1,FALSE))</f>
        <v>-259.23899999999998</v>
      </c>
      <c r="P122">
        <f ca="1">IF(AND($B$183=1,LEN($P$222)&gt;0),$P$222*1000,HLOOKUP(INDIRECT(ADDRESS(2,COLUMN())),OFFSET($BN$2,0,0,ROW()-1,60),ROW()-1,FALSE))</f>
        <v>4489.2190000000001</v>
      </c>
      <c r="Q122">
        <f ca="1">IF(AND($B$183=1,LEN($Q$222)&gt;0),$Q$222*1000,HLOOKUP(INDIRECT(ADDRESS(2,COLUMN())),OFFSET($BN$2,0,0,ROW()-1,60),ROW()-1,FALSE))</f>
        <v>-211.21</v>
      </c>
      <c r="R122">
        <f ca="1">IF(AND($B$183=1,LEN($R$222)&gt;0),$R$222*1000,HLOOKUP(INDIRECT(ADDRESS(2,COLUMN())),OFFSET($BN$2,0,0,ROW()-1,60),ROW()-1,FALSE))</f>
        <v>-480.52600000000001</v>
      </c>
      <c r="S122">
        <f ca="1">IF(AND($B$183=1,LEN($S$222)&gt;0),$S$222*1000,HLOOKUP(INDIRECT(ADDRESS(2,COLUMN())),OFFSET($BN$2,0,0,ROW()-1,60),ROW()-1,FALSE))</f>
        <v>734.61800000000005</v>
      </c>
      <c r="T122">
        <f ca="1">IF(AND($B$183=1,LEN($T$222)&gt;0),$T$222*1000,HLOOKUP(INDIRECT(ADDRESS(2,COLUMN())),OFFSET($BN$2,0,0,ROW()-1,60),ROW()-1,FALSE))</f>
        <v>-157.66200000000001</v>
      </c>
      <c r="U122">
        <f ca="1">IF(AND($B$183=1,LEN($U$222)&gt;0),$U$222*1000,HLOOKUP(INDIRECT(ADDRESS(2,COLUMN())),OFFSET($BN$2,0,0,ROW()-1,60),ROW()-1,FALSE))</f>
        <v>29.003</v>
      </c>
      <c r="V122">
        <f ca="1">IF(AND($B$183=1,LEN($V$222)&gt;0),$V$222*1000,HLOOKUP(INDIRECT(ADDRESS(2,COLUMN())),OFFSET($BN$2,0,0,ROW()-1,60),ROW()-1,FALSE))</f>
        <v>1135.04</v>
      </c>
      <c r="W122">
        <f ca="1">IF(AND($B$183=1,LEN($W$222)&gt;0),$W$222*1000,HLOOKUP(INDIRECT(ADDRESS(2,COLUMN())),OFFSET($BN$2,0,0,ROW()-1,60),ROW()-1,FALSE))</f>
        <v>229.441</v>
      </c>
      <c r="X122">
        <f ca="1">IF(AND($B$183=1,LEN($X$222)&gt;0),$X$222*1000,HLOOKUP(INDIRECT(ADDRESS(2,COLUMN())),OFFSET($BN$2,0,0,ROW()-1,60),ROW()-1,FALSE))</f>
        <v>307.49400000000003</v>
      </c>
      <c r="Y122">
        <f ca="1">IF(AND($B$183=1,LEN($Y$222)&gt;0),$Y$222*1000,HLOOKUP(INDIRECT(ADDRESS(2,COLUMN())),OFFSET($BN$2,0,0,ROW()-1,60),ROW()-1,FALSE))</f>
        <v>-349.88499999999999</v>
      </c>
      <c r="Z122">
        <f ca="1">IF(AND($B$183=1,LEN($Z$222)&gt;0),$Z$222*1000,HLOOKUP(INDIRECT(ADDRESS(2,COLUMN())),OFFSET($BN$2,0,0,ROW()-1,60),ROW()-1,FALSE))</f>
        <v>501.137</v>
      </c>
      <c r="AA122">
        <f ca="1">IF(AND($B$183=1,LEN($AA$222)&gt;0),$AA$222*1000,HLOOKUP(INDIRECT(ADDRESS(2,COLUMN())),OFFSET($BN$2,0,0,ROW()-1,60),ROW()-1,FALSE))</f>
        <v>252.55600000000001</v>
      </c>
      <c r="AB122">
        <f ca="1">IF(AND($B$183=1,LEN($AB$222)&gt;0),$AB$222*1000,HLOOKUP(INDIRECT(ADDRESS(2,COLUMN())),OFFSET($BN$2,0,0,ROW()-1,60),ROW()-1,FALSE))</f>
        <v>25.808</v>
      </c>
      <c r="AC122">
        <f ca="1">IF(AND($B$183=1,LEN($AC$222)&gt;0),$AC$222*1000,HLOOKUP(INDIRECT(ADDRESS(2,COLUMN())),OFFSET($BN$2,0,0,ROW()-1,60),ROW()-1,FALSE))</f>
        <v>-732.11699999999996</v>
      </c>
      <c r="AD122">
        <f ca="1">IF(AND($B$183=1,LEN($AD$222)&gt;0),$AD$222*1000,HLOOKUP(INDIRECT(ADDRESS(2,COLUMN())),OFFSET($BN$2,0,0,ROW()-1,60),ROW()-1,FALSE))</f>
        <v>-30.355</v>
      </c>
      <c r="AE122">
        <f ca="1">IF(AND($B$183=1,LEN($AE$222)&gt;0),$AE$222*1000,HLOOKUP(INDIRECT(ADDRESS(2,COLUMN())),OFFSET($BN$2,0,0,ROW()-1,60),ROW()-1,FALSE))</f>
        <v>172.495</v>
      </c>
      <c r="AF122">
        <f ca="1">IF(AND($B$183=1,LEN($AF$222)&gt;0),$AF$222*1000,HLOOKUP(INDIRECT(ADDRESS(2,COLUMN())),OFFSET($BN$2,0,0,ROW()-1,60),ROW()-1,FALSE))</f>
        <v>12529.587</v>
      </c>
      <c r="AG122">
        <f ca="1">IF(AND($B$183=1,LEN($AG$222)&gt;0),$AG$222*1000,HLOOKUP(INDIRECT(ADDRESS(2,COLUMN())),OFFSET($BN$2,0,0,ROW()-1,60),ROW()-1,FALSE))</f>
        <v>-595.34100000000001</v>
      </c>
      <c r="AH122">
        <f ca="1">IF(AND($B$183=1,LEN($AH$222)&gt;0),$AH$222*1000,HLOOKUP(INDIRECT(ADDRESS(2,COLUMN())),OFFSET($BN$2,0,0,ROW()-1,60),ROW()-1,FALSE))</f>
        <v>-314.71899999999999</v>
      </c>
      <c r="AI122">
        <f ca="1">IF(AND($B$183=1,LEN($AI$222)&gt;0),$AI$222*1000,HLOOKUP(INDIRECT(ADDRESS(2,COLUMN())),OFFSET($BN$2,0,0,ROW()-1,60),ROW()-1,FALSE))</f>
        <v>358.745</v>
      </c>
      <c r="AJ122">
        <f ca="1">IF(AND($B$183=1,LEN($AJ$222)&gt;0),$AJ$222*1000,HLOOKUP(INDIRECT(ADDRESS(2,COLUMN())),OFFSET($BN$2,0,0,ROW()-1,60),ROW()-1,FALSE))</f>
        <v>172.78299999999999</v>
      </c>
      <c r="AK122">
        <f ca="1">IF(AND($B$183=1,LEN($AK$222)&gt;0),$AK$222*1000,HLOOKUP(INDIRECT(ADDRESS(2,COLUMN())),OFFSET($BN$2,0,0,ROW()-1,60),ROW()-1,FALSE))</f>
        <v>-121.42400000000001</v>
      </c>
      <c r="AL122">
        <f ca="1">IF(AND($B$183=1,LEN($AL$222)&gt;0),$AL$222*1000,HLOOKUP(INDIRECT(ADDRESS(2,COLUMN())),OFFSET($BN$2,0,0,ROW()-1,60),ROW()-1,FALSE))</f>
        <v>-543.30600000000004</v>
      </c>
      <c r="AM122">
        <f ca="1">IF(AND($B$183=1,LEN($AM$222)&gt;0),$AM$222*1000,HLOOKUP(INDIRECT(ADDRESS(2,COLUMN())),OFFSET($BN$2,0,0,ROW()-1,60),ROW()-1,FALSE))</f>
        <v>-312.89299999999997</v>
      </c>
      <c r="AN122">
        <f ca="1">IF(AND($B$183=1,LEN($AN$222)&gt;0),$AN$222*1000,HLOOKUP(INDIRECT(ADDRESS(2,COLUMN())),OFFSET($BN$2,0,0,ROW()-1,60),ROW()-1,FALSE))</f>
        <v>-1011.856</v>
      </c>
      <c r="AO122">
        <f ca="1">IF(AND($B$183=1,LEN($AO$222)&gt;0),$AO$222*1000,HLOOKUP(INDIRECT(ADDRESS(2,COLUMN())),OFFSET($BN$2,0,0,ROW()-1,60),ROW()-1,FALSE))</f>
        <v>-1646.4939999999999</v>
      </c>
      <c r="AP122">
        <f ca="1">IF(AND($B$183=1,LEN($AP$222)&gt;0),$AP$222*1000,HLOOKUP(INDIRECT(ADDRESS(2,COLUMN())),OFFSET($BN$2,0,0,ROW()-1,60),ROW()-1,FALSE))</f>
        <v>-1342.212</v>
      </c>
      <c r="AQ122">
        <f ca="1">IF(AND($B$183=1,LEN($AQ$222)&gt;0),$AQ$222*1000,HLOOKUP(INDIRECT(ADDRESS(2,COLUMN())),OFFSET($BN$2,0,0,ROW()-1,60),ROW()-1,FALSE))</f>
        <v>-586.73400000000004</v>
      </c>
      <c r="AR122">
        <f ca="1">IF(AND($B$183=1,LEN($AR$222)&gt;0),$AR$222*1000,HLOOKUP(INDIRECT(ADDRESS(2,COLUMN())),OFFSET($BN$2,0,0,ROW()-1,60),ROW()-1,FALSE))</f>
        <v>-1285.9179999999999</v>
      </c>
      <c r="AS122">
        <f ca="1">IF(AND($B$183=1,LEN($AS$222)&gt;0),$AS$222*1000,HLOOKUP(INDIRECT(ADDRESS(2,COLUMN())),OFFSET($BN$2,0,0,ROW()-1,60),ROW()-1,FALSE))</f>
        <v>-1124.259</v>
      </c>
      <c r="AT122">
        <f ca="1">IF(AND($B$183=1,LEN($AT$222)&gt;0),$AT$222*1000,HLOOKUP(INDIRECT(ADDRESS(2,COLUMN())),OFFSET($BN$2,0,0,ROW()-1,60),ROW()-1,FALSE))</f>
        <v>323.37099999999998</v>
      </c>
      <c r="AU122">
        <f ca="1">IF(AND($B$183=1,LEN($AU$222)&gt;0),$AU$222*1000,HLOOKUP(INDIRECT(ADDRESS(2,COLUMN())),OFFSET($BN$2,0,0,ROW()-1,60),ROW()-1,FALSE))</f>
        <v>-1238.1659999999999</v>
      </c>
      <c r="AV122">
        <f ca="1">IF(AND($B$183=1,LEN($AV$222)&gt;0),$AV$222*1000,HLOOKUP(INDIRECT(ADDRESS(2,COLUMN())),OFFSET($BN$2,0,0,ROW()-1,60),ROW()-1,FALSE))</f>
        <v>-971.24800000000005</v>
      </c>
      <c r="AW122">
        <f ca="1">IF(AND($B$183=1,LEN($AW$222)&gt;0),$AW$222*1000,HLOOKUP(INDIRECT(ADDRESS(2,COLUMN())),OFFSET($BN$2,0,0,ROW()-1,60),ROW()-1,FALSE))</f>
        <v>-159.762</v>
      </c>
      <c r="AX122">
        <f ca="1">IF(AND($B$183=1,LEN($AX$222)&gt;0),$AX$222*1000,HLOOKUP(INDIRECT(ADDRESS(2,COLUMN())),OFFSET($BN$2,0,0,ROW()-1,60),ROW()-1,FALSE))</f>
        <v>-292.57799999999997</v>
      </c>
      <c r="AY122">
        <f ca="1">IF(AND($B$183=1,LEN($AY$222)&gt;0),$AY$222*1000,HLOOKUP(INDIRECT(ADDRESS(2,COLUMN())),OFFSET($BN$2,0,0,ROW()-1,60),ROW()-1,FALSE))</f>
        <v>-104.279</v>
      </c>
      <c r="AZ122">
        <f ca="1">IF(AND($B$183=1,LEN($AZ$222)&gt;0),$AZ$222*1000,HLOOKUP(INDIRECT(ADDRESS(2,COLUMN())),OFFSET($BN$2,0,0,ROW()-1,60),ROW()-1,FALSE))</f>
        <v>-173.292</v>
      </c>
      <c r="BA122">
        <f ca="1">IF(AND($B$183=1,LEN($BA$222)&gt;0),$BA$222*1000,HLOOKUP(INDIRECT(ADDRESS(2,COLUMN())),OFFSET($BN$2,0,0,ROW()-1,60),ROW()-1,FALSE))</f>
        <v>42.405999999999999</v>
      </c>
      <c r="BB122">
        <f ca="1">IF(AND($B$183=1,LEN($BB$222)&gt;0),$BB$222*1000,HLOOKUP(INDIRECT(ADDRESS(2,COLUMN())),OFFSET($BN$2,0,0,ROW()-1,60),ROW()-1,FALSE))</f>
        <v>-419.79500000000002</v>
      </c>
      <c r="BC122">
        <f ca="1">IF(AND($B$183=1,LEN($BC$222)&gt;0),$BC$222*1000,HLOOKUP(INDIRECT(ADDRESS(2,COLUMN())),OFFSET($BN$2,0,0,ROW()-1,60),ROW()-1,FALSE))</f>
        <v>2449.424</v>
      </c>
      <c r="BD122">
        <f ca="1">IF(AND($B$183=1,LEN($BD$222)&gt;0),$BD$222*1000,HLOOKUP(INDIRECT(ADDRESS(2,COLUMN())),OFFSET($BN$2,0,0,ROW()-1,60),ROW()-1,FALSE))</f>
        <v>-73.572000000000003</v>
      </c>
      <c r="BE122">
        <f ca="1">IF(AND($B$183=1,LEN($BE$222)&gt;0),$BE$222*1000,HLOOKUP(INDIRECT(ADDRESS(2,COLUMN())),OFFSET($BN$2,0,0,ROW()-1,60),ROW()-1,FALSE))</f>
        <v>-383.22899999999998</v>
      </c>
      <c r="BF122">
        <f ca="1">IF(AND($B$183=1,LEN($BF$222)&gt;0),$BF$222*1000,HLOOKUP(INDIRECT(ADDRESS(2,COLUMN())),OFFSET($BN$2,0,0,ROW()-1,60),ROW()-1,FALSE))</f>
        <v>100.46899999999999</v>
      </c>
      <c r="BG122">
        <f ca="1">IF(AND($B$183=1,LEN($BG$222)&gt;0),$BG$222*1000,HLOOKUP(INDIRECT(ADDRESS(2,COLUMN())),OFFSET($BN$2,0,0,ROW()-1,60),ROW()-1,FALSE))</f>
        <v>2395.1</v>
      </c>
      <c r="BH122">
        <f ca="1">IF(AND($B$183=1,LEN($BH$222)&gt;0),$BH$222*1000,HLOOKUP(INDIRECT(ADDRESS(2,COLUMN())),OFFSET($BN$2,0,0,ROW()-1,60),ROW()-1,FALSE))</f>
        <v>437.142</v>
      </c>
      <c r="BI122">
        <f ca="1">IF(AND($B$183=1,LEN($BI$222)&gt;0),$BI$222*1000,HLOOKUP(INDIRECT(ADDRESS(2,COLUMN())),OFFSET($BN$2,0,0,ROW()-1,60),ROW()-1,FALSE))</f>
        <v>332.10599999999999</v>
      </c>
      <c r="BJ122">
        <f ca="1">IF(AND($B$183=1,LEN($BJ$222)&gt;0),$BJ$222*1000,HLOOKUP(INDIRECT(ADDRESS(2,COLUMN())),OFFSET($BN$2,0,0,ROW()-1,60),ROW()-1,FALSE))</f>
        <v>35.302</v>
      </c>
      <c r="BK122">
        <f ca="1">IF(AND($B$183=1,LEN($BK$222)&gt;0),$BK$222*1000,HLOOKUP(INDIRECT(ADDRESS(2,COLUMN())),OFFSET($BN$2,0,0,ROW()-1,60),ROW()-1,FALSE))</f>
        <v>-108</v>
      </c>
      <c r="BL122">
        <f ca="1">IF(AND($B$183=1,LEN($BL$222)&gt;0),$BL$222*1000,HLOOKUP(INDIRECT(ADDRESS(2,COLUMN())),OFFSET($BN$2,0,0,ROW()-1,60),ROW()-1,FALSE))</f>
        <v>36.1</v>
      </c>
      <c r="BM122">
        <f ca="1">IF(AND($B$183=1,LEN($BM$222)&gt;0),$BM$222*1000,HLOOKUP(INDIRECT(ADDRESS(2,COLUMN())),OFFSET($BN$2,0,0,ROW()-1,60),ROW()-1,FALSE))</f>
        <v>-44</v>
      </c>
      <c r="BN122">
        <f>-439.567</f>
        <v>-439.56700000000001</v>
      </c>
      <c r="BO122">
        <f>427.255</f>
        <v>427.255</v>
      </c>
      <c r="BP122">
        <f>-2188.963</f>
        <v>-2188.9630000000002</v>
      </c>
      <c r="BQ122">
        <f>92.563</f>
        <v>92.563000000000002</v>
      </c>
      <c r="BR122">
        <f>-1035.717</f>
        <v>-1035.7170000000001</v>
      </c>
      <c r="BS122">
        <f>-423.375</f>
        <v>-423.375</v>
      </c>
      <c r="BT122">
        <f>-592.278</f>
        <v>-592.27800000000002</v>
      </c>
      <c r="BU122">
        <f>-627.514</f>
        <v>-627.51400000000001</v>
      </c>
      <c r="BV122">
        <f>-399.069</f>
        <v>-399.06900000000002</v>
      </c>
      <c r="BW122">
        <f>-259.239</f>
        <v>-259.23899999999998</v>
      </c>
      <c r="BX122">
        <f>4489.219</f>
        <v>4489.2190000000001</v>
      </c>
      <c r="BY122">
        <f>-211.21</f>
        <v>-211.21</v>
      </c>
      <c r="BZ122">
        <f>-480.526</f>
        <v>-480.52600000000001</v>
      </c>
      <c r="CA122">
        <f>734.618</f>
        <v>734.61800000000005</v>
      </c>
      <c r="CB122">
        <f>-157.662</f>
        <v>-157.66200000000001</v>
      </c>
      <c r="CC122">
        <f>29.003</f>
        <v>29.003</v>
      </c>
      <c r="CD122">
        <f>1135.04</f>
        <v>1135.04</v>
      </c>
      <c r="CE122">
        <f>229.441</f>
        <v>229.441</v>
      </c>
      <c r="CF122">
        <f>307.494</f>
        <v>307.49400000000003</v>
      </c>
      <c r="CG122">
        <f>-349.885</f>
        <v>-349.88499999999999</v>
      </c>
      <c r="CH122">
        <f>501.137</f>
        <v>501.137</v>
      </c>
      <c r="CI122">
        <f>252.556</f>
        <v>252.55600000000001</v>
      </c>
      <c r="CJ122">
        <f>25.808</f>
        <v>25.808</v>
      </c>
      <c r="CK122">
        <f>-732.117</f>
        <v>-732.11699999999996</v>
      </c>
      <c r="CL122">
        <f>-30.355</f>
        <v>-30.355</v>
      </c>
      <c r="CM122">
        <f>172.495</f>
        <v>172.495</v>
      </c>
      <c r="CN122">
        <f>12529.587</f>
        <v>12529.587</v>
      </c>
      <c r="CO122">
        <f>-595.341</f>
        <v>-595.34100000000001</v>
      </c>
      <c r="CP122">
        <f>-314.719</f>
        <v>-314.71899999999999</v>
      </c>
      <c r="CQ122">
        <f>358.745</f>
        <v>358.745</v>
      </c>
      <c r="CR122">
        <f>172.783</f>
        <v>172.78299999999999</v>
      </c>
      <c r="CS122">
        <f>-121.424</f>
        <v>-121.42400000000001</v>
      </c>
      <c r="CT122">
        <f>-543.306</f>
        <v>-543.30600000000004</v>
      </c>
      <c r="CU122">
        <f>-312.893</f>
        <v>-312.89299999999997</v>
      </c>
      <c r="CV122">
        <f>-1011.856</f>
        <v>-1011.856</v>
      </c>
      <c r="CW122">
        <f>-1646.494</f>
        <v>-1646.4939999999999</v>
      </c>
      <c r="CX122">
        <f>-1342.212</f>
        <v>-1342.212</v>
      </c>
      <c r="CY122">
        <f>-586.734</f>
        <v>-586.73400000000004</v>
      </c>
      <c r="CZ122">
        <f>-1285.918</f>
        <v>-1285.9179999999999</v>
      </c>
      <c r="DA122">
        <f>-1124.259</f>
        <v>-1124.259</v>
      </c>
      <c r="DB122">
        <f>323.371</f>
        <v>323.37099999999998</v>
      </c>
      <c r="DC122">
        <f>-1238.166</f>
        <v>-1238.1659999999999</v>
      </c>
      <c r="DD122">
        <f>-971.248</f>
        <v>-971.24800000000005</v>
      </c>
      <c r="DE122">
        <f>-159.762</f>
        <v>-159.762</v>
      </c>
      <c r="DF122">
        <f>-292.578</f>
        <v>-292.57799999999997</v>
      </c>
      <c r="DG122">
        <f>-104.279</f>
        <v>-104.279</v>
      </c>
      <c r="DH122">
        <f>-173.292</f>
        <v>-173.292</v>
      </c>
      <c r="DI122">
        <f>42.406</f>
        <v>42.405999999999999</v>
      </c>
      <c r="DJ122">
        <f>-419.795</f>
        <v>-419.79500000000002</v>
      </c>
      <c r="DK122">
        <f>2449.424</f>
        <v>2449.424</v>
      </c>
      <c r="DL122">
        <f>-73.572</f>
        <v>-73.572000000000003</v>
      </c>
      <c r="DM122">
        <f>-383.229</f>
        <v>-383.22899999999998</v>
      </c>
      <c r="DN122">
        <f>100.469</f>
        <v>100.46899999999999</v>
      </c>
      <c r="DO122">
        <f>2395.1</f>
        <v>2395.1</v>
      </c>
      <c r="DP122">
        <f>437.142</f>
        <v>437.142</v>
      </c>
      <c r="DQ122">
        <f>332.106</f>
        <v>332.10599999999999</v>
      </c>
      <c r="DR122">
        <f>35.302</f>
        <v>35.302</v>
      </c>
      <c r="DS122">
        <f>-108</f>
        <v>-108</v>
      </c>
      <c r="DT122">
        <f>36.1</f>
        <v>36.1</v>
      </c>
      <c r="DU122">
        <f>-44</f>
        <v>-44</v>
      </c>
    </row>
    <row r="123" spans="1:125">
      <c r="A123" t="str">
        <f>"    Retail REITs"</f>
        <v xml:space="preserve">    Retail REITs</v>
      </c>
      <c r="B123" t="str">
        <f>"RECFNART Index"</f>
        <v>RECFNART Index</v>
      </c>
      <c r="E123" t="str">
        <f t="shared" si="27"/>
        <v>Expression</v>
      </c>
      <c r="F123">
        <f ca="1">IF(AND($B$183=1,LEN($F$223)&gt;0),$F$223*1000,HLOOKUP(INDIRECT(ADDRESS(2,COLUMN())),OFFSET($BN$2,0,0,ROW()-1,60),ROW()-1,FALSE))</f>
        <v>-243.07</v>
      </c>
      <c r="G123">
        <f ca="1">IF(AND($B$183=1,LEN($G$223)&gt;0),$G$223*1000,HLOOKUP(INDIRECT(ADDRESS(2,COLUMN())),OFFSET($BN$2,0,0,ROW()-1,60),ROW()-1,FALSE))</f>
        <v>275.49599999999998</v>
      </c>
      <c r="H123">
        <f ca="1">IF(AND($B$183=1,LEN($H$223)&gt;0),$H$223*1000,HLOOKUP(INDIRECT(ADDRESS(2,COLUMN())),OFFSET($BN$2,0,0,ROW()-1,60),ROW()-1,FALSE))</f>
        <v>-76.177000000000007</v>
      </c>
      <c r="I123">
        <f ca="1">IF(AND($B$183=1,LEN($I$223)&gt;0),$I$223*1000,HLOOKUP(INDIRECT(ADDRESS(2,COLUMN())),OFFSET($BN$2,0,0,ROW()-1,60),ROW()-1,FALSE))</f>
        <v>991.73199999999997</v>
      </c>
      <c r="J123">
        <f ca="1">IF(AND($B$183=1,LEN($J$223)&gt;0),$J$223*1000,HLOOKUP(INDIRECT(ADDRESS(2,COLUMN())),OFFSET($BN$2,0,0,ROW()-1,60),ROW()-1,FALSE))</f>
        <v>1305.8979999999999</v>
      </c>
      <c r="K123">
        <f ca="1">IF(AND($B$183=1,LEN($K$223)&gt;0),$K$223*1000,HLOOKUP(INDIRECT(ADDRESS(2,COLUMN())),OFFSET($BN$2,0,0,ROW()-1,60),ROW()-1,FALSE))</f>
        <v>26.382000000000001</v>
      </c>
      <c r="L123">
        <f ca="1">IF(AND($B$183=1,LEN($L$223)&gt;0),$L$223*1000,HLOOKUP(INDIRECT(ADDRESS(2,COLUMN())),OFFSET($BN$2,0,0,ROW()-1,60),ROW()-1,FALSE))</f>
        <v>1767.6320000000001</v>
      </c>
      <c r="M123">
        <f ca="1">IF(AND($B$183=1,LEN($M$223)&gt;0),$M$223*1000,HLOOKUP(INDIRECT(ADDRESS(2,COLUMN())),OFFSET($BN$2,0,0,ROW()-1,60),ROW()-1,FALSE))</f>
        <v>-414.27</v>
      </c>
      <c r="N123">
        <f ca="1">IF(AND($B$183=1,LEN($N$223)&gt;0),$N$223*1000,HLOOKUP(INDIRECT(ADDRESS(2,COLUMN())),OFFSET($BN$2,0,0,ROW()-1,60),ROW()-1,FALSE))</f>
        <v>-1250.8969999999999</v>
      </c>
      <c r="O123">
        <f ca="1">IF(AND($B$183=1,LEN($O$223)&gt;0),$O$223*1000,HLOOKUP(INDIRECT(ADDRESS(2,COLUMN())),OFFSET($BN$2,0,0,ROW()-1,60),ROW()-1,FALSE))</f>
        <v>3154.2049999999999</v>
      </c>
      <c r="P123">
        <f ca="1">IF(AND($B$183=1,LEN($P$223)&gt;0),$P$223*1000,HLOOKUP(INDIRECT(ADDRESS(2,COLUMN())),OFFSET($BN$2,0,0,ROW()-1,60),ROW()-1,FALSE))</f>
        <v>1720.761</v>
      </c>
      <c r="Q123">
        <f ca="1">IF(AND($B$183=1,LEN($Q$223)&gt;0),$Q$223*1000,HLOOKUP(INDIRECT(ADDRESS(2,COLUMN())),OFFSET($BN$2,0,0,ROW()-1,60),ROW()-1,FALSE))</f>
        <v>5080.5600000000004</v>
      </c>
      <c r="R123">
        <f ca="1">IF(AND($B$183=1,LEN($R$223)&gt;0),$R$223*1000,HLOOKUP(INDIRECT(ADDRESS(2,COLUMN())),OFFSET($BN$2,0,0,ROW()-1,60),ROW()-1,FALSE))</f>
        <v>347.37700000000001</v>
      </c>
      <c r="S123">
        <f ca="1">IF(AND($B$183=1,LEN($S$223)&gt;0),$S$223*1000,HLOOKUP(INDIRECT(ADDRESS(2,COLUMN())),OFFSET($BN$2,0,0,ROW()-1,60),ROW()-1,FALSE))</f>
        <v>6955.2359999999999</v>
      </c>
      <c r="T123">
        <f ca="1">IF(AND($B$183=1,LEN($T$223)&gt;0),$T$223*1000,HLOOKUP(INDIRECT(ADDRESS(2,COLUMN())),OFFSET($BN$2,0,0,ROW()-1,60),ROW()-1,FALSE))</f>
        <v>2593.4810000000002</v>
      </c>
      <c r="U123">
        <f ca="1">IF(AND($B$183=1,LEN($U$223)&gt;0),$U$223*1000,HLOOKUP(INDIRECT(ADDRESS(2,COLUMN())),OFFSET($BN$2,0,0,ROW()-1,60),ROW()-1,FALSE))</f>
        <v>13517.85</v>
      </c>
      <c r="V123">
        <f ca="1">IF(AND($B$183=1,LEN($V$223)&gt;0),$V$223*1000,HLOOKUP(INDIRECT(ADDRESS(2,COLUMN())),OFFSET($BN$2,0,0,ROW()-1,60),ROW()-1,FALSE))</f>
        <v>3934.9720000000002</v>
      </c>
      <c r="W123">
        <f ca="1">IF(AND($B$183=1,LEN($W$223)&gt;0),$W$223*1000,HLOOKUP(INDIRECT(ADDRESS(2,COLUMN())),OFFSET($BN$2,0,0,ROW()-1,60),ROW()-1,FALSE))</f>
        <v>7238.6989999999996</v>
      </c>
      <c r="X123">
        <f ca="1">IF(AND($B$183=1,LEN($X$223)&gt;0),$X$223*1000,HLOOKUP(INDIRECT(ADDRESS(2,COLUMN())),OFFSET($BN$2,0,0,ROW()-1,60),ROW()-1,FALSE))</f>
        <v>1367.598</v>
      </c>
      <c r="Y123">
        <f ca="1">IF(AND($B$183=1,LEN($Y$223)&gt;0),$Y$223*1000,HLOOKUP(INDIRECT(ADDRESS(2,COLUMN())),OFFSET($BN$2,0,0,ROW()-1,60),ROW()-1,FALSE))</f>
        <v>6328.3249999999998</v>
      </c>
      <c r="Z123">
        <f ca="1">IF(AND($B$183=1,LEN($Z$223)&gt;0),$Z$223*1000,HLOOKUP(INDIRECT(ADDRESS(2,COLUMN())),OFFSET($BN$2,0,0,ROW()-1,60),ROW()-1,FALSE))</f>
        <v>1393.326</v>
      </c>
      <c r="AA123">
        <f ca="1">IF(AND($B$183=1,LEN($AA$223)&gt;0),$AA$223*1000,HLOOKUP(INDIRECT(ADDRESS(2,COLUMN())),OFFSET($BN$2,0,0,ROW()-1,60),ROW()-1,FALSE))</f>
        <v>340.596</v>
      </c>
      <c r="AB123">
        <f ca="1">IF(AND($B$183=1,LEN($AB$223)&gt;0),$AB$223*1000,HLOOKUP(INDIRECT(ADDRESS(2,COLUMN())),OFFSET($BN$2,0,0,ROW()-1,60),ROW()-1,FALSE))</f>
        <v>2951.6280000000002</v>
      </c>
      <c r="AC123">
        <f ca="1">IF(AND($B$183=1,LEN($AC$223)&gt;0),$AC$223*1000,HLOOKUP(INDIRECT(ADDRESS(2,COLUMN())),OFFSET($BN$2,0,0,ROW()-1,60),ROW()-1,FALSE))</f>
        <v>4162.4480000000003</v>
      </c>
      <c r="AD123">
        <f ca="1">IF(AND($B$183=1,LEN($AD$223)&gt;0),$AD$223*1000,HLOOKUP(INDIRECT(ADDRESS(2,COLUMN())),OFFSET($BN$2,0,0,ROW()-1,60),ROW()-1,FALSE))</f>
        <v>3095.8319999999999</v>
      </c>
      <c r="AE123">
        <f ca="1">IF(AND($B$183=1,LEN($AE$223)&gt;0),$AE$223*1000,HLOOKUP(INDIRECT(ADDRESS(2,COLUMN())),OFFSET($BN$2,0,0,ROW()-1,60),ROW()-1,FALSE))</f>
        <v>1712.742</v>
      </c>
      <c r="AF123">
        <f ca="1">IF(AND($B$183=1,LEN($AF$223)&gt;0),$AF$223*1000,HLOOKUP(INDIRECT(ADDRESS(2,COLUMN())),OFFSET($BN$2,0,0,ROW()-1,60),ROW()-1,FALSE))</f>
        <v>477.09</v>
      </c>
      <c r="AG123">
        <f ca="1">IF(AND($B$183=1,LEN($AG$223)&gt;0),$AG$223*1000,HLOOKUP(INDIRECT(ADDRESS(2,COLUMN())),OFFSET($BN$2,0,0,ROW()-1,60),ROW()-1,FALSE))</f>
        <v>1361.951</v>
      </c>
      <c r="AH123">
        <f ca="1">IF(AND($B$183=1,LEN($AH$223)&gt;0),$AH$223*1000,HLOOKUP(INDIRECT(ADDRESS(2,COLUMN())),OFFSET($BN$2,0,0,ROW()-1,60),ROW()-1,FALSE))</f>
        <v>1235.7560000000001</v>
      </c>
      <c r="AI123">
        <f ca="1">IF(AND($B$183=1,LEN($AI$223)&gt;0),$AI$223*1000,HLOOKUP(INDIRECT(ADDRESS(2,COLUMN())),OFFSET($BN$2,0,0,ROW()-1,60),ROW()-1,FALSE))</f>
        <v>1697.55</v>
      </c>
      <c r="AJ123">
        <f ca="1">IF(AND($B$183=1,LEN($AJ$223)&gt;0),$AJ$223*1000,HLOOKUP(INDIRECT(ADDRESS(2,COLUMN())),OFFSET($BN$2,0,0,ROW()-1,60),ROW()-1,FALSE))</f>
        <v>-29.954000000000001</v>
      </c>
      <c r="AK123">
        <f ca="1">IF(AND($B$183=1,LEN($AK$223)&gt;0),$AK$223*1000,HLOOKUP(INDIRECT(ADDRESS(2,COLUMN())),OFFSET($BN$2,0,0,ROW()-1,60),ROW()-1,FALSE))</f>
        <v>-109.652</v>
      </c>
      <c r="AL123">
        <f ca="1">IF(AND($B$183=1,LEN($AL$223)&gt;0),$AL$223*1000,HLOOKUP(INDIRECT(ADDRESS(2,COLUMN())),OFFSET($BN$2,0,0,ROW()-1,60),ROW()-1,FALSE))</f>
        <v>-454.56700000000001</v>
      </c>
      <c r="AM123">
        <f ca="1">IF(AND($B$183=1,LEN($AM$223)&gt;0),$AM$223*1000,HLOOKUP(INDIRECT(ADDRESS(2,COLUMN())),OFFSET($BN$2,0,0,ROW()-1,60),ROW()-1,FALSE))</f>
        <v>-328.46100000000001</v>
      </c>
      <c r="AN123">
        <f ca="1">IF(AND($B$183=1,LEN($AN$223)&gt;0),$AN$223*1000,HLOOKUP(INDIRECT(ADDRESS(2,COLUMN())),OFFSET($BN$2,0,0,ROW()-1,60),ROW()-1,FALSE))</f>
        <v>-205.78100000000001</v>
      </c>
      <c r="AO123">
        <f ca="1">IF(AND($B$183=1,LEN($AO$223)&gt;0),$AO$223*1000,HLOOKUP(INDIRECT(ADDRESS(2,COLUMN())),OFFSET($BN$2,0,0,ROW()-1,60),ROW()-1,FALSE))</f>
        <v>-43.155999999999999</v>
      </c>
      <c r="AP123">
        <f ca="1">IF(AND($B$183=1,LEN($AP$223)&gt;0),$AP$223*1000,HLOOKUP(INDIRECT(ADDRESS(2,COLUMN())),OFFSET($BN$2,0,0,ROW()-1,60),ROW()-1,FALSE))</f>
        <v>-135.29499999999999</v>
      </c>
      <c r="AQ123">
        <f ca="1">IF(AND($B$183=1,LEN($AQ$223)&gt;0),$AQ$223*1000,HLOOKUP(INDIRECT(ADDRESS(2,COLUMN())),OFFSET($BN$2,0,0,ROW()-1,60),ROW()-1,FALSE))</f>
        <v>310.95800000000003</v>
      </c>
      <c r="AR123">
        <f ca="1">IF(AND($B$183=1,LEN($AR$223)&gt;0),$AR$223*1000,HLOOKUP(INDIRECT(ADDRESS(2,COLUMN())),OFFSET($BN$2,0,0,ROW()-1,60),ROW()-1,FALSE))</f>
        <v>-208.04599999999999</v>
      </c>
      <c r="AS123">
        <f ca="1">IF(AND($B$183=1,LEN($AS$223)&gt;0),$AS$223*1000,HLOOKUP(INDIRECT(ADDRESS(2,COLUMN())),OFFSET($BN$2,0,0,ROW()-1,60),ROW()-1,FALSE))</f>
        <v>1138.039</v>
      </c>
      <c r="AT123">
        <f ca="1">IF(AND($B$183=1,LEN($AT$223)&gt;0),$AT$223*1000,HLOOKUP(INDIRECT(ADDRESS(2,COLUMN())),OFFSET($BN$2,0,0,ROW()-1,60),ROW()-1,FALSE))</f>
        <v>389.834</v>
      </c>
      <c r="AU123">
        <f ca="1">IF(AND($B$183=1,LEN($AU$223)&gt;0),$AU$223*1000,HLOOKUP(INDIRECT(ADDRESS(2,COLUMN())),OFFSET($BN$2,0,0,ROW()-1,60),ROW()-1,FALSE))</f>
        <v>1149.1600000000001</v>
      </c>
      <c r="AV123">
        <f ca="1">IF(AND($B$183=1,LEN($AV$223)&gt;0),$AV$223*1000,HLOOKUP(INDIRECT(ADDRESS(2,COLUMN())),OFFSET($BN$2,0,0,ROW()-1,60),ROW()-1,FALSE))</f>
        <v>2152.3530000000001</v>
      </c>
      <c r="AW123">
        <f ca="1">IF(AND($B$183=1,LEN($AW$223)&gt;0),$AW$223*1000,HLOOKUP(INDIRECT(ADDRESS(2,COLUMN())),OFFSET($BN$2,0,0,ROW()-1,60),ROW()-1,FALSE))</f>
        <v>8015.4740000000002</v>
      </c>
      <c r="AX123">
        <f ca="1">IF(AND($B$183=1,LEN($AX$223)&gt;0),$AX$223*1000,HLOOKUP(INDIRECT(ADDRESS(2,COLUMN())),OFFSET($BN$2,0,0,ROW()-1,60),ROW()-1,FALSE))</f>
        <v>5115.3609999999999</v>
      </c>
      <c r="AY123">
        <f ca="1">IF(AND($B$183=1,LEN($AY$223)&gt;0),$AY$223*1000,HLOOKUP(INDIRECT(ADDRESS(2,COLUMN())),OFFSET($BN$2,0,0,ROW()-1,60),ROW()-1,FALSE))</f>
        <v>1193.2149999999999</v>
      </c>
      <c r="AZ123">
        <f ca="1">IF(AND($B$183=1,LEN($AZ$223)&gt;0),$AZ$223*1000,HLOOKUP(INDIRECT(ADDRESS(2,COLUMN())),OFFSET($BN$2,0,0,ROW()-1,60),ROW()-1,FALSE))</f>
        <v>85.521000000000001</v>
      </c>
      <c r="BA123">
        <f ca="1">IF(AND($B$183=1,LEN($BA$223)&gt;0),$BA$223*1000,HLOOKUP(INDIRECT(ADDRESS(2,COLUMN())),OFFSET($BN$2,0,0,ROW()-1,60),ROW()-1,FALSE))</f>
        <v>1607.1279999999999</v>
      </c>
      <c r="BB123">
        <f ca="1">IF(AND($B$183=1,LEN($BB$223)&gt;0),$BB$223*1000,HLOOKUP(INDIRECT(ADDRESS(2,COLUMN())),OFFSET($BN$2,0,0,ROW()-1,60),ROW()-1,FALSE))</f>
        <v>1967.472</v>
      </c>
      <c r="BC123">
        <f ca="1">IF(AND($B$183=1,LEN($BC$223)&gt;0),$BC$223*1000,HLOOKUP(INDIRECT(ADDRESS(2,COLUMN())),OFFSET($BN$2,0,0,ROW()-1,60),ROW()-1,FALSE))</f>
        <v>1086.21</v>
      </c>
      <c r="BD123">
        <f ca="1">IF(AND($B$183=1,LEN($BD$223)&gt;0),$BD$223*1000,HLOOKUP(INDIRECT(ADDRESS(2,COLUMN())),OFFSET($BN$2,0,0,ROW()-1,60),ROW()-1,FALSE))</f>
        <v>5686.72</v>
      </c>
      <c r="BE123">
        <f ca="1">IF(AND($B$183=1,LEN($BE$223)&gt;0),$BE$223*1000,HLOOKUP(INDIRECT(ADDRESS(2,COLUMN())),OFFSET($BN$2,0,0,ROW()-1,60),ROW()-1,FALSE))</f>
        <v>4192.1260000000002</v>
      </c>
      <c r="BF123">
        <f ca="1">IF(AND($B$183=1,LEN($BF$223)&gt;0),$BF$223*1000,HLOOKUP(INDIRECT(ADDRESS(2,COLUMN())),OFFSET($BN$2,0,0,ROW()-1,60),ROW()-1,FALSE))</f>
        <v>16524.41</v>
      </c>
      <c r="BG123">
        <f ca="1">IF(AND($B$183=1,LEN($BG$223)&gt;0),$BG$223*1000,HLOOKUP(INDIRECT(ADDRESS(2,COLUMN())),OFFSET($BN$2,0,0,ROW()-1,60),ROW()-1,FALSE))</f>
        <v>1019.3</v>
      </c>
      <c r="BH123">
        <f ca="1">IF(AND($B$183=1,LEN($BH$223)&gt;0),$BH$223*1000,HLOOKUP(INDIRECT(ADDRESS(2,COLUMN())),OFFSET($BN$2,0,0,ROW()-1,60),ROW()-1,FALSE))</f>
        <v>5199.7619999999997</v>
      </c>
      <c r="BI123">
        <f ca="1">IF(AND($B$183=1,LEN($BI$223)&gt;0),$BI$223*1000,HLOOKUP(INDIRECT(ADDRESS(2,COLUMN())),OFFSET($BN$2,0,0,ROW()-1,60),ROW()-1,FALSE))</f>
        <v>1778.992</v>
      </c>
      <c r="BJ123">
        <f ca="1">IF(AND($B$183=1,LEN($BJ$223)&gt;0),$BJ$223*1000,HLOOKUP(INDIRECT(ADDRESS(2,COLUMN())),OFFSET($BN$2,0,0,ROW()-1,60),ROW()-1,FALSE))</f>
        <v>853.452</v>
      </c>
      <c r="BK123">
        <f ca="1">IF(AND($B$183=1,LEN($BK$223)&gt;0),$BK$223*1000,HLOOKUP(INDIRECT(ADDRESS(2,COLUMN())),OFFSET($BN$2,0,0,ROW()-1,60),ROW()-1,FALSE))</f>
        <v>-35.200000000000003</v>
      </c>
      <c r="BL123">
        <f ca="1">IF(AND($B$183=1,LEN($BL$223)&gt;0),$BL$223*1000,HLOOKUP(INDIRECT(ADDRESS(2,COLUMN())),OFFSET($BN$2,0,0,ROW()-1,60),ROW()-1,FALSE))</f>
        <v>234.6</v>
      </c>
      <c r="BM123">
        <f ca="1">IF(AND($B$183=1,LEN($BM$223)&gt;0),$BM$223*1000,HLOOKUP(INDIRECT(ADDRESS(2,COLUMN())),OFFSET($BN$2,0,0,ROW()-1,60),ROW()-1,FALSE))</f>
        <v>1199</v>
      </c>
      <c r="BN123">
        <f>-243.07</f>
        <v>-243.07</v>
      </c>
      <c r="BO123">
        <f>275.496</f>
        <v>275.49599999999998</v>
      </c>
      <c r="BP123">
        <f>-76.177</f>
        <v>-76.177000000000007</v>
      </c>
      <c r="BQ123">
        <f>991.732</f>
        <v>991.73199999999997</v>
      </c>
      <c r="BR123">
        <f>1305.898</f>
        <v>1305.8979999999999</v>
      </c>
      <c r="BS123">
        <f>26.382</f>
        <v>26.382000000000001</v>
      </c>
      <c r="BT123">
        <f>1767.632</f>
        <v>1767.6320000000001</v>
      </c>
      <c r="BU123">
        <f>-414.27</f>
        <v>-414.27</v>
      </c>
      <c r="BV123">
        <f>-1250.897</f>
        <v>-1250.8969999999999</v>
      </c>
      <c r="BW123">
        <f>3154.205</f>
        <v>3154.2049999999999</v>
      </c>
      <c r="BX123">
        <f>1720.761</f>
        <v>1720.761</v>
      </c>
      <c r="BY123">
        <f>5080.56</f>
        <v>5080.5600000000004</v>
      </c>
      <c r="BZ123">
        <f>347.377</f>
        <v>347.37700000000001</v>
      </c>
      <c r="CA123">
        <f>6955.236</f>
        <v>6955.2359999999999</v>
      </c>
      <c r="CB123">
        <f>2593.481</f>
        <v>2593.4810000000002</v>
      </c>
      <c r="CC123">
        <f>13517.85</f>
        <v>13517.85</v>
      </c>
      <c r="CD123">
        <f>3934.972</f>
        <v>3934.9720000000002</v>
      </c>
      <c r="CE123">
        <f>7238.699</f>
        <v>7238.6989999999996</v>
      </c>
      <c r="CF123">
        <f>1367.598</f>
        <v>1367.598</v>
      </c>
      <c r="CG123">
        <f>6328.325</f>
        <v>6328.3249999999998</v>
      </c>
      <c r="CH123">
        <f>1393.326</f>
        <v>1393.326</v>
      </c>
      <c r="CI123">
        <f>340.596</f>
        <v>340.596</v>
      </c>
      <c r="CJ123">
        <f>2951.628</f>
        <v>2951.6280000000002</v>
      </c>
      <c r="CK123">
        <f>4162.448</f>
        <v>4162.4480000000003</v>
      </c>
      <c r="CL123">
        <f>3095.832</f>
        <v>3095.8319999999999</v>
      </c>
      <c r="CM123">
        <f>1712.742</f>
        <v>1712.742</v>
      </c>
      <c r="CN123">
        <f>477.09</f>
        <v>477.09</v>
      </c>
      <c r="CO123">
        <f>1361.951</f>
        <v>1361.951</v>
      </c>
      <c r="CP123">
        <f>1235.756</f>
        <v>1235.7560000000001</v>
      </c>
      <c r="CQ123">
        <f>1697.55</f>
        <v>1697.55</v>
      </c>
      <c r="CR123">
        <f>-29.954</f>
        <v>-29.954000000000001</v>
      </c>
      <c r="CS123">
        <f>-109.652</f>
        <v>-109.652</v>
      </c>
      <c r="CT123">
        <f>-454.567</f>
        <v>-454.56700000000001</v>
      </c>
      <c r="CU123">
        <f>-328.461</f>
        <v>-328.46100000000001</v>
      </c>
      <c r="CV123">
        <f>-205.781</f>
        <v>-205.78100000000001</v>
      </c>
      <c r="CW123">
        <f>-43.156</f>
        <v>-43.155999999999999</v>
      </c>
      <c r="CX123">
        <f>-135.295</f>
        <v>-135.29499999999999</v>
      </c>
      <c r="CY123">
        <f>310.958</f>
        <v>310.95800000000003</v>
      </c>
      <c r="CZ123">
        <f>-208.046</f>
        <v>-208.04599999999999</v>
      </c>
      <c r="DA123">
        <f>1138.039</f>
        <v>1138.039</v>
      </c>
      <c r="DB123">
        <f>389.834</f>
        <v>389.834</v>
      </c>
      <c r="DC123">
        <f>1149.16</f>
        <v>1149.1600000000001</v>
      </c>
      <c r="DD123">
        <f>2152.353</f>
        <v>2152.3530000000001</v>
      </c>
      <c r="DE123">
        <f>8015.474</f>
        <v>8015.4740000000002</v>
      </c>
      <c r="DF123">
        <f>5115.361</f>
        <v>5115.3609999999999</v>
      </c>
      <c r="DG123">
        <f>1193.215</f>
        <v>1193.2149999999999</v>
      </c>
      <c r="DH123">
        <f>85.521</f>
        <v>85.521000000000001</v>
      </c>
      <c r="DI123">
        <f>1607.128</f>
        <v>1607.1279999999999</v>
      </c>
      <c r="DJ123">
        <f>1967.472</f>
        <v>1967.472</v>
      </c>
      <c r="DK123">
        <f>1086.21</f>
        <v>1086.21</v>
      </c>
      <c r="DL123">
        <f>5686.72</f>
        <v>5686.72</v>
      </c>
      <c r="DM123">
        <f>4192.126</f>
        <v>4192.1260000000002</v>
      </c>
      <c r="DN123">
        <f>16524.41</f>
        <v>16524.41</v>
      </c>
      <c r="DO123">
        <f>1019.3</f>
        <v>1019.3</v>
      </c>
      <c r="DP123">
        <f>5199.762</f>
        <v>5199.7619999999997</v>
      </c>
      <c r="DQ123">
        <f>1778.992</f>
        <v>1778.992</v>
      </c>
      <c r="DR123">
        <f>853.452</f>
        <v>853.452</v>
      </c>
      <c r="DS123">
        <f>-35.2</f>
        <v>-35.200000000000003</v>
      </c>
      <c r="DT123">
        <f>234.6</f>
        <v>234.6</v>
      </c>
      <c r="DU123">
        <f>1199</f>
        <v>1199</v>
      </c>
    </row>
    <row r="124" spans="1:125">
      <c r="A124" t="str">
        <f>"    Shopping Center REITs"</f>
        <v xml:space="preserve">    Shopping Center REITs</v>
      </c>
      <c r="B124" t="str">
        <f>"RECFNASC Index"</f>
        <v>RECFNASC Index</v>
      </c>
      <c r="E124" t="str">
        <f t="shared" si="27"/>
        <v>Expression</v>
      </c>
      <c r="F124">
        <f ca="1">IF(AND($B$183=1,LEN($F$224)&gt;0),$F$224*1000,HLOOKUP(INDIRECT(ADDRESS(2,COLUMN())),OFFSET($BN$2,0,0,ROW()-1,60),ROW()-1,FALSE))</f>
        <v>-1187.2809999999999</v>
      </c>
      <c r="G124">
        <f ca="1">IF(AND($B$183=1,LEN($G$224)&gt;0),$G$224*1000,HLOOKUP(INDIRECT(ADDRESS(2,COLUMN())),OFFSET($BN$2,0,0,ROW()-1,60),ROW()-1,FALSE))</f>
        <v>-495.11</v>
      </c>
      <c r="H124">
        <f ca="1">IF(AND($B$183=1,LEN($H$224)&gt;0),$H$224*1000,HLOOKUP(INDIRECT(ADDRESS(2,COLUMN())),OFFSET($BN$2,0,0,ROW()-1,60),ROW()-1,FALSE))</f>
        <v>-459.125</v>
      </c>
      <c r="I124">
        <f ca="1">IF(AND($B$183=1,LEN($I$224)&gt;0),$I$224*1000,HLOOKUP(INDIRECT(ADDRESS(2,COLUMN())),OFFSET($BN$2,0,0,ROW()-1,60),ROW()-1,FALSE))</f>
        <v>454.33800000000002</v>
      </c>
      <c r="J124">
        <f ca="1">IF(AND($B$183=1,LEN($J$224)&gt;0),$J$224*1000,HLOOKUP(INDIRECT(ADDRESS(2,COLUMN())),OFFSET($BN$2,0,0,ROW()-1,60),ROW()-1,FALSE))</f>
        <v>-220.756</v>
      </c>
      <c r="K124">
        <f ca="1">IF(AND($B$183=1,LEN($K$224)&gt;0),$K$224*1000,HLOOKUP(INDIRECT(ADDRESS(2,COLUMN())),OFFSET($BN$2,0,0,ROW()-1,60),ROW()-1,FALSE))</f>
        <v>594.21100000000001</v>
      </c>
      <c r="L124">
        <f ca="1">IF(AND($B$183=1,LEN($L$224)&gt;0),$L$224*1000,HLOOKUP(INDIRECT(ADDRESS(2,COLUMN())),OFFSET($BN$2,0,0,ROW()-1,60),ROW()-1,FALSE))</f>
        <v>327.44099999999997</v>
      </c>
      <c r="M124">
        <f ca="1">IF(AND($B$183=1,LEN($M$224)&gt;0),$M$224*1000,HLOOKUP(INDIRECT(ADDRESS(2,COLUMN())),OFFSET($BN$2,0,0,ROW()-1,60),ROW()-1,FALSE))</f>
        <v>-560.476</v>
      </c>
      <c r="N124">
        <f ca="1">IF(AND($B$183=1,LEN($N$224)&gt;0),$N$224*1000,HLOOKUP(INDIRECT(ADDRESS(2,COLUMN())),OFFSET($BN$2,0,0,ROW()-1,60),ROW()-1,FALSE))</f>
        <v>-679.71699999999998</v>
      </c>
      <c r="O124">
        <f ca="1">IF(AND($B$183=1,LEN($O$224)&gt;0),$O$224*1000,HLOOKUP(INDIRECT(ADDRESS(2,COLUMN())),OFFSET($BN$2,0,0,ROW()-1,60),ROW()-1,FALSE))</f>
        <v>-150.739</v>
      </c>
      <c r="P124">
        <f ca="1">IF(AND($B$183=1,LEN($P$224)&gt;0),$P$224*1000,HLOOKUP(INDIRECT(ADDRESS(2,COLUMN())),OFFSET($BN$2,0,0,ROW()-1,60),ROW()-1,FALSE))</f>
        <v>226.292</v>
      </c>
      <c r="Q124">
        <f ca="1">IF(AND($B$183=1,LEN($Q$224)&gt;0),$Q$224*1000,HLOOKUP(INDIRECT(ADDRESS(2,COLUMN())),OFFSET($BN$2,0,0,ROW()-1,60),ROW()-1,FALSE))</f>
        <v>962.53300000000002</v>
      </c>
      <c r="R124">
        <f ca="1">IF(AND($B$183=1,LEN($R$224)&gt;0),$R$224*1000,HLOOKUP(INDIRECT(ADDRESS(2,COLUMN())),OFFSET($BN$2,0,0,ROW()-1,60),ROW()-1,FALSE))</f>
        <v>1260.492</v>
      </c>
      <c r="S124">
        <f ca="1">IF(AND($B$183=1,LEN($S$224)&gt;0),$S$224*1000,HLOOKUP(INDIRECT(ADDRESS(2,COLUMN())),OFFSET($BN$2,0,0,ROW()-1,60),ROW()-1,FALSE))</f>
        <v>2321.2959999999998</v>
      </c>
      <c r="T124">
        <f ca="1">IF(AND($B$183=1,LEN($T$224)&gt;0),$T$224*1000,HLOOKUP(INDIRECT(ADDRESS(2,COLUMN())),OFFSET($BN$2,0,0,ROW()-1,60),ROW()-1,FALSE))</f>
        <v>504.541</v>
      </c>
      <c r="U124">
        <f ca="1">IF(AND($B$183=1,LEN($U$224)&gt;0),$U$224*1000,HLOOKUP(INDIRECT(ADDRESS(2,COLUMN())),OFFSET($BN$2,0,0,ROW()-1,60),ROW()-1,FALSE))</f>
        <v>370.88099999999997</v>
      </c>
      <c r="V124">
        <f ca="1">IF(AND($B$183=1,LEN($V$224)&gt;0),$V$224*1000,HLOOKUP(INDIRECT(ADDRESS(2,COLUMN())),OFFSET($BN$2,0,0,ROW()-1,60),ROW()-1,FALSE))</f>
        <v>1483.462</v>
      </c>
      <c r="W124">
        <f ca="1">IF(AND($B$183=1,LEN($W$224)&gt;0),$W$224*1000,HLOOKUP(INDIRECT(ADDRESS(2,COLUMN())),OFFSET($BN$2,0,0,ROW()-1,60),ROW()-1,FALSE))</f>
        <v>178.565</v>
      </c>
      <c r="X124">
        <f ca="1">IF(AND($B$183=1,LEN($X$224)&gt;0),$X$224*1000,HLOOKUP(INDIRECT(ADDRESS(2,COLUMN())),OFFSET($BN$2,0,0,ROW()-1,60),ROW()-1,FALSE))</f>
        <v>235.17500000000001</v>
      </c>
      <c r="Y124">
        <f ca="1">IF(AND($B$183=1,LEN($Y$224)&gt;0),$Y$224*1000,HLOOKUP(INDIRECT(ADDRESS(2,COLUMN())),OFFSET($BN$2,0,0,ROW()-1,60),ROW()-1,FALSE))</f>
        <v>761.20899999999995</v>
      </c>
      <c r="Z124">
        <f ca="1">IF(AND($B$183=1,LEN($Z$224)&gt;0),$Z$224*1000,HLOOKUP(INDIRECT(ADDRESS(2,COLUMN())),OFFSET($BN$2,0,0,ROW()-1,60),ROW()-1,FALSE))</f>
        <v>-776.17499999999995</v>
      </c>
      <c r="AA124">
        <f ca="1">IF(AND($B$183=1,LEN($AA$224)&gt;0),$AA$224*1000,HLOOKUP(INDIRECT(ADDRESS(2,COLUMN())),OFFSET($BN$2,0,0,ROW()-1,60),ROW()-1,FALSE))</f>
        <v>1.5780000000000001</v>
      </c>
      <c r="AB124">
        <f ca="1">IF(AND($B$183=1,LEN($AB$224)&gt;0),$AB$224*1000,HLOOKUP(INDIRECT(ADDRESS(2,COLUMN())),OFFSET($BN$2,0,0,ROW()-1,60),ROW()-1,FALSE))</f>
        <v>1828.7239999999999</v>
      </c>
      <c r="AC124">
        <f ca="1">IF(AND($B$183=1,LEN($AC$224)&gt;0),$AC$224*1000,HLOOKUP(INDIRECT(ADDRESS(2,COLUMN())),OFFSET($BN$2,0,0,ROW()-1,60),ROW()-1,FALSE))</f>
        <v>445.178</v>
      </c>
      <c r="AD124">
        <f ca="1">IF(AND($B$183=1,LEN($AD$224)&gt;0),$AD$224*1000,HLOOKUP(INDIRECT(ADDRESS(2,COLUMN())),OFFSET($BN$2,0,0,ROW()-1,60),ROW()-1,FALSE))</f>
        <v>502.92899999999997</v>
      </c>
      <c r="AE124">
        <f ca="1">IF(AND($B$183=1,LEN($AE$224)&gt;0),$AE$224*1000,HLOOKUP(INDIRECT(ADDRESS(2,COLUMN())),OFFSET($BN$2,0,0,ROW()-1,60),ROW()-1,FALSE))</f>
        <v>684.94600000000003</v>
      </c>
      <c r="AF124">
        <f ca="1">IF(AND($B$183=1,LEN($AF$224)&gt;0),$AF$224*1000,HLOOKUP(INDIRECT(ADDRESS(2,COLUMN())),OFFSET($BN$2,0,0,ROW()-1,60),ROW()-1,FALSE))</f>
        <v>355.33100000000002</v>
      </c>
      <c r="AG124">
        <f ca="1">IF(AND($B$183=1,LEN($AG$224)&gt;0),$AG$224*1000,HLOOKUP(INDIRECT(ADDRESS(2,COLUMN())),OFFSET($BN$2,0,0,ROW()-1,60),ROW()-1,FALSE))</f>
        <v>982.13</v>
      </c>
      <c r="AH124">
        <f ca="1">IF(AND($B$183=1,LEN($AH$224)&gt;0),$AH$224*1000,HLOOKUP(INDIRECT(ADDRESS(2,COLUMN())),OFFSET($BN$2,0,0,ROW()-1,60),ROW()-1,FALSE))</f>
        <v>482.41500000000002</v>
      </c>
      <c r="AI124">
        <f ca="1">IF(AND($B$183=1,LEN($AI$224)&gt;0),$AI$224*1000,HLOOKUP(INDIRECT(ADDRESS(2,COLUMN())),OFFSET($BN$2,0,0,ROW()-1,60),ROW()-1,FALSE))</f>
        <v>355.95800000000003</v>
      </c>
      <c r="AJ124">
        <f ca="1">IF(AND($B$183=1,LEN($AJ$224)&gt;0),$AJ$224*1000,HLOOKUP(INDIRECT(ADDRESS(2,COLUMN())),OFFSET($BN$2,0,0,ROW()-1,60),ROW()-1,FALSE))</f>
        <v>91.122</v>
      </c>
      <c r="AK124">
        <f ca="1">IF(AND($B$183=1,LEN($AK$224)&gt;0),$AK$224*1000,HLOOKUP(INDIRECT(ADDRESS(2,COLUMN())),OFFSET($BN$2,0,0,ROW()-1,60),ROW()-1,FALSE))</f>
        <v>-131.351</v>
      </c>
      <c r="AL124">
        <f ca="1">IF(AND($B$183=1,LEN($AL$224)&gt;0),$AL$224*1000,HLOOKUP(INDIRECT(ADDRESS(2,COLUMN())),OFFSET($BN$2,0,0,ROW()-1,60),ROW()-1,FALSE))</f>
        <v>-362.26799999999997</v>
      </c>
      <c r="AM124">
        <f ca="1">IF(AND($B$183=1,LEN($AM$224)&gt;0),$AM$224*1000,HLOOKUP(INDIRECT(ADDRESS(2,COLUMN())),OFFSET($BN$2,0,0,ROW()-1,60),ROW()-1,FALSE))</f>
        <v>-365.834</v>
      </c>
      <c r="AN124">
        <f ca="1">IF(AND($B$183=1,LEN($AN$224)&gt;0),$AN$224*1000,HLOOKUP(INDIRECT(ADDRESS(2,COLUMN())),OFFSET($BN$2,0,0,ROW()-1,60),ROW()-1,FALSE))</f>
        <v>-194.89699999999999</v>
      </c>
      <c r="AO124">
        <f ca="1">IF(AND($B$183=1,LEN($AO$224)&gt;0),$AO$224*1000,HLOOKUP(INDIRECT(ADDRESS(2,COLUMN())),OFFSET($BN$2,0,0,ROW()-1,60),ROW()-1,FALSE))</f>
        <v>-18.734999999999999</v>
      </c>
      <c r="AP124">
        <f ca="1">IF(AND($B$183=1,LEN($AP$224)&gt;0),$AP$224*1000,HLOOKUP(INDIRECT(ADDRESS(2,COLUMN())),OFFSET($BN$2,0,0,ROW()-1,60),ROW()-1,FALSE))</f>
        <v>-138.773</v>
      </c>
      <c r="AQ124">
        <f ca="1">IF(AND($B$183=1,LEN($AQ$224)&gt;0),$AQ$224*1000,HLOOKUP(INDIRECT(ADDRESS(2,COLUMN())),OFFSET($BN$2,0,0,ROW()-1,60),ROW()-1,FALSE))</f>
        <v>339.66</v>
      </c>
      <c r="AR124">
        <f ca="1">IF(AND($B$183=1,LEN($AR$224)&gt;0),$AR$224*1000,HLOOKUP(INDIRECT(ADDRESS(2,COLUMN())),OFFSET($BN$2,0,0,ROW()-1,60),ROW()-1,FALSE))</f>
        <v>-139.63499999999999</v>
      </c>
      <c r="AS124">
        <f ca="1">IF(AND($B$183=1,LEN($AS$224)&gt;0),$AS$224*1000,HLOOKUP(INDIRECT(ADDRESS(2,COLUMN())),OFFSET($BN$2,0,0,ROW()-1,60),ROW()-1,FALSE))</f>
        <v>127.761</v>
      </c>
      <c r="AT124">
        <f ca="1">IF(AND($B$183=1,LEN($AT$224)&gt;0),$AT$224*1000,HLOOKUP(INDIRECT(ADDRESS(2,COLUMN())),OFFSET($BN$2,0,0,ROW()-1,60),ROW()-1,FALSE))</f>
        <v>57.012999999999998</v>
      </c>
      <c r="AU124">
        <f ca="1">IF(AND($B$183=1,LEN($AU$224)&gt;0),$AU$224*1000,HLOOKUP(INDIRECT(ADDRESS(2,COLUMN())),OFFSET($BN$2,0,0,ROW()-1,60),ROW()-1,FALSE))</f>
        <v>781.18600000000004</v>
      </c>
      <c r="AV124">
        <f ca="1">IF(AND($B$183=1,LEN($AV$224)&gt;0),$AV$224*1000,HLOOKUP(INDIRECT(ADDRESS(2,COLUMN())),OFFSET($BN$2,0,0,ROW()-1,60),ROW()-1,FALSE))</f>
        <v>1835.3109999999999</v>
      </c>
      <c r="AW124">
        <f ca="1">IF(AND($B$183=1,LEN($AW$224)&gt;0),$AW$224*1000,HLOOKUP(INDIRECT(ADDRESS(2,COLUMN())),OFFSET($BN$2,0,0,ROW()-1,60),ROW()-1,FALSE))</f>
        <v>7819.5780000000004</v>
      </c>
      <c r="AX124">
        <f ca="1">IF(AND($B$183=1,LEN($AX$224)&gt;0),$AX$224*1000,HLOOKUP(INDIRECT(ADDRESS(2,COLUMN())),OFFSET($BN$2,0,0,ROW()-1,60),ROW()-1,FALSE))</f>
        <v>4380.2790000000005</v>
      </c>
      <c r="AY124">
        <f ca="1">IF(AND($B$183=1,LEN($AY$224)&gt;0),$AY$224*1000,HLOOKUP(INDIRECT(ADDRESS(2,COLUMN())),OFFSET($BN$2,0,0,ROW()-1,60),ROW()-1,FALSE))</f>
        <v>1165.0909999999999</v>
      </c>
      <c r="AZ124">
        <f ca="1">IF(AND($B$183=1,LEN($AZ$224)&gt;0),$AZ$224*1000,HLOOKUP(INDIRECT(ADDRESS(2,COLUMN())),OFFSET($BN$2,0,0,ROW()-1,60),ROW()-1,FALSE))</f>
        <v>401.15600000000001</v>
      </c>
      <c r="BA124">
        <f ca="1">IF(AND($B$183=1,LEN($BA$224)&gt;0),$BA$224*1000,HLOOKUP(INDIRECT(ADDRESS(2,COLUMN())),OFFSET($BN$2,0,0,ROW()-1,60),ROW()-1,FALSE))</f>
        <v>1190.3109999999999</v>
      </c>
      <c r="BB124">
        <f ca="1">IF(AND($B$183=1,LEN($BB$224)&gt;0),$BB$224*1000,HLOOKUP(INDIRECT(ADDRESS(2,COLUMN())),OFFSET($BN$2,0,0,ROW()-1,60),ROW()-1,FALSE))</f>
        <v>892.23400000000004</v>
      </c>
      <c r="BC124">
        <f ca="1">IF(AND($B$183=1,LEN($BC$224)&gt;0),$BC$224*1000,HLOOKUP(INDIRECT(ADDRESS(2,COLUMN())),OFFSET($BN$2,0,0,ROW()-1,60),ROW()-1,FALSE))</f>
        <v>691.44299999999998</v>
      </c>
      <c r="BD124">
        <f ca="1">IF(AND($B$183=1,LEN($BD$224)&gt;0),$BD$224*1000,HLOOKUP(INDIRECT(ADDRESS(2,COLUMN())),OFFSET($BN$2,0,0,ROW()-1,60),ROW()-1,FALSE))</f>
        <v>3376.9920000000002</v>
      </c>
      <c r="BE124">
        <f ca="1">IF(AND($B$183=1,LEN($BE$224)&gt;0),$BE$224*1000,HLOOKUP(INDIRECT(ADDRESS(2,COLUMN())),OFFSET($BN$2,0,0,ROW()-1,60),ROW()-1,FALSE))</f>
        <v>2026.3389999999999</v>
      </c>
      <c r="BF124">
        <f ca="1">IF(AND($B$183=1,LEN($BF$224)&gt;0),$BF$224*1000,HLOOKUP(INDIRECT(ADDRESS(2,COLUMN())),OFFSET($BN$2,0,0,ROW()-1,60),ROW()-1,FALSE))</f>
        <v>1573.61</v>
      </c>
      <c r="BG124">
        <f ca="1">IF(AND($B$183=1,LEN($BG$224)&gt;0),$BG$224*1000,HLOOKUP(INDIRECT(ADDRESS(2,COLUMN())),OFFSET($BN$2,0,0,ROW()-1,60),ROW()-1,FALSE))</f>
        <v>501.10599999999999</v>
      </c>
      <c r="BH124">
        <f ca="1">IF(AND($B$183=1,LEN($BH$224)&gt;0),$BH$224*1000,HLOOKUP(INDIRECT(ADDRESS(2,COLUMN())),OFFSET($BN$2,0,0,ROW()-1,60),ROW()-1,FALSE))</f>
        <v>3476.6869999999999</v>
      </c>
      <c r="BI124">
        <f ca="1">IF(AND($B$183=1,LEN($BI$224)&gt;0),$BI$224*1000,HLOOKUP(INDIRECT(ADDRESS(2,COLUMN())),OFFSET($BN$2,0,0,ROW()-1,60),ROW()-1,FALSE))</f>
        <v>926.48099999999999</v>
      </c>
      <c r="BJ124">
        <f ca="1">IF(AND($B$183=1,LEN($BJ$224)&gt;0),$BJ$224*1000,HLOOKUP(INDIRECT(ADDRESS(2,COLUMN())),OFFSET($BN$2,0,0,ROW()-1,60),ROW()-1,FALSE))</f>
        <v>858.25199999999995</v>
      </c>
      <c r="BK124">
        <f ca="1">IF(AND($B$183=1,LEN($BK$224)&gt;0),$BK$224*1000,HLOOKUP(INDIRECT(ADDRESS(2,COLUMN())),OFFSET($BN$2,0,0,ROW()-1,60),ROW()-1,FALSE))</f>
        <v>-40</v>
      </c>
      <c r="BL124">
        <f ca="1">IF(AND($B$183=1,LEN($BL$224)&gt;0),$BL$224*1000,HLOOKUP(INDIRECT(ADDRESS(2,COLUMN())),OFFSET($BN$2,0,0,ROW()-1,60),ROW()-1,FALSE))</f>
        <v>234.6</v>
      </c>
      <c r="BM124">
        <f ca="1">IF(AND($B$183=1,LEN($BM$224)&gt;0),$BM$224*1000,HLOOKUP(INDIRECT(ADDRESS(2,COLUMN())),OFFSET($BN$2,0,0,ROW()-1,60),ROW()-1,FALSE))</f>
        <v>1199</v>
      </c>
      <c r="BN124">
        <f>-1187.281</f>
        <v>-1187.2809999999999</v>
      </c>
      <c r="BO124">
        <f>-495.11</f>
        <v>-495.11</v>
      </c>
      <c r="BP124">
        <f>-459.125</f>
        <v>-459.125</v>
      </c>
      <c r="BQ124">
        <f>454.338</f>
        <v>454.33800000000002</v>
      </c>
      <c r="BR124">
        <f>-220.756</f>
        <v>-220.756</v>
      </c>
      <c r="BS124">
        <f>594.211</f>
        <v>594.21100000000001</v>
      </c>
      <c r="BT124">
        <f>327.441</f>
        <v>327.44099999999997</v>
      </c>
      <c r="BU124">
        <f>-560.476</f>
        <v>-560.476</v>
      </c>
      <c r="BV124">
        <f>-679.717</f>
        <v>-679.71699999999998</v>
      </c>
      <c r="BW124">
        <f>-150.739</f>
        <v>-150.739</v>
      </c>
      <c r="BX124">
        <f>226.292</f>
        <v>226.292</v>
      </c>
      <c r="BY124">
        <f>962.533</f>
        <v>962.53300000000002</v>
      </c>
      <c r="BZ124">
        <f>1260.492</f>
        <v>1260.492</v>
      </c>
      <c r="CA124">
        <f>2321.296</f>
        <v>2321.2959999999998</v>
      </c>
      <c r="CB124">
        <f>504.541</f>
        <v>504.541</v>
      </c>
      <c r="CC124">
        <f>370.881</f>
        <v>370.88099999999997</v>
      </c>
      <c r="CD124">
        <f>1483.462</f>
        <v>1483.462</v>
      </c>
      <c r="CE124">
        <f>178.565</f>
        <v>178.565</v>
      </c>
      <c r="CF124">
        <f>235.175</f>
        <v>235.17500000000001</v>
      </c>
      <c r="CG124">
        <f>761.209</f>
        <v>761.20899999999995</v>
      </c>
      <c r="CH124">
        <f>-776.175</f>
        <v>-776.17499999999995</v>
      </c>
      <c r="CI124">
        <f>1.578</f>
        <v>1.5780000000000001</v>
      </c>
      <c r="CJ124">
        <f>1828.724</f>
        <v>1828.7239999999999</v>
      </c>
      <c r="CK124">
        <f>445.178</f>
        <v>445.178</v>
      </c>
      <c r="CL124">
        <f>502.929</f>
        <v>502.92899999999997</v>
      </c>
      <c r="CM124">
        <f>684.946</f>
        <v>684.94600000000003</v>
      </c>
      <c r="CN124">
        <f>355.331</f>
        <v>355.33100000000002</v>
      </c>
      <c r="CO124">
        <f>982.13</f>
        <v>982.13</v>
      </c>
      <c r="CP124">
        <f>482.415</f>
        <v>482.41500000000002</v>
      </c>
      <c r="CQ124">
        <f>355.958</f>
        <v>355.95800000000003</v>
      </c>
      <c r="CR124">
        <f>91.122</f>
        <v>91.122</v>
      </c>
      <c r="CS124">
        <f>-131.351</f>
        <v>-131.351</v>
      </c>
      <c r="CT124">
        <f>-362.268</f>
        <v>-362.26799999999997</v>
      </c>
      <c r="CU124">
        <f>-365.834</f>
        <v>-365.834</v>
      </c>
      <c r="CV124">
        <f>-194.897</f>
        <v>-194.89699999999999</v>
      </c>
      <c r="CW124">
        <f>-18.735</f>
        <v>-18.734999999999999</v>
      </c>
      <c r="CX124">
        <f>-138.773</f>
        <v>-138.773</v>
      </c>
      <c r="CY124">
        <f>339.66</f>
        <v>339.66</v>
      </c>
      <c r="CZ124">
        <f>-139.635</f>
        <v>-139.63499999999999</v>
      </c>
      <c r="DA124">
        <f>127.761</f>
        <v>127.761</v>
      </c>
      <c r="DB124">
        <f>57.013</f>
        <v>57.012999999999998</v>
      </c>
      <c r="DC124">
        <f>781.186</f>
        <v>781.18600000000004</v>
      </c>
      <c r="DD124">
        <f>1835.311</f>
        <v>1835.3109999999999</v>
      </c>
      <c r="DE124">
        <f>7819.578</f>
        <v>7819.5780000000004</v>
      </c>
      <c r="DF124">
        <f>4380.279</f>
        <v>4380.2790000000005</v>
      </c>
      <c r="DG124">
        <f>1165.091</f>
        <v>1165.0909999999999</v>
      </c>
      <c r="DH124">
        <f>401.156</f>
        <v>401.15600000000001</v>
      </c>
      <c r="DI124">
        <f>1190.311</f>
        <v>1190.3109999999999</v>
      </c>
      <c r="DJ124">
        <f>892.234</f>
        <v>892.23400000000004</v>
      </c>
      <c r="DK124">
        <f>691.443</f>
        <v>691.44299999999998</v>
      </c>
      <c r="DL124">
        <f>3376.992</f>
        <v>3376.9920000000002</v>
      </c>
      <c r="DM124">
        <f>2026.339</f>
        <v>2026.3389999999999</v>
      </c>
      <c r="DN124">
        <f>1573.61</f>
        <v>1573.61</v>
      </c>
      <c r="DO124">
        <f>501.106</f>
        <v>501.10599999999999</v>
      </c>
      <c r="DP124">
        <f>3476.687</f>
        <v>3476.6869999999999</v>
      </c>
      <c r="DQ124">
        <f>926.481</f>
        <v>926.48099999999999</v>
      </c>
      <c r="DR124">
        <f>858.252</f>
        <v>858.25199999999995</v>
      </c>
      <c r="DS124">
        <f>-40</f>
        <v>-40</v>
      </c>
      <c r="DT124">
        <f>234.6</f>
        <v>234.6</v>
      </c>
      <c r="DU124">
        <f>1199</f>
        <v>1199</v>
      </c>
    </row>
    <row r="125" spans="1:125">
      <c r="A125" t="str">
        <f>"    Regional Mall REITs"</f>
        <v xml:space="preserve">    Regional Mall REITs</v>
      </c>
      <c r="B125" t="str">
        <f>"RECFNARM Index"</f>
        <v>RECFNARM Index</v>
      </c>
      <c r="E125" t="str">
        <f t="shared" si="27"/>
        <v>Expression</v>
      </c>
      <c r="F125">
        <f ca="1">IF(AND($B$183=1,LEN($F$225)&gt;0),$F$225*1000,HLOOKUP(INDIRECT(ADDRESS(2,COLUMN())),OFFSET($BN$2,0,0,ROW()-1,60),ROW()-1,FALSE))</f>
        <v>-21</v>
      </c>
      <c r="G125">
        <f ca="1">IF(AND($B$183=1,LEN($G$225)&gt;0),$G$225*1000,HLOOKUP(INDIRECT(ADDRESS(2,COLUMN())),OFFSET($BN$2,0,0,ROW()-1,60),ROW()-1,FALSE))</f>
        <v>247.31100000000001</v>
      </c>
      <c r="H125">
        <f ca="1">IF(AND($B$183=1,LEN($H$225)&gt;0),$H$225*1000,HLOOKUP(INDIRECT(ADDRESS(2,COLUMN())),OFFSET($BN$2,0,0,ROW()-1,60),ROW()-1,FALSE))</f>
        <v>-416</v>
      </c>
      <c r="I125">
        <f ca="1">IF(AND($B$183=1,LEN($I$225)&gt;0),$I$225*1000,HLOOKUP(INDIRECT(ADDRESS(2,COLUMN())),OFFSET($BN$2,0,0,ROW()-1,60),ROW()-1,FALSE))</f>
        <v>-311.60399999999998</v>
      </c>
      <c r="J125">
        <f ca="1">IF(AND($B$183=1,LEN($J$225)&gt;0),$J$225*1000,HLOOKUP(INDIRECT(ADDRESS(2,COLUMN())),OFFSET($BN$2,0,0,ROW()-1,60),ROW()-1,FALSE))</f>
        <v>169.95</v>
      </c>
      <c r="K125">
        <f ca="1">IF(AND($B$183=1,LEN($K$225)&gt;0),$K$225*1000,HLOOKUP(INDIRECT(ADDRESS(2,COLUMN())),OFFSET($BN$2,0,0,ROW()-1,60),ROW()-1,FALSE))</f>
        <v>-1474.8</v>
      </c>
      <c r="L125">
        <f ca="1">IF(AND($B$183=1,LEN($L$225)&gt;0),$L$225*1000,HLOOKUP(INDIRECT(ADDRESS(2,COLUMN())),OFFSET($BN$2,0,0,ROW()-1,60),ROW()-1,FALSE))</f>
        <v>329.59</v>
      </c>
      <c r="M125">
        <f ca="1">IF(AND($B$183=1,LEN($M$225)&gt;0),$M$225*1000,HLOOKUP(INDIRECT(ADDRESS(2,COLUMN())),OFFSET($BN$2,0,0,ROW()-1,60),ROW()-1,FALSE))</f>
        <v>-500.08499999999998</v>
      </c>
      <c r="N125">
        <f ca="1">IF(AND($B$183=1,LEN($N$225)&gt;0),$N$225*1000,HLOOKUP(INDIRECT(ADDRESS(2,COLUMN())),OFFSET($BN$2,0,0,ROW()-1,60),ROW()-1,FALSE))</f>
        <v>-1296.126</v>
      </c>
      <c r="O125">
        <f ca="1">IF(AND($B$183=1,LEN($O$225)&gt;0),$O$225*1000,HLOOKUP(INDIRECT(ADDRESS(2,COLUMN())),OFFSET($BN$2,0,0,ROW()-1,60),ROW()-1,FALSE))</f>
        <v>-71.400000000000006</v>
      </c>
      <c r="P125">
        <f ca="1">IF(AND($B$183=1,LEN($P$225)&gt;0),$P$225*1000,HLOOKUP(INDIRECT(ADDRESS(2,COLUMN())),OFFSET($BN$2,0,0,ROW()-1,60),ROW()-1,FALSE))</f>
        <v>-7.4169999999999998</v>
      </c>
      <c r="Q125">
        <f ca="1">IF(AND($B$183=1,LEN($Q$225)&gt;0),$Q$225*1000,HLOOKUP(INDIRECT(ADDRESS(2,COLUMN())),OFFSET($BN$2,0,0,ROW()-1,60),ROW()-1,FALSE))</f>
        <v>3542.6950000000002</v>
      </c>
      <c r="R125">
        <f ca="1">IF(AND($B$183=1,LEN($R$225)&gt;0),$R$225*1000,HLOOKUP(INDIRECT(ADDRESS(2,COLUMN())),OFFSET($BN$2,0,0,ROW()-1,60),ROW()-1,FALSE))</f>
        <v>113.11</v>
      </c>
      <c r="S125">
        <f ca="1">IF(AND($B$183=1,LEN($S$225)&gt;0),$S$225*1000,HLOOKUP(INDIRECT(ADDRESS(2,COLUMN())),OFFSET($BN$2,0,0,ROW()-1,60),ROW()-1,FALSE))</f>
        <v>1727.75</v>
      </c>
      <c r="T125">
        <f ca="1">IF(AND($B$183=1,LEN($T$225)&gt;0),$T$225*1000,HLOOKUP(INDIRECT(ADDRESS(2,COLUMN())),OFFSET($BN$2,0,0,ROW()-1,60),ROW()-1,FALSE))</f>
        <v>618.57399999999996</v>
      </c>
      <c r="U125">
        <f ca="1">IF(AND($B$183=1,LEN($U$225)&gt;0),$U$225*1000,HLOOKUP(INDIRECT(ADDRESS(2,COLUMN())),OFFSET($BN$2,0,0,ROW()-1,60),ROW()-1,FALSE))</f>
        <v>-762.57600000000002</v>
      </c>
      <c r="V125">
        <f ca="1">IF(AND($B$183=1,LEN($V$225)&gt;0),$V$225*1000,HLOOKUP(INDIRECT(ADDRESS(2,COLUMN())),OFFSET($BN$2,0,0,ROW()-1,60),ROW()-1,FALSE))</f>
        <v>48.423999999999999</v>
      </c>
      <c r="W125">
        <f ca="1">IF(AND($B$183=1,LEN($W$225)&gt;0),$W$225*1000,HLOOKUP(INDIRECT(ADDRESS(2,COLUMN())),OFFSET($BN$2,0,0,ROW()-1,60),ROW()-1,FALSE))</f>
        <v>-878.18299999999999</v>
      </c>
      <c r="X125">
        <f ca="1">IF(AND($B$183=1,LEN($X$225)&gt;0),$X$225*1000,HLOOKUP(INDIRECT(ADDRESS(2,COLUMN())),OFFSET($BN$2,0,0,ROW()-1,60),ROW()-1,FALSE))</f>
        <v>-1265.8869999999999</v>
      </c>
      <c r="Y125">
        <f ca="1">IF(AND($B$183=1,LEN($Y$225)&gt;0),$Y$225*1000,HLOOKUP(INDIRECT(ADDRESS(2,COLUMN())),OFFSET($BN$2,0,0,ROW()-1,60),ROW()-1,FALSE))</f>
        <v>409.22500000000002</v>
      </c>
      <c r="Z125">
        <f ca="1">IF(AND($B$183=1,LEN($Z$225)&gt;0),$Z$225*1000,HLOOKUP(INDIRECT(ADDRESS(2,COLUMN())),OFFSET($BN$2,0,0,ROW()-1,60),ROW()-1,FALSE))</f>
        <v>1418.258</v>
      </c>
      <c r="AA125">
        <f ca="1">IF(AND($B$183=1,LEN($AA$225)&gt;0),$AA$225*1000,HLOOKUP(INDIRECT(ADDRESS(2,COLUMN())),OFFSET($BN$2,0,0,ROW()-1,60),ROW()-1,FALSE))</f>
        <v>-335.91699999999997</v>
      </c>
      <c r="AB125">
        <f ca="1">IF(AND($B$183=1,LEN($AB$225)&gt;0),$AB$225*1000,HLOOKUP(INDIRECT(ADDRESS(2,COLUMN())),OFFSET($BN$2,0,0,ROW()-1,60),ROW()-1,FALSE))</f>
        <v>802.399</v>
      </c>
      <c r="AC125">
        <f ca="1">IF(AND($B$183=1,LEN($AC$225)&gt;0),$AC$225*1000,HLOOKUP(INDIRECT(ADDRESS(2,COLUMN())),OFFSET($BN$2,0,0,ROW()-1,60),ROW()-1,FALSE))</f>
        <v>3510.5929999999998</v>
      </c>
      <c r="AD125">
        <f ca="1">IF(AND($B$183=1,LEN($AD$225)&gt;0),$AD$225*1000,HLOOKUP(INDIRECT(ADDRESS(2,COLUMN())),OFFSET($BN$2,0,0,ROW()-1,60),ROW()-1,FALSE))</f>
        <v>2074.721</v>
      </c>
      <c r="AE125">
        <f ca="1">IF(AND($B$183=1,LEN($AE$225)&gt;0),$AE$225*1000,HLOOKUP(INDIRECT(ADDRESS(2,COLUMN())),OFFSET($BN$2,0,0,ROW()-1,60),ROW()-1,FALSE))</f>
        <v>228.697</v>
      </c>
      <c r="AF125">
        <f ca="1">IF(AND($B$183=1,LEN($AF$225)&gt;0),$AF$225*1000,HLOOKUP(INDIRECT(ADDRESS(2,COLUMN())),OFFSET($BN$2,0,0,ROW()-1,60),ROW()-1,FALSE))</f>
        <v>-143.983</v>
      </c>
      <c r="AG125">
        <f ca="1">IF(AND($B$183=1,LEN($AG$225)&gt;0),$AG$225*1000,HLOOKUP(INDIRECT(ADDRESS(2,COLUMN())),OFFSET($BN$2,0,0,ROW()-1,60),ROW()-1,FALSE))</f>
        <v>-18.468</v>
      </c>
      <c r="AH125">
        <f ca="1">IF(AND($B$183=1,LEN($AH$225)&gt;0),$AH$225*1000,HLOOKUP(INDIRECT(ADDRESS(2,COLUMN())),OFFSET($BN$2,0,0,ROW()-1,60),ROW()-1,FALSE))</f>
        <v>110.30200000000001</v>
      </c>
      <c r="AI125">
        <f ca="1">IF(AND($B$183=1,LEN($AI$225)&gt;0),$AI$225*1000,HLOOKUP(INDIRECT(ADDRESS(2,COLUMN())),OFFSET($BN$2,0,0,ROW()-1,60),ROW()-1,FALSE))</f>
        <v>1243.422</v>
      </c>
      <c r="AJ125">
        <f ca="1">IF(AND($B$183=1,LEN($AJ$225)&gt;0),$AJ$225*1000,HLOOKUP(INDIRECT(ADDRESS(2,COLUMN())),OFFSET($BN$2,0,0,ROW()-1,60),ROW()-1,FALSE))</f>
        <v>-171.24</v>
      </c>
      <c r="AK125">
        <f ca="1">IF(AND($B$183=1,LEN($AK$225)&gt;0),$AK$225*1000,HLOOKUP(INDIRECT(ADDRESS(2,COLUMN())),OFFSET($BN$2,0,0,ROW()-1,60),ROW()-1,FALSE))</f>
        <v>0</v>
      </c>
      <c r="AL125">
        <f ca="1">IF(AND($B$183=1,LEN($AL$225)&gt;0),$AL$225*1000,HLOOKUP(INDIRECT(ADDRESS(2,COLUMN())),OFFSET($BN$2,0,0,ROW()-1,60),ROW()-1,FALSE))</f>
        <v>-129.88900000000001</v>
      </c>
      <c r="AM125">
        <f ca="1">IF(AND($B$183=1,LEN($AM$225)&gt;0),$AM$225*1000,HLOOKUP(INDIRECT(ADDRESS(2,COLUMN())),OFFSET($BN$2,0,0,ROW()-1,60),ROW()-1,FALSE))</f>
        <v>-27.611000000000001</v>
      </c>
      <c r="AN125">
        <f ca="1">IF(AND($B$183=1,LEN($AN$225)&gt;0),$AN$225*1000,HLOOKUP(INDIRECT(ADDRESS(2,COLUMN())),OFFSET($BN$2,0,0,ROW()-1,60),ROW()-1,FALSE))</f>
        <v>0</v>
      </c>
      <c r="AO125">
        <f ca="1">IF(AND($B$183=1,LEN($AO$225)&gt;0),$AO$225*1000,HLOOKUP(INDIRECT(ADDRESS(2,COLUMN())),OFFSET($BN$2,0,0,ROW()-1,60),ROW()-1,FALSE))</f>
        <v>-20.5</v>
      </c>
      <c r="AP125">
        <f ca="1">IF(AND($B$183=1,LEN($AP$225)&gt;0),$AP$225*1000,HLOOKUP(INDIRECT(ADDRESS(2,COLUMN())),OFFSET($BN$2,0,0,ROW()-1,60),ROW()-1,FALSE))</f>
        <v>-22.9</v>
      </c>
      <c r="AQ125">
        <f ca="1">IF(AND($B$183=1,LEN($AQ$225)&gt;0),$AQ$225*1000,HLOOKUP(INDIRECT(ADDRESS(2,COLUMN())),OFFSET($BN$2,0,0,ROW()-1,60),ROW()-1,FALSE))</f>
        <v>-66.5</v>
      </c>
      <c r="AR125">
        <f ca="1">IF(AND($B$183=1,LEN($AR$225)&gt;0),$AR$225*1000,HLOOKUP(INDIRECT(ADDRESS(2,COLUMN())),OFFSET($BN$2,0,0,ROW()-1,60),ROW()-1,FALSE))</f>
        <v>-140.5</v>
      </c>
      <c r="AS125">
        <f ca="1">IF(AND($B$183=1,LEN($AS$225)&gt;0),$AS$225*1000,HLOOKUP(INDIRECT(ADDRESS(2,COLUMN())),OFFSET($BN$2,0,0,ROW()-1,60),ROW()-1,FALSE))</f>
        <v>609.63900000000001</v>
      </c>
      <c r="AT125">
        <f ca="1">IF(AND($B$183=1,LEN($AT$225)&gt;0),$AT$225*1000,HLOOKUP(INDIRECT(ADDRESS(2,COLUMN())),OFFSET($BN$2,0,0,ROW()-1,60),ROW()-1,FALSE))</f>
        <v>50.418999999999997</v>
      </c>
      <c r="AU125">
        <f ca="1">IF(AND($B$183=1,LEN($AU$225)&gt;0),$AU$225*1000,HLOOKUP(INDIRECT(ADDRESS(2,COLUMN())),OFFSET($BN$2,0,0,ROW()-1,60),ROW()-1,FALSE))</f>
        <v>-33.6</v>
      </c>
      <c r="AV125">
        <f ca="1">IF(AND($B$183=1,LEN($AV$225)&gt;0),$AV$225*1000,HLOOKUP(INDIRECT(ADDRESS(2,COLUMN())),OFFSET($BN$2,0,0,ROW()-1,60),ROW()-1,FALSE))</f>
        <v>-4.5</v>
      </c>
      <c r="AW125">
        <f ca="1">IF(AND($B$183=1,LEN($AW$225)&gt;0),$AW$225*1000,HLOOKUP(INDIRECT(ADDRESS(2,COLUMN())),OFFSET($BN$2,0,0,ROW()-1,60),ROW()-1,FALSE))</f>
        <v>-7.4749999999999996</v>
      </c>
      <c r="AX125">
        <f ca="1">IF(AND($B$183=1,LEN($AX$225)&gt;0),$AX$225*1000,HLOOKUP(INDIRECT(ADDRESS(2,COLUMN())),OFFSET($BN$2,0,0,ROW()-1,60),ROW()-1,FALSE))</f>
        <v>124.863</v>
      </c>
      <c r="AY125">
        <f ca="1">IF(AND($B$183=1,LEN($AY$225)&gt;0),$AY$225*1000,HLOOKUP(INDIRECT(ADDRESS(2,COLUMN())),OFFSET($BN$2,0,0,ROW()-1,60),ROW()-1,FALSE))</f>
        <v>-185.4</v>
      </c>
      <c r="AZ125">
        <f ca="1">IF(AND($B$183=1,LEN($AZ$225)&gt;0),$AZ$225*1000,HLOOKUP(INDIRECT(ADDRESS(2,COLUMN())),OFFSET($BN$2,0,0,ROW()-1,60),ROW()-1,FALSE))</f>
        <v>-242.7</v>
      </c>
      <c r="BA125">
        <f ca="1">IF(AND($B$183=1,LEN($BA$225)&gt;0),$BA$225*1000,HLOOKUP(INDIRECT(ADDRESS(2,COLUMN())),OFFSET($BN$2,0,0,ROW()-1,60),ROW()-1,FALSE))</f>
        <v>298.3</v>
      </c>
      <c r="BB125">
        <f ca="1">IF(AND($B$183=1,LEN($BB$225)&gt;0),$BB$225*1000,HLOOKUP(INDIRECT(ADDRESS(2,COLUMN())),OFFSET($BN$2,0,0,ROW()-1,60),ROW()-1,FALSE))</f>
        <v>780.10599999999999</v>
      </c>
      <c r="BC125">
        <f ca="1">IF(AND($B$183=1,LEN($BC$225)&gt;0),$BC$225*1000,HLOOKUP(INDIRECT(ADDRESS(2,COLUMN())),OFFSET($BN$2,0,0,ROW()-1,60),ROW()-1,FALSE))</f>
        <v>106.654</v>
      </c>
      <c r="BD125">
        <f ca="1">IF(AND($B$183=1,LEN($BD$225)&gt;0),$BD$225*1000,HLOOKUP(INDIRECT(ADDRESS(2,COLUMN())),OFFSET($BN$2,0,0,ROW()-1,60),ROW()-1,FALSE))</f>
        <v>2156.3960000000002</v>
      </c>
      <c r="BE125">
        <f ca="1">IF(AND($B$183=1,LEN($BE$225)&gt;0),$BE$225*1000,HLOOKUP(INDIRECT(ADDRESS(2,COLUMN())),OFFSET($BN$2,0,0,ROW()-1,60),ROW()-1,FALSE))</f>
        <v>2044.9670000000001</v>
      </c>
      <c r="BF125">
        <f ca="1">IF(AND($B$183=1,LEN($BF$225)&gt;0),$BF$225*1000,HLOOKUP(INDIRECT(ADDRESS(2,COLUMN())),OFFSET($BN$2,0,0,ROW()-1,60),ROW()-1,FALSE))</f>
        <v>14833.883</v>
      </c>
      <c r="BG125">
        <f ca="1">IF(AND($B$183=1,LEN($BG$225)&gt;0),$BG$225*1000,HLOOKUP(INDIRECT(ADDRESS(2,COLUMN())),OFFSET($BN$2,0,0,ROW()-1,60),ROW()-1,FALSE))</f>
        <v>469.197</v>
      </c>
      <c r="BH125">
        <f ca="1">IF(AND($B$183=1,LEN($BH$225)&gt;0),$BH$225*1000,HLOOKUP(INDIRECT(ADDRESS(2,COLUMN())),OFFSET($BN$2,0,0,ROW()-1,60),ROW()-1,FALSE))</f>
        <v>1694.0940000000001</v>
      </c>
      <c r="BI125">
        <f ca="1">IF(AND($B$183=1,LEN($BI$225)&gt;0),$BI$225*1000,HLOOKUP(INDIRECT(ADDRESS(2,COLUMN())),OFFSET($BN$2,0,0,ROW()-1,60),ROW()-1,FALSE))</f>
        <v>727.13199999999995</v>
      </c>
      <c r="BJ125">
        <f ca="1">IF(AND($B$183=1,LEN($BJ$225)&gt;0),$BJ$225*1000,HLOOKUP(INDIRECT(ADDRESS(2,COLUMN())),OFFSET($BN$2,0,0,ROW()-1,60),ROW()-1,FALSE))</f>
        <v>0</v>
      </c>
      <c r="BK125">
        <f ca="1">IF(AND($B$183=1,LEN($BK$225)&gt;0),$BK$225*1000,HLOOKUP(INDIRECT(ADDRESS(2,COLUMN())),OFFSET($BN$2,0,0,ROW()-1,60),ROW()-1,FALSE))</f>
        <v>0</v>
      </c>
      <c r="BL125">
        <f ca="1">IF(AND($B$183=1,LEN($BL$225)&gt;0),$BL$225*1000,HLOOKUP(INDIRECT(ADDRESS(2,COLUMN())),OFFSET($BN$2,0,0,ROW()-1,60),ROW()-1,FALSE))</f>
        <v>0</v>
      </c>
      <c r="BM125">
        <f ca="1">IF(AND($B$183=1,LEN($BM$225)&gt;0),$BM$225*1000,HLOOKUP(INDIRECT(ADDRESS(2,COLUMN())),OFFSET($BN$2,0,0,ROW()-1,60),ROW()-1,FALSE))</f>
        <v>0</v>
      </c>
      <c r="BN125">
        <f>-21</f>
        <v>-21</v>
      </c>
      <c r="BO125">
        <f>247.311</f>
        <v>247.31100000000001</v>
      </c>
      <c r="BP125">
        <f>-416</f>
        <v>-416</v>
      </c>
      <c r="BQ125">
        <f>-311.604</f>
        <v>-311.60399999999998</v>
      </c>
      <c r="BR125">
        <f>169.95</f>
        <v>169.95</v>
      </c>
      <c r="BS125">
        <f>-1474.8</f>
        <v>-1474.8</v>
      </c>
      <c r="BT125">
        <f>329.59</f>
        <v>329.59</v>
      </c>
      <c r="BU125">
        <f>-500.085</f>
        <v>-500.08499999999998</v>
      </c>
      <c r="BV125">
        <f>-1296.126</f>
        <v>-1296.126</v>
      </c>
      <c r="BW125">
        <f>-71.4</f>
        <v>-71.400000000000006</v>
      </c>
      <c r="BX125">
        <f>-7.417</f>
        <v>-7.4169999999999998</v>
      </c>
      <c r="BY125">
        <f>3542.695</f>
        <v>3542.6950000000002</v>
      </c>
      <c r="BZ125">
        <f>113.11</f>
        <v>113.11</v>
      </c>
      <c r="CA125">
        <f>1727.75</f>
        <v>1727.75</v>
      </c>
      <c r="CB125">
        <f>618.574</f>
        <v>618.57399999999996</v>
      </c>
      <c r="CC125">
        <f>-762.576</f>
        <v>-762.57600000000002</v>
      </c>
      <c r="CD125">
        <f>48.424</f>
        <v>48.423999999999999</v>
      </c>
      <c r="CE125">
        <f>-878.183</f>
        <v>-878.18299999999999</v>
      </c>
      <c r="CF125">
        <f>-1265.887</f>
        <v>-1265.8869999999999</v>
      </c>
      <c r="CG125">
        <f>409.225</f>
        <v>409.22500000000002</v>
      </c>
      <c r="CH125">
        <f>1418.258</f>
        <v>1418.258</v>
      </c>
      <c r="CI125">
        <f>-335.917</f>
        <v>-335.91699999999997</v>
      </c>
      <c r="CJ125">
        <f>802.399</f>
        <v>802.399</v>
      </c>
      <c r="CK125">
        <f>3510.593</f>
        <v>3510.5929999999998</v>
      </c>
      <c r="CL125">
        <f>2074.721</f>
        <v>2074.721</v>
      </c>
      <c r="CM125">
        <f>228.697</f>
        <v>228.697</v>
      </c>
      <c r="CN125">
        <f>-143.983</f>
        <v>-143.983</v>
      </c>
      <c r="CO125">
        <f>-18.468</f>
        <v>-18.468</v>
      </c>
      <c r="CP125">
        <f>110.302</f>
        <v>110.30200000000001</v>
      </c>
      <c r="CQ125">
        <f>1243.422</f>
        <v>1243.422</v>
      </c>
      <c r="CR125">
        <f>-171.24</f>
        <v>-171.24</v>
      </c>
      <c r="CS125">
        <f>0</f>
        <v>0</v>
      </c>
      <c r="CT125">
        <f>-129.889</f>
        <v>-129.88900000000001</v>
      </c>
      <c r="CU125">
        <f>-27.611</f>
        <v>-27.611000000000001</v>
      </c>
      <c r="CV125">
        <f>0</f>
        <v>0</v>
      </c>
      <c r="CW125">
        <f>-20.5</f>
        <v>-20.5</v>
      </c>
      <c r="CX125">
        <f>-22.9</f>
        <v>-22.9</v>
      </c>
      <c r="CY125">
        <f>-66.5</f>
        <v>-66.5</v>
      </c>
      <c r="CZ125">
        <f>-140.5</f>
        <v>-140.5</v>
      </c>
      <c r="DA125">
        <f>609.639</f>
        <v>609.63900000000001</v>
      </c>
      <c r="DB125">
        <f>50.419</f>
        <v>50.418999999999997</v>
      </c>
      <c r="DC125">
        <f>-33.6</f>
        <v>-33.6</v>
      </c>
      <c r="DD125">
        <f>-4.5</f>
        <v>-4.5</v>
      </c>
      <c r="DE125">
        <f>-7.475</f>
        <v>-7.4749999999999996</v>
      </c>
      <c r="DF125">
        <f>124.863</f>
        <v>124.863</v>
      </c>
      <c r="DG125">
        <f>-185.4</f>
        <v>-185.4</v>
      </c>
      <c r="DH125">
        <f>-242.7</f>
        <v>-242.7</v>
      </c>
      <c r="DI125">
        <f>298.3</f>
        <v>298.3</v>
      </c>
      <c r="DJ125">
        <f>780.106</f>
        <v>780.10599999999999</v>
      </c>
      <c r="DK125">
        <f>106.654</f>
        <v>106.654</v>
      </c>
      <c r="DL125">
        <f>2156.396</f>
        <v>2156.3960000000002</v>
      </c>
      <c r="DM125">
        <f>2044.967</f>
        <v>2044.9670000000001</v>
      </c>
      <c r="DN125">
        <f>14833.883</f>
        <v>14833.883</v>
      </c>
      <c r="DO125">
        <f>469.197</f>
        <v>469.197</v>
      </c>
      <c r="DP125">
        <f>1694.094</f>
        <v>1694.0940000000001</v>
      </c>
      <c r="DQ125">
        <f>727.132</f>
        <v>727.13199999999995</v>
      </c>
      <c r="DR125">
        <f>0</f>
        <v>0</v>
      </c>
      <c r="DS125">
        <f>0</f>
        <v>0</v>
      </c>
      <c r="DT125">
        <f>0</f>
        <v>0</v>
      </c>
      <c r="DU125">
        <f>0</f>
        <v>0</v>
      </c>
    </row>
    <row r="126" spans="1:125">
      <c r="A126" t="str">
        <f>"    Free Standing Retail REITs"</f>
        <v xml:space="preserve">    Free Standing Retail REITs</v>
      </c>
      <c r="B126" t="str">
        <f>"RECFNAFS Index"</f>
        <v>RECFNAFS Index</v>
      </c>
      <c r="E126" t="str">
        <f t="shared" si="27"/>
        <v>Expression</v>
      </c>
      <c r="F126">
        <f ca="1">IF(AND($B$183=1,LEN($F$226)&gt;0),$F$226*1000,HLOOKUP(INDIRECT(ADDRESS(2,COLUMN())),OFFSET($BN$2,0,0,ROW()-1,60),ROW()-1,FALSE))</f>
        <v>965.21100000000001</v>
      </c>
      <c r="G126">
        <f ca="1">IF(AND($B$183=1,LEN($G$226)&gt;0),$G$226*1000,HLOOKUP(INDIRECT(ADDRESS(2,COLUMN())),OFFSET($BN$2,0,0,ROW()-1,60),ROW()-1,FALSE))</f>
        <v>523.29499999999996</v>
      </c>
      <c r="H126">
        <f ca="1">IF(AND($B$183=1,LEN($H$226)&gt;0),$H$226*1000,HLOOKUP(INDIRECT(ADDRESS(2,COLUMN())),OFFSET($BN$2,0,0,ROW()-1,60),ROW()-1,FALSE))</f>
        <v>798.94799999999998</v>
      </c>
      <c r="I126">
        <f ca="1">IF(AND($B$183=1,LEN($I$226)&gt;0),$I$226*1000,HLOOKUP(INDIRECT(ADDRESS(2,COLUMN())),OFFSET($BN$2,0,0,ROW()-1,60),ROW()-1,FALSE))</f>
        <v>848.99800000000005</v>
      </c>
      <c r="J126">
        <f ca="1">IF(AND($B$183=1,LEN($J$226)&gt;0),$J$226*1000,HLOOKUP(INDIRECT(ADDRESS(2,COLUMN())),OFFSET($BN$2,0,0,ROW()-1,60),ROW()-1,FALSE))</f>
        <v>1356.704</v>
      </c>
      <c r="K126">
        <f ca="1">IF(AND($B$183=1,LEN($K$226)&gt;0),$K$226*1000,HLOOKUP(INDIRECT(ADDRESS(2,COLUMN())),OFFSET($BN$2,0,0,ROW()-1,60),ROW()-1,FALSE))</f>
        <v>906.971</v>
      </c>
      <c r="L126">
        <f ca="1">IF(AND($B$183=1,LEN($L$226)&gt;0),$L$226*1000,HLOOKUP(INDIRECT(ADDRESS(2,COLUMN())),OFFSET($BN$2,0,0,ROW()-1,60),ROW()-1,FALSE))</f>
        <v>1110.6010000000001</v>
      </c>
      <c r="M126">
        <f ca="1">IF(AND($B$183=1,LEN($M$226)&gt;0),$M$226*1000,HLOOKUP(INDIRECT(ADDRESS(2,COLUMN())),OFFSET($BN$2,0,0,ROW()-1,60),ROW()-1,FALSE))</f>
        <v>646.29100000000005</v>
      </c>
      <c r="N126">
        <f ca="1">IF(AND($B$183=1,LEN($N$226)&gt;0),$N$226*1000,HLOOKUP(INDIRECT(ADDRESS(2,COLUMN())),OFFSET($BN$2,0,0,ROW()-1,60),ROW()-1,FALSE))</f>
        <v>724.94600000000003</v>
      </c>
      <c r="O126">
        <f ca="1">IF(AND($B$183=1,LEN($O$226)&gt;0),$O$226*1000,HLOOKUP(INDIRECT(ADDRESS(2,COLUMN())),OFFSET($BN$2,0,0,ROW()-1,60),ROW()-1,FALSE))</f>
        <v>3376.3440000000001</v>
      </c>
      <c r="P126">
        <f ca="1">IF(AND($B$183=1,LEN($P$226)&gt;0),$P$226*1000,HLOOKUP(INDIRECT(ADDRESS(2,COLUMN())),OFFSET($BN$2,0,0,ROW()-1,60),ROW()-1,FALSE))</f>
        <v>1501.886</v>
      </c>
      <c r="Q126">
        <f ca="1">IF(AND($B$183=1,LEN($Q$226)&gt;0),$Q$226*1000,HLOOKUP(INDIRECT(ADDRESS(2,COLUMN())),OFFSET($BN$2,0,0,ROW()-1,60),ROW()-1,FALSE))</f>
        <v>575.33199999999999</v>
      </c>
      <c r="R126">
        <f ca="1">IF(AND($B$183=1,LEN($R$226)&gt;0),$R$226*1000,HLOOKUP(INDIRECT(ADDRESS(2,COLUMN())),OFFSET($BN$2,0,0,ROW()-1,60),ROW()-1,FALSE))</f>
        <v>-1026.2249999999999</v>
      </c>
      <c r="S126">
        <f ca="1">IF(AND($B$183=1,LEN($S$226)&gt;0),$S$226*1000,HLOOKUP(INDIRECT(ADDRESS(2,COLUMN())),OFFSET($BN$2,0,0,ROW()-1,60),ROW()-1,FALSE))</f>
        <v>2906.19</v>
      </c>
      <c r="T126">
        <f ca="1">IF(AND($B$183=1,LEN($T$226)&gt;0),$T$226*1000,HLOOKUP(INDIRECT(ADDRESS(2,COLUMN())),OFFSET($BN$2,0,0,ROW()-1,60),ROW()-1,FALSE))</f>
        <v>1470.366</v>
      </c>
      <c r="U126">
        <f ca="1">IF(AND($B$183=1,LEN($U$226)&gt;0),$U$226*1000,HLOOKUP(INDIRECT(ADDRESS(2,COLUMN())),OFFSET($BN$2,0,0,ROW()-1,60),ROW()-1,FALSE))</f>
        <v>13909.545</v>
      </c>
      <c r="V126">
        <f ca="1">IF(AND($B$183=1,LEN($V$226)&gt;0),$V$226*1000,HLOOKUP(INDIRECT(ADDRESS(2,COLUMN())),OFFSET($BN$2,0,0,ROW()-1,60),ROW()-1,FALSE))</f>
        <v>2403.0859999999998</v>
      </c>
      <c r="W126">
        <f ca="1">IF(AND($B$183=1,LEN($W$226)&gt;0),$W$226*1000,HLOOKUP(INDIRECT(ADDRESS(2,COLUMN())),OFFSET($BN$2,0,0,ROW()-1,60),ROW()-1,FALSE))</f>
        <v>7938.317</v>
      </c>
      <c r="X126">
        <f ca="1">IF(AND($B$183=1,LEN($X$226)&gt;0),$X$226*1000,HLOOKUP(INDIRECT(ADDRESS(2,COLUMN())),OFFSET($BN$2,0,0,ROW()-1,60),ROW()-1,FALSE))</f>
        <v>2398.31</v>
      </c>
      <c r="Y126">
        <f ca="1">IF(AND($B$183=1,LEN($Y$226)&gt;0),$Y$226*1000,HLOOKUP(INDIRECT(ADDRESS(2,COLUMN())),OFFSET($BN$2,0,0,ROW()-1,60),ROW()-1,FALSE))</f>
        <v>5157.8909999999996</v>
      </c>
      <c r="Z126">
        <f ca="1">IF(AND($B$183=1,LEN($Z$226)&gt;0),$Z$226*1000,HLOOKUP(INDIRECT(ADDRESS(2,COLUMN())),OFFSET($BN$2,0,0,ROW()-1,60),ROW()-1,FALSE))</f>
        <v>751.24300000000005</v>
      </c>
      <c r="AA126">
        <f ca="1">IF(AND($B$183=1,LEN($AA$226)&gt;0),$AA$226*1000,HLOOKUP(INDIRECT(ADDRESS(2,COLUMN())),OFFSET($BN$2,0,0,ROW()-1,60),ROW()-1,FALSE))</f>
        <v>674.93499999999995</v>
      </c>
      <c r="AB126">
        <f ca="1">IF(AND($B$183=1,LEN($AB$226)&gt;0),$AB$226*1000,HLOOKUP(INDIRECT(ADDRESS(2,COLUMN())),OFFSET($BN$2,0,0,ROW()-1,60),ROW()-1,FALSE))</f>
        <v>320.505</v>
      </c>
      <c r="AC126">
        <f ca="1">IF(AND($B$183=1,LEN($AC$226)&gt;0),$AC$226*1000,HLOOKUP(INDIRECT(ADDRESS(2,COLUMN())),OFFSET($BN$2,0,0,ROW()-1,60),ROW()-1,FALSE))</f>
        <v>206.67699999999999</v>
      </c>
      <c r="AD126">
        <f ca="1">IF(AND($B$183=1,LEN($AD$226)&gt;0),$AD$226*1000,HLOOKUP(INDIRECT(ADDRESS(2,COLUMN())),OFFSET($BN$2,0,0,ROW()-1,60),ROW()-1,FALSE))</f>
        <v>518.18100000000004</v>
      </c>
      <c r="AE126">
        <f ca="1">IF(AND($B$183=1,LEN($AE$226)&gt;0),$AE$226*1000,HLOOKUP(INDIRECT(ADDRESS(2,COLUMN())),OFFSET($BN$2,0,0,ROW()-1,60),ROW()-1,FALSE))</f>
        <v>799.09900000000005</v>
      </c>
      <c r="AF126">
        <f ca="1">IF(AND($B$183=1,LEN($AF$226)&gt;0),$AF$226*1000,HLOOKUP(INDIRECT(ADDRESS(2,COLUMN())),OFFSET($BN$2,0,0,ROW()-1,60),ROW()-1,FALSE))</f>
        <v>265.74299999999999</v>
      </c>
      <c r="AG126">
        <f ca="1">IF(AND($B$183=1,LEN($AG$226)&gt;0),$AG$226*1000,HLOOKUP(INDIRECT(ADDRESS(2,COLUMN())),OFFSET($BN$2,0,0,ROW()-1,60),ROW()-1,FALSE))</f>
        <v>398.28899999999999</v>
      </c>
      <c r="AH126">
        <f ca="1">IF(AND($B$183=1,LEN($AH$226)&gt;0),$AH$226*1000,HLOOKUP(INDIRECT(ADDRESS(2,COLUMN())),OFFSET($BN$2,0,0,ROW()-1,60),ROW()-1,FALSE))</f>
        <v>643.03899999999999</v>
      </c>
      <c r="AI126">
        <f ca="1">IF(AND($B$183=1,LEN($AI$226)&gt;0),$AI$226*1000,HLOOKUP(INDIRECT(ADDRESS(2,COLUMN())),OFFSET($BN$2,0,0,ROW()-1,60),ROW()-1,FALSE))</f>
        <v>98.17</v>
      </c>
      <c r="AJ126">
        <f ca="1">IF(AND($B$183=1,LEN($AJ$226)&gt;0),$AJ$226*1000,HLOOKUP(INDIRECT(ADDRESS(2,COLUMN())),OFFSET($BN$2,0,0,ROW()-1,60),ROW()-1,FALSE))</f>
        <v>50.164000000000001</v>
      </c>
      <c r="AK126">
        <f ca="1">IF(AND($B$183=1,LEN($AK$226)&gt;0),$AK$226*1000,HLOOKUP(INDIRECT(ADDRESS(2,COLUMN())),OFFSET($BN$2,0,0,ROW()-1,60),ROW()-1,FALSE))</f>
        <v>21.699000000000002</v>
      </c>
      <c r="AL126">
        <f ca="1">IF(AND($B$183=1,LEN($AL$226)&gt;0),$AL$226*1000,HLOOKUP(INDIRECT(ADDRESS(2,COLUMN())),OFFSET($BN$2,0,0,ROW()-1,60),ROW()-1,FALSE))</f>
        <v>37.590000000000003</v>
      </c>
      <c r="AM126">
        <f ca="1">IF(AND($B$183=1,LEN($AM$226)&gt;0),$AM$226*1000,HLOOKUP(INDIRECT(ADDRESS(2,COLUMN())),OFFSET($BN$2,0,0,ROW()-1,60),ROW()-1,FALSE))</f>
        <v>64.983999999999995</v>
      </c>
      <c r="AN126">
        <f ca="1">IF(AND($B$183=1,LEN($AN$226)&gt;0),$AN$226*1000,HLOOKUP(INDIRECT(ADDRESS(2,COLUMN())),OFFSET($BN$2,0,0,ROW()-1,60),ROW()-1,FALSE))</f>
        <v>-10.884</v>
      </c>
      <c r="AO126">
        <f ca="1">IF(AND($B$183=1,LEN($AO$226)&gt;0),$AO$226*1000,HLOOKUP(INDIRECT(ADDRESS(2,COLUMN())),OFFSET($BN$2,0,0,ROW()-1,60),ROW()-1,FALSE))</f>
        <v>-3.9209999999999998</v>
      </c>
      <c r="AP126">
        <f ca="1">IF(AND($B$183=1,LEN($AP$226)&gt;0),$AP$226*1000,HLOOKUP(INDIRECT(ADDRESS(2,COLUMN())),OFFSET($BN$2,0,0,ROW()-1,60),ROW()-1,FALSE))</f>
        <v>26.378</v>
      </c>
      <c r="AQ126">
        <f ca="1">IF(AND($B$183=1,LEN($AQ$226)&gt;0),$AQ$226*1000,HLOOKUP(INDIRECT(ADDRESS(2,COLUMN())),OFFSET($BN$2,0,0,ROW()-1,60),ROW()-1,FALSE))</f>
        <v>37.798000000000002</v>
      </c>
      <c r="AR126">
        <f ca="1">IF(AND($B$183=1,LEN($AR$226)&gt;0),$AR$226*1000,HLOOKUP(INDIRECT(ADDRESS(2,COLUMN())),OFFSET($BN$2,0,0,ROW()-1,60),ROW()-1,FALSE))</f>
        <v>72.088999999999999</v>
      </c>
      <c r="AS126">
        <f ca="1">IF(AND($B$183=1,LEN($AS$226)&gt;0),$AS$226*1000,HLOOKUP(INDIRECT(ADDRESS(2,COLUMN())),OFFSET($BN$2,0,0,ROW()-1,60),ROW()-1,FALSE))</f>
        <v>400.63900000000001</v>
      </c>
      <c r="AT126">
        <f ca="1">IF(AND($B$183=1,LEN($AT$226)&gt;0),$AT$226*1000,HLOOKUP(INDIRECT(ADDRESS(2,COLUMN())),OFFSET($BN$2,0,0,ROW()-1,60),ROW()-1,FALSE))</f>
        <v>282.40199999999999</v>
      </c>
      <c r="AU126">
        <f ca="1">IF(AND($B$183=1,LEN($AU$226)&gt;0),$AU$226*1000,HLOOKUP(INDIRECT(ADDRESS(2,COLUMN())),OFFSET($BN$2,0,0,ROW()-1,60),ROW()-1,FALSE))</f>
        <v>401.57400000000001</v>
      </c>
      <c r="AV126">
        <f ca="1">IF(AND($B$183=1,LEN($AV$226)&gt;0),$AV$226*1000,HLOOKUP(INDIRECT(ADDRESS(2,COLUMN())),OFFSET($BN$2,0,0,ROW()-1,60),ROW()-1,FALSE))</f>
        <v>321.54199999999997</v>
      </c>
      <c r="AW126">
        <f ca="1">IF(AND($B$183=1,LEN($AW$226)&gt;0),$AW$226*1000,HLOOKUP(INDIRECT(ADDRESS(2,COLUMN())),OFFSET($BN$2,0,0,ROW()-1,60),ROW()-1,FALSE))</f>
        <v>203.37100000000001</v>
      </c>
      <c r="AX126">
        <f ca="1">IF(AND($B$183=1,LEN($AX$226)&gt;0),$AX$226*1000,HLOOKUP(INDIRECT(ADDRESS(2,COLUMN())),OFFSET($BN$2,0,0,ROW()-1,60),ROW()-1,FALSE))</f>
        <v>610.22</v>
      </c>
      <c r="AY126">
        <f ca="1">IF(AND($B$183=1,LEN($AY$226)&gt;0),$AY$226*1000,HLOOKUP(INDIRECT(ADDRESS(2,COLUMN())),OFFSET($BN$2,0,0,ROW()-1,60),ROW()-1,FALSE))</f>
        <v>213.524</v>
      </c>
      <c r="AZ126">
        <f ca="1">IF(AND($B$183=1,LEN($AZ$226)&gt;0),$AZ$226*1000,HLOOKUP(INDIRECT(ADDRESS(2,COLUMN())),OFFSET($BN$2,0,0,ROW()-1,60),ROW()-1,FALSE))</f>
        <v>-72.935000000000002</v>
      </c>
      <c r="BA126">
        <f ca="1">IF(AND($B$183=1,LEN($BA$226)&gt;0),$BA$226*1000,HLOOKUP(INDIRECT(ADDRESS(2,COLUMN())),OFFSET($BN$2,0,0,ROW()-1,60),ROW()-1,FALSE))</f>
        <v>118.517</v>
      </c>
      <c r="BB126">
        <f ca="1">IF(AND($B$183=1,LEN($BB$226)&gt;0),$BB$226*1000,HLOOKUP(INDIRECT(ADDRESS(2,COLUMN())),OFFSET($BN$2,0,0,ROW()-1,60),ROW()-1,FALSE))</f>
        <v>295.13200000000001</v>
      </c>
      <c r="BC126">
        <f ca="1">IF(AND($B$183=1,LEN($BC$226)&gt;0),$BC$226*1000,HLOOKUP(INDIRECT(ADDRESS(2,COLUMN())),OFFSET($BN$2,0,0,ROW()-1,60),ROW()-1,FALSE))</f>
        <v>288.113</v>
      </c>
      <c r="BD126">
        <f ca="1">IF(AND($B$183=1,LEN($BD$226)&gt;0),$BD$226*1000,HLOOKUP(INDIRECT(ADDRESS(2,COLUMN())),OFFSET($BN$2,0,0,ROW()-1,60),ROW()-1,FALSE))</f>
        <v>153.33199999999999</v>
      </c>
      <c r="BE126">
        <f ca="1">IF(AND($B$183=1,LEN($BE$226)&gt;0),$BE$226*1000,HLOOKUP(INDIRECT(ADDRESS(2,COLUMN())),OFFSET($BN$2,0,0,ROW()-1,60),ROW()-1,FALSE))</f>
        <v>120.82</v>
      </c>
      <c r="BF126">
        <f ca="1">IF(AND($B$183=1,LEN($BF$226)&gt;0),$BF$226*1000,HLOOKUP(INDIRECT(ADDRESS(2,COLUMN())),OFFSET($BN$2,0,0,ROW()-1,60),ROW()-1,FALSE))</f>
        <v>116.917</v>
      </c>
      <c r="BG126">
        <f ca="1">IF(AND($B$183=1,LEN($BG$226)&gt;0),$BG$226*1000,HLOOKUP(INDIRECT(ADDRESS(2,COLUMN())),OFFSET($BN$2,0,0,ROW()-1,60),ROW()-1,FALSE))</f>
        <v>48.997</v>
      </c>
      <c r="BH126">
        <f ca="1">IF(AND($B$183=1,LEN($BH$226)&gt;0),$BH$226*1000,HLOOKUP(INDIRECT(ADDRESS(2,COLUMN())),OFFSET($BN$2,0,0,ROW()-1,60),ROW()-1,FALSE))</f>
        <v>28.981000000000002</v>
      </c>
      <c r="BI126">
        <f ca="1">IF(AND($B$183=1,LEN($BI$226)&gt;0),$BI$226*1000,HLOOKUP(INDIRECT(ADDRESS(2,COLUMN())),OFFSET($BN$2,0,0,ROW()-1,60),ROW()-1,FALSE))</f>
        <v>125.379</v>
      </c>
      <c r="BJ126">
        <f ca="1">IF(AND($B$183=1,LEN($BJ$226)&gt;0),$BJ$226*1000,HLOOKUP(INDIRECT(ADDRESS(2,COLUMN())),OFFSET($BN$2,0,0,ROW()-1,60),ROW()-1,FALSE))</f>
        <v>-4.8</v>
      </c>
      <c r="BK126">
        <f ca="1">IF(AND($B$183=1,LEN($BK$226)&gt;0),$BK$226*1000,HLOOKUP(INDIRECT(ADDRESS(2,COLUMN())),OFFSET($BN$2,0,0,ROW()-1,60),ROW()-1,FALSE))</f>
        <v>4.8</v>
      </c>
      <c r="BL126">
        <f ca="1">IF(AND($B$183=1,LEN($BL$226)&gt;0),$BL$226*1000,HLOOKUP(INDIRECT(ADDRESS(2,COLUMN())),OFFSET($BN$2,0,0,ROW()-1,60),ROW()-1,FALSE))</f>
        <v>0</v>
      </c>
      <c r="BM126">
        <f ca="1">IF(AND($B$183=1,LEN($BM$226)&gt;0),$BM$226*1000,HLOOKUP(INDIRECT(ADDRESS(2,COLUMN())),OFFSET($BN$2,0,0,ROW()-1,60),ROW()-1,FALSE))</f>
        <v>0</v>
      </c>
      <c r="BN126">
        <f>965.211</f>
        <v>965.21100000000001</v>
      </c>
      <c r="BO126">
        <f>523.295</f>
        <v>523.29499999999996</v>
      </c>
      <c r="BP126">
        <f>798.948</f>
        <v>798.94799999999998</v>
      </c>
      <c r="BQ126">
        <f>848.998</f>
        <v>848.99800000000005</v>
      </c>
      <c r="BR126">
        <f>1356.704</f>
        <v>1356.704</v>
      </c>
      <c r="BS126">
        <f>906.971</f>
        <v>906.971</v>
      </c>
      <c r="BT126">
        <f>1110.601</f>
        <v>1110.6010000000001</v>
      </c>
      <c r="BU126">
        <f>646.291</f>
        <v>646.29100000000005</v>
      </c>
      <c r="BV126">
        <f>724.946</f>
        <v>724.94600000000003</v>
      </c>
      <c r="BW126">
        <f>3376.344</f>
        <v>3376.3440000000001</v>
      </c>
      <c r="BX126">
        <f>1501.886</f>
        <v>1501.886</v>
      </c>
      <c r="BY126">
        <f>575.332</f>
        <v>575.33199999999999</v>
      </c>
      <c r="BZ126">
        <f>-1026.225</f>
        <v>-1026.2249999999999</v>
      </c>
      <c r="CA126">
        <f>2906.19</f>
        <v>2906.19</v>
      </c>
      <c r="CB126">
        <f>1470.366</f>
        <v>1470.366</v>
      </c>
      <c r="CC126">
        <f>13909.545</f>
        <v>13909.545</v>
      </c>
      <c r="CD126">
        <f>2403.086</f>
        <v>2403.0859999999998</v>
      </c>
      <c r="CE126">
        <f>7938.317</f>
        <v>7938.317</v>
      </c>
      <c r="CF126">
        <f>2398.31</f>
        <v>2398.31</v>
      </c>
      <c r="CG126">
        <f>5157.891</f>
        <v>5157.8909999999996</v>
      </c>
      <c r="CH126">
        <f>751.243</f>
        <v>751.24300000000005</v>
      </c>
      <c r="CI126">
        <f>674.935</f>
        <v>674.93499999999995</v>
      </c>
      <c r="CJ126">
        <f>320.505</f>
        <v>320.505</v>
      </c>
      <c r="CK126">
        <f>206.677</f>
        <v>206.67699999999999</v>
      </c>
      <c r="CL126">
        <f>518.181</f>
        <v>518.18100000000004</v>
      </c>
      <c r="CM126">
        <f>799.099</f>
        <v>799.09900000000005</v>
      </c>
      <c r="CN126">
        <f>265.743</f>
        <v>265.74299999999999</v>
      </c>
      <c r="CO126">
        <f>398.289</f>
        <v>398.28899999999999</v>
      </c>
      <c r="CP126">
        <f>643.039</f>
        <v>643.03899999999999</v>
      </c>
      <c r="CQ126">
        <f>98.17</f>
        <v>98.17</v>
      </c>
      <c r="CR126">
        <f>50.164</f>
        <v>50.164000000000001</v>
      </c>
      <c r="CS126">
        <f>21.699</f>
        <v>21.699000000000002</v>
      </c>
      <c r="CT126">
        <f>37.59</f>
        <v>37.590000000000003</v>
      </c>
      <c r="CU126">
        <f>64.984</f>
        <v>64.983999999999995</v>
      </c>
      <c r="CV126">
        <f>-10.884</f>
        <v>-10.884</v>
      </c>
      <c r="CW126">
        <f>-3.921</f>
        <v>-3.9209999999999998</v>
      </c>
      <c r="CX126">
        <f>26.378</f>
        <v>26.378</v>
      </c>
      <c r="CY126">
        <f>37.798</f>
        <v>37.798000000000002</v>
      </c>
      <c r="CZ126">
        <f>72.089</f>
        <v>72.088999999999999</v>
      </c>
      <c r="DA126">
        <f>400.639</f>
        <v>400.63900000000001</v>
      </c>
      <c r="DB126">
        <f>282.402</f>
        <v>282.40199999999999</v>
      </c>
      <c r="DC126">
        <f>401.574</f>
        <v>401.57400000000001</v>
      </c>
      <c r="DD126">
        <f>321.542</f>
        <v>321.54199999999997</v>
      </c>
      <c r="DE126">
        <f>203.371</f>
        <v>203.37100000000001</v>
      </c>
      <c r="DF126">
        <f>610.22</f>
        <v>610.22</v>
      </c>
      <c r="DG126">
        <f>213.524</f>
        <v>213.524</v>
      </c>
      <c r="DH126">
        <f>-72.935</f>
        <v>-72.935000000000002</v>
      </c>
      <c r="DI126">
        <f>118.517</f>
        <v>118.517</v>
      </c>
      <c r="DJ126">
        <f>295.132</f>
        <v>295.13200000000001</v>
      </c>
      <c r="DK126">
        <f>288.113</f>
        <v>288.113</v>
      </c>
      <c r="DL126">
        <f>153.332</f>
        <v>153.33199999999999</v>
      </c>
      <c r="DM126">
        <f>120.82</f>
        <v>120.82</v>
      </c>
      <c r="DN126">
        <f>116.917</f>
        <v>116.917</v>
      </c>
      <c r="DO126">
        <f>48.997</f>
        <v>48.997</v>
      </c>
      <c r="DP126">
        <f>28.981</f>
        <v>28.981000000000002</v>
      </c>
      <c r="DQ126">
        <f>125.379</f>
        <v>125.379</v>
      </c>
      <c r="DR126">
        <f>-4.8</f>
        <v>-4.8</v>
      </c>
      <c r="DS126">
        <f>4.8</f>
        <v>4.8</v>
      </c>
      <c r="DT126">
        <f>0</f>
        <v>0</v>
      </c>
      <c r="DU126">
        <f>0</f>
        <v>0</v>
      </c>
    </row>
    <row r="127" spans="1:125">
      <c r="A127" t="str">
        <f>"    Residential REITs"</f>
        <v xml:space="preserve">    Residential REITs</v>
      </c>
      <c r="B127" t="str">
        <f>"RECFNARS Index"</f>
        <v>RECFNARS Index</v>
      </c>
      <c r="E127" t="str">
        <f t="shared" si="27"/>
        <v>Expression</v>
      </c>
      <c r="F127">
        <f ca="1">IF(AND($B$183=1,LEN($F$227)&gt;0),$F$227*1000,HLOOKUP(INDIRECT(ADDRESS(2,COLUMN())),OFFSET($BN$2,0,0,ROW()-1,60),ROW()-1,FALSE))</f>
        <v>-5.5339999999999998</v>
      </c>
      <c r="G127">
        <f ca="1">IF(AND($B$183=1,LEN($G$227)&gt;0),$G$227*1000,HLOOKUP(INDIRECT(ADDRESS(2,COLUMN())),OFFSET($BN$2,0,0,ROW()-1,60),ROW()-1,FALSE))</f>
        <v>928.7</v>
      </c>
      <c r="H127">
        <f ca="1">IF(AND($B$183=1,LEN($H$227)&gt;0),$H$227*1000,HLOOKUP(INDIRECT(ADDRESS(2,COLUMN())),OFFSET($BN$2,0,0,ROW()-1,60),ROW()-1,FALSE))</f>
        <v>1606.711</v>
      </c>
      <c r="I127">
        <f ca="1">IF(AND($B$183=1,LEN($I$227)&gt;0),$I$227*1000,HLOOKUP(INDIRECT(ADDRESS(2,COLUMN())),OFFSET($BN$2,0,0,ROW()-1,60),ROW()-1,FALSE))</f>
        <v>212.62799999999999</v>
      </c>
      <c r="J127">
        <f ca="1">IF(AND($B$183=1,LEN($J$227)&gt;0),$J$227*1000,HLOOKUP(INDIRECT(ADDRESS(2,COLUMN())),OFFSET($BN$2,0,0,ROW()-1,60),ROW()-1,FALSE))</f>
        <v>-499.18</v>
      </c>
      <c r="K127">
        <f ca="1">IF(AND($B$183=1,LEN($K$227)&gt;0),$K$227*1000,HLOOKUP(INDIRECT(ADDRESS(2,COLUMN())),OFFSET($BN$2,0,0,ROW()-1,60),ROW()-1,FALSE))</f>
        <v>-144.666</v>
      </c>
      <c r="L127">
        <f ca="1">IF(AND($B$183=1,LEN($L$227)&gt;0),$L$227*1000,HLOOKUP(INDIRECT(ADDRESS(2,COLUMN())),OFFSET($BN$2,0,0,ROW()-1,60),ROW()-1,FALSE))</f>
        <v>745.20799999999997</v>
      </c>
      <c r="M127">
        <f ca="1">IF(AND($B$183=1,LEN($M$227)&gt;0),$M$227*1000,HLOOKUP(INDIRECT(ADDRESS(2,COLUMN())),OFFSET($BN$2,0,0,ROW()-1,60),ROW()-1,FALSE))</f>
        <v>20.995999999999999</v>
      </c>
      <c r="N127">
        <f ca="1">IF(AND($B$183=1,LEN($N$227)&gt;0),$N$227*1000,HLOOKUP(INDIRECT(ADDRESS(2,COLUMN())),OFFSET($BN$2,0,0,ROW()-1,60),ROW()-1,FALSE))</f>
        <v>281.86700000000002</v>
      </c>
      <c r="O127">
        <f ca="1">IF(AND($B$183=1,LEN($O$227)&gt;0),$O$227*1000,HLOOKUP(INDIRECT(ADDRESS(2,COLUMN())),OFFSET($BN$2,0,0,ROW()-1,60),ROW()-1,FALSE))</f>
        <v>1057.5830000000001</v>
      </c>
      <c r="P127">
        <f ca="1">IF(AND($B$183=1,LEN($P$227)&gt;0),$P$227*1000,HLOOKUP(INDIRECT(ADDRESS(2,COLUMN())),OFFSET($BN$2,0,0,ROW()-1,60),ROW()-1,FALSE))</f>
        <v>1195.4770000000001</v>
      </c>
      <c r="Q127">
        <f ca="1">IF(AND($B$183=1,LEN($Q$227)&gt;0),$Q$227*1000,HLOOKUP(INDIRECT(ADDRESS(2,COLUMN())),OFFSET($BN$2,0,0,ROW()-1,60),ROW()-1,FALSE))</f>
        <v>380.86599999999999</v>
      </c>
      <c r="R127">
        <f ca="1">IF(AND($B$183=1,LEN($R$227)&gt;0),$R$227*1000,HLOOKUP(INDIRECT(ADDRESS(2,COLUMN())),OFFSET($BN$2,0,0,ROW()-1,60),ROW()-1,FALSE))</f>
        <v>1168.604</v>
      </c>
      <c r="S127">
        <f ca="1">IF(AND($B$183=1,LEN($S$227)&gt;0),$S$227*1000,HLOOKUP(INDIRECT(ADDRESS(2,COLUMN())),OFFSET($BN$2,0,0,ROW()-1,60),ROW()-1,FALSE))</f>
        <v>20.48</v>
      </c>
      <c r="T127">
        <f ca="1">IF(AND($B$183=1,LEN($T$227)&gt;0),$T$227*1000,HLOOKUP(INDIRECT(ADDRESS(2,COLUMN())),OFFSET($BN$2,0,0,ROW()-1,60),ROW()-1,FALSE))</f>
        <v>5204.3919999999998</v>
      </c>
      <c r="U127">
        <f ca="1">IF(AND($B$183=1,LEN($U$227)&gt;0),$U$227*1000,HLOOKUP(INDIRECT(ADDRESS(2,COLUMN())),OFFSET($BN$2,0,0,ROW()-1,60),ROW()-1,FALSE))</f>
        <v>766.76900000000001</v>
      </c>
      <c r="V127">
        <f ca="1">IF(AND($B$183=1,LEN($V$227)&gt;0),$V$227*1000,HLOOKUP(INDIRECT(ADDRESS(2,COLUMN())),OFFSET($BN$2,0,0,ROW()-1,60),ROW()-1,FALSE))</f>
        <v>1714.0519999999999</v>
      </c>
      <c r="W127">
        <f ca="1">IF(AND($B$183=1,LEN($W$227)&gt;0),$W$227*1000,HLOOKUP(INDIRECT(ADDRESS(2,COLUMN())),OFFSET($BN$2,0,0,ROW()-1,60),ROW()-1,FALSE))</f>
        <v>-65.771000000000001</v>
      </c>
      <c r="X127">
        <f ca="1">IF(AND($B$183=1,LEN($X$227)&gt;0),$X$227*1000,HLOOKUP(INDIRECT(ADDRESS(2,COLUMN())),OFFSET($BN$2,0,0,ROW()-1,60),ROW()-1,FALSE))</f>
        <v>-1012.278</v>
      </c>
      <c r="Y127">
        <f ca="1">IF(AND($B$183=1,LEN($Y$227)&gt;0),$Y$227*1000,HLOOKUP(INDIRECT(ADDRESS(2,COLUMN())),OFFSET($BN$2,0,0,ROW()-1,60),ROW()-1,FALSE))</f>
        <v>12187.501</v>
      </c>
      <c r="Z127">
        <f ca="1">IF(AND($B$183=1,LEN($Z$227)&gt;0),$Z$227*1000,HLOOKUP(INDIRECT(ADDRESS(2,COLUMN())),OFFSET($BN$2,0,0,ROW()-1,60),ROW()-1,FALSE))</f>
        <v>-87.227000000000004</v>
      </c>
      <c r="AA127">
        <f ca="1">IF(AND($B$183=1,LEN($AA$227)&gt;0),$AA$227*1000,HLOOKUP(INDIRECT(ADDRESS(2,COLUMN())),OFFSET($BN$2,0,0,ROW()-1,60),ROW()-1,FALSE))</f>
        <v>1255.7470000000001</v>
      </c>
      <c r="AB127">
        <f ca="1">IF(AND($B$183=1,LEN($AB$227)&gt;0),$AB$227*1000,HLOOKUP(INDIRECT(ADDRESS(2,COLUMN())),OFFSET($BN$2,0,0,ROW()-1,60),ROW()-1,FALSE))</f>
        <v>293.70299999999997</v>
      </c>
      <c r="AC127">
        <f ca="1">IF(AND($B$183=1,LEN($AC$227)&gt;0),$AC$227*1000,HLOOKUP(INDIRECT(ADDRESS(2,COLUMN())),OFFSET($BN$2,0,0,ROW()-1,60),ROW()-1,FALSE))</f>
        <v>1481.335</v>
      </c>
      <c r="AD127">
        <f ca="1">IF(AND($B$183=1,LEN($AD$227)&gt;0),$AD$227*1000,HLOOKUP(INDIRECT(ADDRESS(2,COLUMN())),OFFSET($BN$2,0,0,ROW()-1,60),ROW()-1,FALSE))</f>
        <v>1372.104</v>
      </c>
      <c r="AE127">
        <f ca="1">IF(AND($B$183=1,LEN($AE$227)&gt;0),$AE$227*1000,HLOOKUP(INDIRECT(ADDRESS(2,COLUMN())),OFFSET($BN$2,0,0,ROW()-1,60),ROW()-1,FALSE))</f>
        <v>2515.9079999999999</v>
      </c>
      <c r="AF127">
        <f ca="1">IF(AND($B$183=1,LEN($AF$227)&gt;0),$AF$227*1000,HLOOKUP(INDIRECT(ADDRESS(2,COLUMN())),OFFSET($BN$2,0,0,ROW()-1,60),ROW()-1,FALSE))</f>
        <v>752.80600000000004</v>
      </c>
      <c r="AG127">
        <f ca="1">IF(AND($B$183=1,LEN($AG$227)&gt;0),$AG$227*1000,HLOOKUP(INDIRECT(ADDRESS(2,COLUMN())),OFFSET($BN$2,0,0,ROW()-1,60),ROW()-1,FALSE))</f>
        <v>241.85300000000001</v>
      </c>
      <c r="AH127">
        <f ca="1">IF(AND($B$183=1,LEN($AH$227)&gt;0),$AH$227*1000,HLOOKUP(INDIRECT(ADDRESS(2,COLUMN())),OFFSET($BN$2,0,0,ROW()-1,60),ROW()-1,FALSE))</f>
        <v>204.68899999999999</v>
      </c>
      <c r="AI127">
        <f ca="1">IF(AND($B$183=1,LEN($AI$227)&gt;0),$AI$227*1000,HLOOKUP(INDIRECT(ADDRESS(2,COLUMN())),OFFSET($BN$2,0,0,ROW()-1,60),ROW()-1,FALSE))</f>
        <v>1798.433</v>
      </c>
      <c r="AJ127">
        <f ca="1">IF(AND($B$183=1,LEN($AJ$227)&gt;0),$AJ$227*1000,HLOOKUP(INDIRECT(ADDRESS(2,COLUMN())),OFFSET($BN$2,0,0,ROW()-1,60),ROW()-1,FALSE))</f>
        <v>240.19</v>
      </c>
      <c r="AK127">
        <f ca="1">IF(AND($B$183=1,LEN($AK$227)&gt;0),$AK$227*1000,HLOOKUP(INDIRECT(ADDRESS(2,COLUMN())),OFFSET($BN$2,0,0,ROW()-1,60),ROW()-1,FALSE))</f>
        <v>494.03399999999999</v>
      </c>
      <c r="AL127">
        <f ca="1">IF(AND($B$183=1,LEN($AL$227)&gt;0),$AL$227*1000,HLOOKUP(INDIRECT(ADDRESS(2,COLUMN())),OFFSET($BN$2,0,0,ROW()-1,60),ROW()-1,FALSE))</f>
        <v>-465.80200000000002</v>
      </c>
      <c r="AM127">
        <f ca="1">IF(AND($B$183=1,LEN($AM$227)&gt;0),$AM$227*1000,HLOOKUP(INDIRECT(ADDRESS(2,COLUMN())),OFFSET($BN$2,0,0,ROW()-1,60),ROW()-1,FALSE))</f>
        <v>-971.26199999999994</v>
      </c>
      <c r="AN127">
        <f ca="1">IF(AND($B$183=1,LEN($AN$227)&gt;0),$AN$227*1000,HLOOKUP(INDIRECT(ADDRESS(2,COLUMN())),OFFSET($BN$2,0,0,ROW()-1,60),ROW()-1,FALSE))</f>
        <v>-636.52200000000005</v>
      </c>
      <c r="AO127">
        <f ca="1">IF(AND($B$183=1,LEN($AO$227)&gt;0),$AO$227*1000,HLOOKUP(INDIRECT(ADDRESS(2,COLUMN())),OFFSET($BN$2,0,0,ROW()-1,60),ROW()-1,FALSE))</f>
        <v>-369.47699999999998</v>
      </c>
      <c r="AP127">
        <f ca="1">IF(AND($B$183=1,LEN($AP$227)&gt;0),$AP$227*1000,HLOOKUP(INDIRECT(ADDRESS(2,COLUMN())),OFFSET($BN$2,0,0,ROW()-1,60),ROW()-1,FALSE))</f>
        <v>-1043.606</v>
      </c>
      <c r="AQ127">
        <f ca="1">IF(AND($B$183=1,LEN($AQ$227)&gt;0),$AQ$227*1000,HLOOKUP(INDIRECT(ADDRESS(2,COLUMN())),OFFSET($BN$2,0,0,ROW()-1,60),ROW()-1,FALSE))</f>
        <v>-1575.1859999999999</v>
      </c>
      <c r="AR127">
        <f ca="1">IF(AND($B$183=1,LEN($AR$227)&gt;0),$AR$227*1000,HLOOKUP(INDIRECT(ADDRESS(2,COLUMN())),OFFSET($BN$2,0,0,ROW()-1,60),ROW()-1,FALSE))</f>
        <v>83.941000000000003</v>
      </c>
      <c r="AS127">
        <f ca="1">IF(AND($B$183=1,LEN($AS$227)&gt;0),$AS$227*1000,HLOOKUP(INDIRECT(ADDRESS(2,COLUMN())),OFFSET($BN$2,0,0,ROW()-1,60),ROW()-1,FALSE))</f>
        <v>-1611.4</v>
      </c>
      <c r="AT127">
        <f ca="1">IF(AND($B$183=1,LEN($AT$227)&gt;0),$AT$227*1000,HLOOKUP(INDIRECT(ADDRESS(2,COLUMN())),OFFSET($BN$2,0,0,ROW()-1,60),ROW()-1,FALSE))</f>
        <v>-880.06</v>
      </c>
      <c r="AU127">
        <f ca="1">IF(AND($B$183=1,LEN($AU$227)&gt;0),$AU$227*1000,HLOOKUP(INDIRECT(ADDRESS(2,COLUMN())),OFFSET($BN$2,0,0,ROW()-1,60),ROW()-1,FALSE))</f>
        <v>-1181.7539999999999</v>
      </c>
      <c r="AV127">
        <f ca="1">IF(AND($B$183=1,LEN($AV$227)&gt;0),$AV$227*1000,HLOOKUP(INDIRECT(ADDRESS(2,COLUMN())),OFFSET($BN$2,0,0,ROW()-1,60),ROW()-1,FALSE))</f>
        <v>560.59500000000003</v>
      </c>
      <c r="AW127">
        <f ca="1">IF(AND($B$183=1,LEN($AW$227)&gt;0),$AW$227*1000,HLOOKUP(INDIRECT(ADDRESS(2,COLUMN())),OFFSET($BN$2,0,0,ROW()-1,60),ROW()-1,FALSE))</f>
        <v>52.2</v>
      </c>
      <c r="AX127">
        <f ca="1">IF(AND($B$183=1,LEN($AX$227)&gt;0),$AX$227*1000,HLOOKUP(INDIRECT(ADDRESS(2,COLUMN())),OFFSET($BN$2,0,0,ROW()-1,60),ROW()-1,FALSE))</f>
        <v>-1689.2049999999999</v>
      </c>
      <c r="AY127">
        <f ca="1">IF(AND($B$183=1,LEN($AY$227)&gt;0),$AY$227*1000,HLOOKUP(INDIRECT(ADDRESS(2,COLUMN())),OFFSET($BN$2,0,0,ROW()-1,60),ROW()-1,FALSE))</f>
        <v>1011.641</v>
      </c>
      <c r="AZ127">
        <f ca="1">IF(AND($B$183=1,LEN($AZ$227)&gt;0),$AZ$227*1000,HLOOKUP(INDIRECT(ADDRESS(2,COLUMN())),OFFSET($BN$2,0,0,ROW()-1,60),ROW()-1,FALSE))</f>
        <v>-77.471999999999994</v>
      </c>
      <c r="BA127">
        <f ca="1">IF(AND($B$183=1,LEN($BA$227)&gt;0),$BA$227*1000,HLOOKUP(INDIRECT(ADDRESS(2,COLUMN())),OFFSET($BN$2,0,0,ROW()-1,60),ROW()-1,FALSE))</f>
        <v>201.482</v>
      </c>
      <c r="BB127">
        <f ca="1">IF(AND($B$183=1,LEN($BB$227)&gt;0),$BB$227*1000,HLOOKUP(INDIRECT(ADDRESS(2,COLUMN())),OFFSET($BN$2,0,0,ROW()-1,60),ROW()-1,FALSE))</f>
        <v>434.745</v>
      </c>
      <c r="BC127">
        <f ca="1">IF(AND($B$183=1,LEN($BC$227)&gt;0),$BC$227*1000,HLOOKUP(INDIRECT(ADDRESS(2,COLUMN())),OFFSET($BN$2,0,0,ROW()-1,60),ROW()-1,FALSE))</f>
        <v>1174.567</v>
      </c>
      <c r="BD127">
        <f ca="1">IF(AND($B$183=1,LEN($BD$227)&gt;0),$BD$227*1000,HLOOKUP(INDIRECT(ADDRESS(2,COLUMN())),OFFSET($BN$2,0,0,ROW()-1,60),ROW()-1,FALSE))</f>
        <v>68.09</v>
      </c>
      <c r="BE127">
        <f ca="1">IF(AND($B$183=1,LEN($BE$227)&gt;0),$BE$227*1000,HLOOKUP(INDIRECT(ADDRESS(2,COLUMN())),OFFSET($BN$2,0,0,ROW()-1,60),ROW()-1,FALSE))</f>
        <v>2301.8220000000001</v>
      </c>
      <c r="BF127">
        <f ca="1">IF(AND($B$183=1,LEN($BF$227)&gt;0),$BF$227*1000,HLOOKUP(INDIRECT(ADDRESS(2,COLUMN())),OFFSET($BN$2,0,0,ROW()-1,60),ROW()-1,FALSE))</f>
        <v>-194.54</v>
      </c>
      <c r="BG127">
        <f ca="1">IF(AND($B$183=1,LEN($BG$227)&gt;0),$BG$227*1000,HLOOKUP(INDIRECT(ADDRESS(2,COLUMN())),OFFSET($BN$2,0,0,ROW()-1,60),ROW()-1,FALSE))</f>
        <v>-56.712000000000003</v>
      </c>
      <c r="BH127">
        <f ca="1">IF(AND($B$183=1,LEN($BH$227)&gt;0),$BH$227*1000,HLOOKUP(INDIRECT(ADDRESS(2,COLUMN())),OFFSET($BN$2,0,0,ROW()-1,60),ROW()-1,FALSE))</f>
        <v>-6.702</v>
      </c>
      <c r="BI127">
        <f ca="1">IF(AND($B$183=1,LEN($BI$227)&gt;0),$BI$227*1000,HLOOKUP(INDIRECT(ADDRESS(2,COLUMN())),OFFSET($BN$2,0,0,ROW()-1,60),ROW()-1,FALSE))</f>
        <v>1492.019</v>
      </c>
      <c r="BJ127">
        <f ca="1">IF(AND($B$183=1,LEN($BJ$227)&gt;0),$BJ$227*1000,HLOOKUP(INDIRECT(ADDRESS(2,COLUMN())),OFFSET($BN$2,0,0,ROW()-1,60),ROW()-1,FALSE))</f>
        <v>-1.4</v>
      </c>
      <c r="BK127">
        <f ca="1">IF(AND($B$183=1,LEN($BK$227)&gt;0),$BK$227*1000,HLOOKUP(INDIRECT(ADDRESS(2,COLUMN())),OFFSET($BN$2,0,0,ROW()-1,60),ROW()-1,FALSE))</f>
        <v>39.5</v>
      </c>
      <c r="BL127">
        <f ca="1">IF(AND($B$183=1,LEN($BL$227)&gt;0),$BL$227*1000,HLOOKUP(INDIRECT(ADDRESS(2,COLUMN())),OFFSET($BN$2,0,0,ROW()-1,60),ROW()-1,FALSE))</f>
        <v>-39.299999999999997</v>
      </c>
      <c r="BM127">
        <f ca="1">IF(AND($B$183=1,LEN($BM$227)&gt;0),$BM$227*1000,HLOOKUP(INDIRECT(ADDRESS(2,COLUMN())),OFFSET($BN$2,0,0,ROW()-1,60),ROW()-1,FALSE))</f>
        <v>-8</v>
      </c>
      <c r="BN127">
        <f>-5.534</f>
        <v>-5.5339999999999998</v>
      </c>
      <c r="BO127">
        <f>928.7</f>
        <v>928.7</v>
      </c>
      <c r="BP127">
        <f>1606.711</f>
        <v>1606.711</v>
      </c>
      <c r="BQ127">
        <f>212.628</f>
        <v>212.62799999999999</v>
      </c>
      <c r="BR127">
        <f>-499.18</f>
        <v>-499.18</v>
      </c>
      <c r="BS127">
        <f>-144.666</f>
        <v>-144.666</v>
      </c>
      <c r="BT127">
        <f>745.208</f>
        <v>745.20799999999997</v>
      </c>
      <c r="BU127">
        <f>20.996</f>
        <v>20.995999999999999</v>
      </c>
      <c r="BV127">
        <f>281.867</f>
        <v>281.86700000000002</v>
      </c>
      <c r="BW127">
        <f>1057.583</f>
        <v>1057.5830000000001</v>
      </c>
      <c r="BX127">
        <f>1195.477</f>
        <v>1195.4770000000001</v>
      </c>
      <c r="BY127">
        <f>380.866</f>
        <v>380.86599999999999</v>
      </c>
      <c r="BZ127">
        <f>1168.604</f>
        <v>1168.604</v>
      </c>
      <c r="CA127">
        <f>20.48</f>
        <v>20.48</v>
      </c>
      <c r="CB127">
        <f>5204.392</f>
        <v>5204.3919999999998</v>
      </c>
      <c r="CC127">
        <f>766.769</f>
        <v>766.76900000000001</v>
      </c>
      <c r="CD127">
        <f>1714.052</f>
        <v>1714.0519999999999</v>
      </c>
      <c r="CE127">
        <f>-65.771</f>
        <v>-65.771000000000001</v>
      </c>
      <c r="CF127">
        <f>-1012.278</f>
        <v>-1012.278</v>
      </c>
      <c r="CG127">
        <f>12187.501</f>
        <v>12187.501</v>
      </c>
      <c r="CH127">
        <f>-87.227</f>
        <v>-87.227000000000004</v>
      </c>
      <c r="CI127">
        <f>1255.747</f>
        <v>1255.7470000000001</v>
      </c>
      <c r="CJ127">
        <f>293.703</f>
        <v>293.70299999999997</v>
      </c>
      <c r="CK127">
        <f>1481.335</f>
        <v>1481.335</v>
      </c>
      <c r="CL127">
        <f>1372.104</f>
        <v>1372.104</v>
      </c>
      <c r="CM127">
        <f>2515.908</f>
        <v>2515.9079999999999</v>
      </c>
      <c r="CN127">
        <f>752.806</f>
        <v>752.80600000000004</v>
      </c>
      <c r="CO127">
        <f>241.853</f>
        <v>241.85300000000001</v>
      </c>
      <c r="CP127">
        <f>204.689</f>
        <v>204.68899999999999</v>
      </c>
      <c r="CQ127">
        <f>1798.433</f>
        <v>1798.433</v>
      </c>
      <c r="CR127">
        <f>240.19</f>
        <v>240.19</v>
      </c>
      <c r="CS127">
        <f>494.034</f>
        <v>494.03399999999999</v>
      </c>
      <c r="CT127">
        <f>-465.802</f>
        <v>-465.80200000000002</v>
      </c>
      <c r="CU127">
        <f>-971.262</f>
        <v>-971.26199999999994</v>
      </c>
      <c r="CV127">
        <f>-636.522</f>
        <v>-636.52200000000005</v>
      </c>
      <c r="CW127">
        <f>-369.477</f>
        <v>-369.47699999999998</v>
      </c>
      <c r="CX127">
        <f>-1043.606</f>
        <v>-1043.606</v>
      </c>
      <c r="CY127">
        <f>-1575.186</f>
        <v>-1575.1859999999999</v>
      </c>
      <c r="CZ127">
        <f>83.941</f>
        <v>83.941000000000003</v>
      </c>
      <c r="DA127">
        <f>-1611.4</f>
        <v>-1611.4</v>
      </c>
      <c r="DB127">
        <f>-880.06</f>
        <v>-880.06</v>
      </c>
      <c r="DC127">
        <f>-1181.754</f>
        <v>-1181.7539999999999</v>
      </c>
      <c r="DD127">
        <f>560.595</f>
        <v>560.59500000000003</v>
      </c>
      <c r="DE127">
        <f>52.2</f>
        <v>52.2</v>
      </c>
      <c r="DF127">
        <f>-1689.205</f>
        <v>-1689.2049999999999</v>
      </c>
      <c r="DG127">
        <f>1011.641</f>
        <v>1011.641</v>
      </c>
      <c r="DH127">
        <f>-77.472</f>
        <v>-77.471999999999994</v>
      </c>
      <c r="DI127">
        <f>201.482</f>
        <v>201.482</v>
      </c>
      <c r="DJ127">
        <f>434.745</f>
        <v>434.745</v>
      </c>
      <c r="DK127">
        <f>1174.567</f>
        <v>1174.567</v>
      </c>
      <c r="DL127">
        <f>68.09</f>
        <v>68.09</v>
      </c>
      <c r="DM127">
        <f>2301.822</f>
        <v>2301.8220000000001</v>
      </c>
      <c r="DN127">
        <f>-194.54</f>
        <v>-194.54</v>
      </c>
      <c r="DO127">
        <f>-56.712</f>
        <v>-56.712000000000003</v>
      </c>
      <c r="DP127">
        <f>-6.702</f>
        <v>-6.702</v>
      </c>
      <c r="DQ127">
        <f>1492.019</f>
        <v>1492.019</v>
      </c>
      <c r="DR127">
        <f>-1.4</f>
        <v>-1.4</v>
      </c>
      <c r="DS127">
        <f>39.5</f>
        <v>39.5</v>
      </c>
      <c r="DT127">
        <f>-39.3</f>
        <v>-39.299999999999997</v>
      </c>
      <c r="DU127">
        <f>-8</f>
        <v>-8</v>
      </c>
    </row>
    <row r="128" spans="1:125">
      <c r="A128" t="str">
        <f>"    Apartment REITs"</f>
        <v xml:space="preserve">    Apartment REITs</v>
      </c>
      <c r="B128" t="str">
        <f>"RECFNAAP Index"</f>
        <v>RECFNAAP Index</v>
      </c>
      <c r="E128" t="str">
        <f t="shared" si="27"/>
        <v>Expression</v>
      </c>
      <c r="F128">
        <f ca="1">IF(AND($B$183=1,LEN($F$228)&gt;0),$F$228*1000,HLOOKUP(INDIRECT(ADDRESS(2,COLUMN())),OFFSET($BN$2,0,0,ROW()-1,60),ROW()-1,FALSE))</f>
        <v>-214.54900000000001</v>
      </c>
      <c r="G128">
        <f ca="1">IF(AND($B$183=1,LEN($G$228)&gt;0),$G$228*1000,HLOOKUP(INDIRECT(ADDRESS(2,COLUMN())),OFFSET($BN$2,0,0,ROW()-1,60),ROW()-1,FALSE))</f>
        <v>639.33900000000006</v>
      </c>
      <c r="H128">
        <f ca="1">IF(AND($B$183=1,LEN($H$228)&gt;0),$H$228*1000,HLOOKUP(INDIRECT(ADDRESS(2,COLUMN())),OFFSET($BN$2,0,0,ROW()-1,60),ROW()-1,FALSE))</f>
        <v>578.69799999999998</v>
      </c>
      <c r="I128">
        <f ca="1">IF(AND($B$183=1,LEN($I$228)&gt;0),$I$228*1000,HLOOKUP(INDIRECT(ADDRESS(2,COLUMN())),OFFSET($BN$2,0,0,ROW()-1,60),ROW()-1,FALSE))</f>
        <v>155.797</v>
      </c>
      <c r="J128">
        <f ca="1">IF(AND($B$183=1,LEN($J$228)&gt;0),$J$228*1000,HLOOKUP(INDIRECT(ADDRESS(2,COLUMN())),OFFSET($BN$2,0,0,ROW()-1,60),ROW()-1,FALSE))</f>
        <v>-688.57600000000002</v>
      </c>
      <c r="K128">
        <f ca="1">IF(AND($B$183=1,LEN($K$228)&gt;0),$K$228*1000,HLOOKUP(INDIRECT(ADDRESS(2,COLUMN())),OFFSET($BN$2,0,0,ROW()-1,60),ROW()-1,FALSE))</f>
        <v>-198.74199999999999</v>
      </c>
      <c r="L128">
        <f ca="1">IF(AND($B$183=1,LEN($L$228)&gt;0),$L$228*1000,HLOOKUP(INDIRECT(ADDRESS(2,COLUMN())),OFFSET($BN$2,0,0,ROW()-1,60),ROW()-1,FALSE))</f>
        <v>-956.024</v>
      </c>
      <c r="M128">
        <f ca="1">IF(AND($B$183=1,LEN($M$228)&gt;0),$M$228*1000,HLOOKUP(INDIRECT(ADDRESS(2,COLUMN())),OFFSET($BN$2,0,0,ROW()-1,60),ROW()-1,FALSE))</f>
        <v>-6035.2179999999998</v>
      </c>
      <c r="N128">
        <f ca="1">IF(AND($B$183=1,LEN($N$228)&gt;0),$N$228*1000,HLOOKUP(INDIRECT(ADDRESS(2,COLUMN())),OFFSET($BN$2,0,0,ROW()-1,60),ROW()-1,FALSE))</f>
        <v>447.44</v>
      </c>
      <c r="O128">
        <f ca="1">IF(AND($B$183=1,LEN($O$228)&gt;0),$O$228*1000,HLOOKUP(INDIRECT(ADDRESS(2,COLUMN())),OFFSET($BN$2,0,0,ROW()-1,60),ROW()-1,FALSE))</f>
        <v>904.16200000000003</v>
      </c>
      <c r="P128">
        <f ca="1">IF(AND($B$183=1,LEN($P$228)&gt;0),$P$228*1000,HLOOKUP(INDIRECT(ADDRESS(2,COLUMN())),OFFSET($BN$2,0,0,ROW()-1,60),ROW()-1,FALSE))</f>
        <v>510.12200000000001</v>
      </c>
      <c r="Q128">
        <f ca="1">IF(AND($B$183=1,LEN($Q$228)&gt;0),$Q$228*1000,HLOOKUP(INDIRECT(ADDRESS(2,COLUMN())),OFFSET($BN$2,0,0,ROW()-1,60),ROW()-1,FALSE))</f>
        <v>-551.89099999999996</v>
      </c>
      <c r="R128">
        <f ca="1">IF(AND($B$183=1,LEN($R$228)&gt;0),$R$228*1000,HLOOKUP(INDIRECT(ADDRESS(2,COLUMN())),OFFSET($BN$2,0,0,ROW()-1,60),ROW()-1,FALSE))</f>
        <v>27.021999999999998</v>
      </c>
      <c r="S128">
        <f ca="1">IF(AND($B$183=1,LEN($S$228)&gt;0),$S$228*1000,HLOOKUP(INDIRECT(ADDRESS(2,COLUMN())),OFFSET($BN$2,0,0,ROW()-1,60),ROW()-1,FALSE))</f>
        <v>-410.99200000000002</v>
      </c>
      <c r="T128">
        <f ca="1">IF(AND($B$183=1,LEN($T$228)&gt;0),$T$228*1000,HLOOKUP(INDIRECT(ADDRESS(2,COLUMN())),OFFSET($BN$2,0,0,ROW()-1,60),ROW()-1,FALSE))</f>
        <v>4769.8109999999997</v>
      </c>
      <c r="U128">
        <f ca="1">IF(AND($B$183=1,LEN($U$228)&gt;0),$U$228*1000,HLOOKUP(INDIRECT(ADDRESS(2,COLUMN())),OFFSET($BN$2,0,0,ROW()-1,60),ROW()-1,FALSE))</f>
        <v>-168.678</v>
      </c>
      <c r="V128">
        <f ca="1">IF(AND($B$183=1,LEN($V$228)&gt;0),$V$228*1000,HLOOKUP(INDIRECT(ADDRESS(2,COLUMN())),OFFSET($BN$2,0,0,ROW()-1,60),ROW()-1,FALSE))</f>
        <v>1241.529</v>
      </c>
      <c r="W128">
        <f ca="1">IF(AND($B$183=1,LEN($W$228)&gt;0),$W$228*1000,HLOOKUP(INDIRECT(ADDRESS(2,COLUMN())),OFFSET($BN$2,0,0,ROW()-1,60),ROW()-1,FALSE))</f>
        <v>-660.14300000000003</v>
      </c>
      <c r="X128">
        <f ca="1">IF(AND($B$183=1,LEN($X$228)&gt;0),$X$228*1000,HLOOKUP(INDIRECT(ADDRESS(2,COLUMN())),OFFSET($BN$2,0,0,ROW()-1,60),ROW()-1,FALSE))</f>
        <v>-1352.6420000000001</v>
      </c>
      <c r="Y128">
        <f ca="1">IF(AND($B$183=1,LEN($Y$228)&gt;0),$Y$228*1000,HLOOKUP(INDIRECT(ADDRESS(2,COLUMN())),OFFSET($BN$2,0,0,ROW()-1,60),ROW()-1,FALSE))</f>
        <v>11866.067999999999</v>
      </c>
      <c r="Z128">
        <f ca="1">IF(AND($B$183=1,LEN($Z$228)&gt;0),$Z$228*1000,HLOOKUP(INDIRECT(ADDRESS(2,COLUMN())),OFFSET($BN$2,0,0,ROW()-1,60),ROW()-1,FALSE))</f>
        <v>-452.03199999999998</v>
      </c>
      <c r="AA128">
        <f ca="1">IF(AND($B$183=1,LEN($AA$228)&gt;0),$AA$228*1000,HLOOKUP(INDIRECT(ADDRESS(2,COLUMN())),OFFSET($BN$2,0,0,ROW()-1,60),ROW()-1,FALSE))</f>
        <v>1180.1969999999999</v>
      </c>
      <c r="AB128">
        <f ca="1">IF(AND($B$183=1,LEN($AB$228)&gt;0),$AB$228*1000,HLOOKUP(INDIRECT(ADDRESS(2,COLUMN())),OFFSET($BN$2,0,0,ROW()-1,60),ROW()-1,FALSE))</f>
        <v>293.70299999999997</v>
      </c>
      <c r="AC128">
        <f ca="1">IF(AND($B$183=1,LEN($AC$228)&gt;0),$AC$228*1000,HLOOKUP(INDIRECT(ADDRESS(2,COLUMN())),OFFSET($BN$2,0,0,ROW()-1,60),ROW()-1,FALSE))</f>
        <v>1454.7349999999999</v>
      </c>
      <c r="AD128">
        <f ca="1">IF(AND($B$183=1,LEN($AD$228)&gt;0),$AD$228*1000,HLOOKUP(INDIRECT(ADDRESS(2,COLUMN())),OFFSET($BN$2,0,0,ROW()-1,60),ROW()-1,FALSE))</f>
        <v>885.404</v>
      </c>
      <c r="AE128">
        <f ca="1">IF(AND($B$183=1,LEN($AE$228)&gt;0),$AE$228*1000,HLOOKUP(INDIRECT(ADDRESS(2,COLUMN())),OFFSET($BN$2,0,0,ROW()-1,60),ROW()-1,FALSE))</f>
        <v>1456.808</v>
      </c>
      <c r="AF128">
        <f ca="1">IF(AND($B$183=1,LEN($AF$228)&gt;0),$AF$228*1000,HLOOKUP(INDIRECT(ADDRESS(2,COLUMN())),OFFSET($BN$2,0,0,ROW()-1,60),ROW()-1,FALSE))</f>
        <v>590.00599999999997</v>
      </c>
      <c r="AG128">
        <f ca="1">IF(AND($B$183=1,LEN($AG$228)&gt;0),$AG$228*1000,HLOOKUP(INDIRECT(ADDRESS(2,COLUMN())),OFFSET($BN$2,0,0,ROW()-1,60),ROW()-1,FALSE))</f>
        <v>241.85300000000001</v>
      </c>
      <c r="AH128">
        <f ca="1">IF(AND($B$183=1,LEN($AH$228)&gt;0),$AH$228*1000,HLOOKUP(INDIRECT(ADDRESS(2,COLUMN())),OFFSET($BN$2,0,0,ROW()-1,60),ROW()-1,FALSE))</f>
        <v>180.43899999999999</v>
      </c>
      <c r="AI128">
        <f ca="1">IF(AND($B$183=1,LEN($AI$228)&gt;0),$AI$228*1000,HLOOKUP(INDIRECT(ADDRESS(2,COLUMN())),OFFSET($BN$2,0,0,ROW()-1,60),ROW()-1,FALSE))</f>
        <v>1798.433</v>
      </c>
      <c r="AJ128">
        <f ca="1">IF(AND($B$183=1,LEN($AJ$228)&gt;0),$AJ$228*1000,HLOOKUP(INDIRECT(ADDRESS(2,COLUMN())),OFFSET($BN$2,0,0,ROW()-1,60),ROW()-1,FALSE))</f>
        <v>224.99</v>
      </c>
      <c r="AK128">
        <f ca="1">IF(AND($B$183=1,LEN($AK$228)&gt;0),$AK$228*1000,HLOOKUP(INDIRECT(ADDRESS(2,COLUMN())),OFFSET($BN$2,0,0,ROW()-1,60),ROW()-1,FALSE))</f>
        <v>497.66199999999998</v>
      </c>
      <c r="AL128">
        <f ca="1">IF(AND($B$183=1,LEN($AL$228)&gt;0),$AL$228*1000,HLOOKUP(INDIRECT(ADDRESS(2,COLUMN())),OFFSET($BN$2,0,0,ROW()-1,60),ROW()-1,FALSE))</f>
        <v>-465.80200000000002</v>
      </c>
      <c r="AM128">
        <f ca="1">IF(AND($B$183=1,LEN($AM$228)&gt;0),$AM$228*1000,HLOOKUP(INDIRECT(ADDRESS(2,COLUMN())),OFFSET($BN$2,0,0,ROW()-1,60),ROW()-1,FALSE))</f>
        <v>-958.86199999999997</v>
      </c>
      <c r="AN128">
        <f ca="1">IF(AND($B$183=1,LEN($AN$228)&gt;0),$AN$228*1000,HLOOKUP(INDIRECT(ADDRESS(2,COLUMN())),OFFSET($BN$2,0,0,ROW()-1,60),ROW()-1,FALSE))</f>
        <v>-634.322</v>
      </c>
      <c r="AO128">
        <f ca="1">IF(AND($B$183=1,LEN($AO$228)&gt;0),$AO$228*1000,HLOOKUP(INDIRECT(ADDRESS(2,COLUMN())),OFFSET($BN$2,0,0,ROW()-1,60),ROW()-1,FALSE))</f>
        <v>-369.47699999999998</v>
      </c>
      <c r="AP128">
        <f ca="1">IF(AND($B$183=1,LEN($AP$228)&gt;0),$AP$228*1000,HLOOKUP(INDIRECT(ADDRESS(2,COLUMN())),OFFSET($BN$2,0,0,ROW()-1,60),ROW()-1,FALSE))</f>
        <v>-1043.606</v>
      </c>
      <c r="AQ128">
        <f ca="1">IF(AND($B$183=1,LEN($AQ$228)&gt;0),$AQ$228*1000,HLOOKUP(INDIRECT(ADDRESS(2,COLUMN())),OFFSET($BN$2,0,0,ROW()-1,60),ROW()-1,FALSE))</f>
        <v>-1575.1859999999999</v>
      </c>
      <c r="AR128">
        <f ca="1">IF(AND($B$183=1,LEN($AR$228)&gt;0),$AR$228*1000,HLOOKUP(INDIRECT(ADDRESS(2,COLUMN())),OFFSET($BN$2,0,0,ROW()-1,60),ROW()-1,FALSE))</f>
        <v>86.040999999999997</v>
      </c>
      <c r="AS128">
        <f ca="1">IF(AND($B$183=1,LEN($AS$228)&gt;0),$AS$228*1000,HLOOKUP(INDIRECT(ADDRESS(2,COLUMN())),OFFSET($BN$2,0,0,ROW()-1,60),ROW()-1,FALSE))</f>
        <v>-1621.3</v>
      </c>
      <c r="AT128">
        <f ca="1">IF(AND($B$183=1,LEN($AT$228)&gt;0),$AT$228*1000,HLOOKUP(INDIRECT(ADDRESS(2,COLUMN())),OFFSET($BN$2,0,0,ROW()-1,60),ROW()-1,FALSE))</f>
        <v>-884.76</v>
      </c>
      <c r="AU128">
        <f ca="1">IF(AND($B$183=1,LEN($AU$228)&gt;0),$AU$228*1000,HLOOKUP(INDIRECT(ADDRESS(2,COLUMN())),OFFSET($BN$2,0,0,ROW()-1,60),ROW()-1,FALSE))</f>
        <v>-1163.154</v>
      </c>
      <c r="AV128">
        <f ca="1">IF(AND($B$183=1,LEN($AV$228)&gt;0),$AV$228*1000,HLOOKUP(INDIRECT(ADDRESS(2,COLUMN())),OFFSET($BN$2,0,0,ROW()-1,60),ROW()-1,FALSE))</f>
        <v>549.69500000000005</v>
      </c>
      <c r="AW128">
        <f ca="1">IF(AND($B$183=1,LEN($AW$228)&gt;0),$AW$228*1000,HLOOKUP(INDIRECT(ADDRESS(2,COLUMN())),OFFSET($BN$2,0,0,ROW()-1,60),ROW()-1,FALSE))</f>
        <v>54</v>
      </c>
      <c r="AX128">
        <f ca="1">IF(AND($B$183=1,LEN($AX$228)&gt;0),$AX$228*1000,HLOOKUP(INDIRECT(ADDRESS(2,COLUMN())),OFFSET($BN$2,0,0,ROW()-1,60),ROW()-1,FALSE))</f>
        <v>-1715.8050000000001</v>
      </c>
      <c r="AY128">
        <f ca="1">IF(AND($B$183=1,LEN($AY$228)&gt;0),$AY$228*1000,HLOOKUP(INDIRECT(ADDRESS(2,COLUMN())),OFFSET($BN$2,0,0,ROW()-1,60),ROW()-1,FALSE))</f>
        <v>1011.641</v>
      </c>
      <c r="AZ128">
        <f ca="1">IF(AND($B$183=1,LEN($AZ$228)&gt;0),$AZ$228*1000,HLOOKUP(INDIRECT(ADDRESS(2,COLUMN())),OFFSET($BN$2,0,0,ROW()-1,60),ROW()-1,FALSE))</f>
        <v>-104.572</v>
      </c>
      <c r="BA128">
        <f ca="1">IF(AND($B$183=1,LEN($BA$228)&gt;0),$BA$228*1000,HLOOKUP(INDIRECT(ADDRESS(2,COLUMN())),OFFSET($BN$2,0,0,ROW()-1,60),ROW()-1,FALSE))</f>
        <v>138.482</v>
      </c>
      <c r="BB128">
        <f ca="1">IF(AND($B$183=1,LEN($BB$228)&gt;0),$BB$228*1000,HLOOKUP(INDIRECT(ADDRESS(2,COLUMN())),OFFSET($BN$2,0,0,ROW()-1,60),ROW()-1,FALSE))</f>
        <v>439.94499999999999</v>
      </c>
      <c r="BC128">
        <f ca="1">IF(AND($B$183=1,LEN($BC$228)&gt;0),$BC$228*1000,HLOOKUP(INDIRECT(ADDRESS(2,COLUMN())),OFFSET($BN$2,0,0,ROW()-1,60),ROW()-1,FALSE))</f>
        <v>1230.7840000000001</v>
      </c>
      <c r="BD128">
        <f ca="1">IF(AND($B$183=1,LEN($BD$228)&gt;0),$BD$228*1000,HLOOKUP(INDIRECT(ADDRESS(2,COLUMN())),OFFSET($BN$2,0,0,ROW()-1,60),ROW()-1,FALSE))</f>
        <v>67.191000000000003</v>
      </c>
      <c r="BE128">
        <f ca="1">IF(AND($B$183=1,LEN($BE$228)&gt;0),$BE$228*1000,HLOOKUP(INDIRECT(ADDRESS(2,COLUMN())),OFFSET($BN$2,0,0,ROW()-1,60),ROW()-1,FALSE))</f>
        <v>2294.5219999999999</v>
      </c>
      <c r="BF128">
        <f ca="1">IF(AND($B$183=1,LEN($BF$228)&gt;0),$BF$228*1000,HLOOKUP(INDIRECT(ADDRESS(2,COLUMN())),OFFSET($BN$2,0,0,ROW()-1,60),ROW()-1,FALSE))</f>
        <v>-381.733</v>
      </c>
      <c r="BG128">
        <f ca="1">IF(AND($B$183=1,LEN($BG$228)&gt;0),$BG$228*1000,HLOOKUP(INDIRECT(ADDRESS(2,COLUMN())),OFFSET($BN$2,0,0,ROW()-1,60),ROW()-1,FALSE))</f>
        <v>-49.915999999999997</v>
      </c>
      <c r="BH128">
        <f ca="1">IF(AND($B$183=1,LEN($BH$228)&gt;0),$BH$228*1000,HLOOKUP(INDIRECT(ADDRESS(2,COLUMN())),OFFSET($BN$2,0,0,ROW()-1,60),ROW()-1,FALSE))</f>
        <v>-324.15800000000002</v>
      </c>
      <c r="BI128">
        <f ca="1">IF(AND($B$183=1,LEN($BI$228)&gt;0),$BI$228*1000,HLOOKUP(INDIRECT(ADDRESS(2,COLUMN())),OFFSET($BN$2,0,0,ROW()-1,60),ROW()-1,FALSE))</f>
        <v>521.21500000000003</v>
      </c>
      <c r="BJ128">
        <f ca="1">IF(AND($B$183=1,LEN($BJ$228)&gt;0),$BJ$228*1000,HLOOKUP(INDIRECT(ADDRESS(2,COLUMN())),OFFSET($BN$2,0,0,ROW()-1,60),ROW()-1,FALSE))</f>
        <v>-18.8</v>
      </c>
      <c r="BK128">
        <f ca="1">IF(AND($B$183=1,LEN($BK$228)&gt;0),$BK$228*1000,HLOOKUP(INDIRECT(ADDRESS(2,COLUMN())),OFFSET($BN$2,0,0,ROW()-1,60),ROW()-1,FALSE))</f>
        <v>39.5</v>
      </c>
      <c r="BL128">
        <f ca="1">IF(AND($B$183=1,LEN($BL$228)&gt;0),$BL$228*1000,HLOOKUP(INDIRECT(ADDRESS(2,COLUMN())),OFFSET($BN$2,0,0,ROW()-1,60),ROW()-1,FALSE))</f>
        <v>-12.2</v>
      </c>
      <c r="BM128">
        <f ca="1">IF(AND($B$183=1,LEN($BM$228)&gt;0),$BM$228*1000,HLOOKUP(INDIRECT(ADDRESS(2,COLUMN())),OFFSET($BN$2,0,0,ROW()-1,60),ROW()-1,FALSE))</f>
        <v>-8</v>
      </c>
      <c r="BN128">
        <f>-214.549</f>
        <v>-214.54900000000001</v>
      </c>
      <c r="BO128">
        <f>639.339</f>
        <v>639.33900000000006</v>
      </c>
      <c r="BP128">
        <f>578.698</f>
        <v>578.69799999999998</v>
      </c>
      <c r="BQ128">
        <f>155.797</f>
        <v>155.797</v>
      </c>
      <c r="BR128">
        <f>-688.576</f>
        <v>-688.57600000000002</v>
      </c>
      <c r="BS128">
        <f>-198.742</f>
        <v>-198.74199999999999</v>
      </c>
      <c r="BT128">
        <f>-956.024</f>
        <v>-956.024</v>
      </c>
      <c r="BU128">
        <f>-6035.218</f>
        <v>-6035.2179999999998</v>
      </c>
      <c r="BV128">
        <f>447.44</f>
        <v>447.44</v>
      </c>
      <c r="BW128">
        <f>904.162</f>
        <v>904.16200000000003</v>
      </c>
      <c r="BX128">
        <f>510.122</f>
        <v>510.12200000000001</v>
      </c>
      <c r="BY128">
        <f>-551.891</f>
        <v>-551.89099999999996</v>
      </c>
      <c r="BZ128">
        <f>27.022</f>
        <v>27.021999999999998</v>
      </c>
      <c r="CA128">
        <f>-410.992</f>
        <v>-410.99200000000002</v>
      </c>
      <c r="CB128">
        <f>4769.811</f>
        <v>4769.8109999999997</v>
      </c>
      <c r="CC128">
        <f>-168.678</f>
        <v>-168.678</v>
      </c>
      <c r="CD128">
        <f>1241.529</f>
        <v>1241.529</v>
      </c>
      <c r="CE128">
        <f>-660.143</f>
        <v>-660.14300000000003</v>
      </c>
      <c r="CF128">
        <f>-1352.642</f>
        <v>-1352.6420000000001</v>
      </c>
      <c r="CG128">
        <f>11866.068</f>
        <v>11866.067999999999</v>
      </c>
      <c r="CH128">
        <f>-452.032</f>
        <v>-452.03199999999998</v>
      </c>
      <c r="CI128">
        <f>1180.197</f>
        <v>1180.1969999999999</v>
      </c>
      <c r="CJ128">
        <f>293.703</f>
        <v>293.70299999999997</v>
      </c>
      <c r="CK128">
        <f>1454.735</f>
        <v>1454.7349999999999</v>
      </c>
      <c r="CL128">
        <f>885.404</f>
        <v>885.404</v>
      </c>
      <c r="CM128">
        <f>1456.808</f>
        <v>1456.808</v>
      </c>
      <c r="CN128">
        <f>590.006</f>
        <v>590.00599999999997</v>
      </c>
      <c r="CO128">
        <f>241.853</f>
        <v>241.85300000000001</v>
      </c>
      <c r="CP128">
        <f>180.439</f>
        <v>180.43899999999999</v>
      </c>
      <c r="CQ128">
        <f>1798.433</f>
        <v>1798.433</v>
      </c>
      <c r="CR128">
        <f>224.99</f>
        <v>224.99</v>
      </c>
      <c r="CS128">
        <f>497.662</f>
        <v>497.66199999999998</v>
      </c>
      <c r="CT128">
        <f>-465.802</f>
        <v>-465.80200000000002</v>
      </c>
      <c r="CU128">
        <f>-958.862</f>
        <v>-958.86199999999997</v>
      </c>
      <c r="CV128">
        <f>-634.322</f>
        <v>-634.322</v>
      </c>
      <c r="CW128">
        <f>-369.477</f>
        <v>-369.47699999999998</v>
      </c>
      <c r="CX128">
        <f>-1043.606</f>
        <v>-1043.606</v>
      </c>
      <c r="CY128">
        <f>-1575.186</f>
        <v>-1575.1859999999999</v>
      </c>
      <c r="CZ128">
        <f>86.041</f>
        <v>86.040999999999997</v>
      </c>
      <c r="DA128">
        <f>-1621.3</f>
        <v>-1621.3</v>
      </c>
      <c r="DB128">
        <f>-884.76</f>
        <v>-884.76</v>
      </c>
      <c r="DC128">
        <f>-1163.154</f>
        <v>-1163.154</v>
      </c>
      <c r="DD128">
        <f>549.695</f>
        <v>549.69500000000005</v>
      </c>
      <c r="DE128">
        <f>54</f>
        <v>54</v>
      </c>
      <c r="DF128">
        <f>-1715.805</f>
        <v>-1715.8050000000001</v>
      </c>
      <c r="DG128">
        <f>1011.641</f>
        <v>1011.641</v>
      </c>
      <c r="DH128">
        <f>-104.572</f>
        <v>-104.572</v>
      </c>
      <c r="DI128">
        <f>138.482</f>
        <v>138.482</v>
      </c>
      <c r="DJ128">
        <f>439.945</f>
        <v>439.94499999999999</v>
      </c>
      <c r="DK128">
        <f>1230.784</f>
        <v>1230.7840000000001</v>
      </c>
      <c r="DL128">
        <f>67.191</f>
        <v>67.191000000000003</v>
      </c>
      <c r="DM128">
        <f>2294.522</f>
        <v>2294.5219999999999</v>
      </c>
      <c r="DN128">
        <f>-381.733</f>
        <v>-381.733</v>
      </c>
      <c r="DO128">
        <f>-49.916</f>
        <v>-49.915999999999997</v>
      </c>
      <c r="DP128">
        <f>-324.158</f>
        <v>-324.15800000000002</v>
      </c>
      <c r="DQ128">
        <f>521.215</f>
        <v>521.21500000000003</v>
      </c>
      <c r="DR128">
        <f>-18.8</f>
        <v>-18.8</v>
      </c>
      <c r="DS128">
        <f>39.5</f>
        <v>39.5</v>
      </c>
      <c r="DT128">
        <f>-12.2</f>
        <v>-12.2</v>
      </c>
      <c r="DU128">
        <f>-8</f>
        <v>-8</v>
      </c>
    </row>
    <row r="129" spans="1:125">
      <c r="A129" t="str">
        <f>"    Manufactured Home REITs"</f>
        <v xml:space="preserve">    Manufactured Home REITs</v>
      </c>
      <c r="B129" t="str">
        <f>"RECFNAMH Index"</f>
        <v>RECFNAMH Index</v>
      </c>
      <c r="E129" t="str">
        <f t="shared" si="27"/>
        <v>Expression</v>
      </c>
      <c r="F129">
        <f ca="1">IF(AND($B$183=1,LEN($F$229)&gt;0),$F$229*1000,HLOOKUP(INDIRECT(ADDRESS(2,COLUMN())),OFFSET($BN$2,0,0,ROW()-1,60),ROW()-1,FALSE))</f>
        <v>186.37799999999999</v>
      </c>
      <c r="G129">
        <f ca="1">IF(AND($B$183=1,LEN($G$229)&gt;0),$G$229*1000,HLOOKUP(INDIRECT(ADDRESS(2,COLUMN())),OFFSET($BN$2,0,0,ROW()-1,60),ROW()-1,FALSE))</f>
        <v>84.763999999999996</v>
      </c>
      <c r="H129">
        <f ca="1">IF(AND($B$183=1,LEN($H$229)&gt;0),$H$229*1000,HLOOKUP(INDIRECT(ADDRESS(2,COLUMN())),OFFSET($BN$2,0,0,ROW()-1,60),ROW()-1,FALSE))</f>
        <v>55.387999999999998</v>
      </c>
      <c r="I129">
        <f ca="1">IF(AND($B$183=1,LEN($I$229)&gt;0),$I$229*1000,HLOOKUP(INDIRECT(ADDRESS(2,COLUMN())),OFFSET($BN$2,0,0,ROW()-1,60),ROW()-1,FALSE))</f>
        <v>49.51</v>
      </c>
      <c r="J129">
        <f ca="1">IF(AND($B$183=1,LEN($J$229)&gt;0),$J$229*1000,HLOOKUP(INDIRECT(ADDRESS(2,COLUMN())),OFFSET($BN$2,0,0,ROW()-1,60),ROW()-1,FALSE))</f>
        <v>37.789000000000001</v>
      </c>
      <c r="K129">
        <f ca="1">IF(AND($B$183=1,LEN($K$229)&gt;0),$K$229*1000,HLOOKUP(INDIRECT(ADDRESS(2,COLUMN())),OFFSET($BN$2,0,0,ROW()-1,60),ROW()-1,FALSE))</f>
        <v>34.737000000000002</v>
      </c>
      <c r="L129">
        <f ca="1">IF(AND($B$183=1,LEN($L$229)&gt;0),$L$229*1000,HLOOKUP(INDIRECT(ADDRESS(2,COLUMN())),OFFSET($BN$2,0,0,ROW()-1,60),ROW()-1,FALSE))</f>
        <v>1783.94</v>
      </c>
      <c r="M129">
        <f ca="1">IF(AND($B$183=1,LEN($M$229)&gt;0),$M$229*1000,HLOOKUP(INDIRECT(ADDRESS(2,COLUMN())),OFFSET($BN$2,0,0,ROW()-1,60),ROW()-1,FALSE))</f>
        <v>45.15</v>
      </c>
      <c r="N129">
        <f ca="1">IF(AND($B$183=1,LEN($N$229)&gt;0),$N$229*1000,HLOOKUP(INDIRECT(ADDRESS(2,COLUMN())),OFFSET($BN$2,0,0,ROW()-1,60),ROW()-1,FALSE))</f>
        <v>-137.9</v>
      </c>
      <c r="O129">
        <f ca="1">IF(AND($B$183=1,LEN($O$229)&gt;0),$O$229*1000,HLOOKUP(INDIRECT(ADDRESS(2,COLUMN())),OFFSET($BN$2,0,0,ROW()-1,60),ROW()-1,FALSE))</f>
        <v>76.099999999999994</v>
      </c>
      <c r="P129">
        <f ca="1">IF(AND($B$183=1,LEN($P$229)&gt;0),$P$229*1000,HLOOKUP(INDIRECT(ADDRESS(2,COLUMN())),OFFSET($BN$2,0,0,ROW()-1,60),ROW()-1,FALSE))</f>
        <v>336.31700000000001</v>
      </c>
      <c r="Q129">
        <f ca="1">IF(AND($B$183=1,LEN($Q$229)&gt;0),$Q$229*1000,HLOOKUP(INDIRECT(ADDRESS(2,COLUMN())),OFFSET($BN$2,0,0,ROW()-1,60),ROW()-1,FALSE))</f>
        <v>749</v>
      </c>
      <c r="R129">
        <f ca="1">IF(AND($B$183=1,LEN($R$229)&gt;0),$R$229*1000,HLOOKUP(INDIRECT(ADDRESS(2,COLUMN())),OFFSET($BN$2,0,0,ROW()-1,60),ROW()-1,FALSE))</f>
        <v>651.79999999999995</v>
      </c>
      <c r="S129">
        <f ca="1">IF(AND($B$183=1,LEN($S$229)&gt;0),$S$229*1000,HLOOKUP(INDIRECT(ADDRESS(2,COLUMN())),OFFSET($BN$2,0,0,ROW()-1,60),ROW()-1,FALSE))</f>
        <v>-15.2</v>
      </c>
      <c r="T129">
        <f ca="1">IF(AND($B$183=1,LEN($T$229)&gt;0),$T$229*1000,HLOOKUP(INDIRECT(ADDRESS(2,COLUMN())),OFFSET($BN$2,0,0,ROW()-1,60),ROW()-1,FALSE))</f>
        <v>19.102</v>
      </c>
      <c r="U129">
        <f ca="1">IF(AND($B$183=1,LEN($U$229)&gt;0),$U$229*1000,HLOOKUP(INDIRECT(ADDRESS(2,COLUMN())),OFFSET($BN$2,0,0,ROW()-1,60),ROW()-1,FALSE))</f>
        <v>155.15</v>
      </c>
      <c r="V129">
        <f ca="1">IF(AND($B$183=1,LEN($V$229)&gt;0),$V$229*1000,HLOOKUP(INDIRECT(ADDRESS(2,COLUMN())),OFFSET($BN$2,0,0,ROW()-1,60),ROW()-1,FALSE))</f>
        <v>61.52</v>
      </c>
      <c r="W129">
        <f ca="1">IF(AND($B$183=1,LEN($W$229)&gt;0),$W$229*1000,HLOOKUP(INDIRECT(ADDRESS(2,COLUMN())),OFFSET($BN$2,0,0,ROW()-1,60),ROW()-1,FALSE))</f>
        <v>-38.369999999999997</v>
      </c>
      <c r="X129">
        <f ca="1">IF(AND($B$183=1,LEN($X$229)&gt;0),$X$229*1000,HLOOKUP(INDIRECT(ADDRESS(2,COLUMN())),OFFSET($BN$2,0,0,ROW()-1,60),ROW()-1,FALSE))</f>
        <v>36.15</v>
      </c>
      <c r="Y129">
        <f ca="1">IF(AND($B$183=1,LEN($Y$229)&gt;0),$Y$229*1000,HLOOKUP(INDIRECT(ADDRESS(2,COLUMN())),OFFSET($BN$2,0,0,ROW()-1,60),ROW()-1,FALSE))</f>
        <v>180.3</v>
      </c>
      <c r="Z129">
        <f ca="1">IF(AND($B$183=1,LEN($Z$229)&gt;0),$Z$229*1000,HLOOKUP(INDIRECT(ADDRESS(2,COLUMN())),OFFSET($BN$2,0,0,ROW()-1,60),ROW()-1,FALSE))</f>
        <v>266.85000000000002</v>
      </c>
      <c r="AA129">
        <f ca="1">IF(AND($B$183=1,LEN($AA$229)&gt;0),$AA$229*1000,HLOOKUP(INDIRECT(ADDRESS(2,COLUMN())),OFFSET($BN$2,0,0,ROW()-1,60),ROW()-1,FALSE))</f>
        <v>75.55</v>
      </c>
      <c r="AB129">
        <f ca="1">IF(AND($B$183=1,LEN($AB$229)&gt;0),$AB$229*1000,HLOOKUP(INDIRECT(ADDRESS(2,COLUMN())),OFFSET($BN$2,0,0,ROW()-1,60),ROW()-1,FALSE))</f>
        <v>0</v>
      </c>
      <c r="AC129">
        <f ca="1">IF(AND($B$183=1,LEN($AC$229)&gt;0),$AC$229*1000,HLOOKUP(INDIRECT(ADDRESS(2,COLUMN())),OFFSET($BN$2,0,0,ROW()-1,60),ROW()-1,FALSE))</f>
        <v>26.6</v>
      </c>
      <c r="AD129">
        <f ca="1">IF(AND($B$183=1,LEN($AD$229)&gt;0),$AD$229*1000,HLOOKUP(INDIRECT(ADDRESS(2,COLUMN())),OFFSET($BN$2,0,0,ROW()-1,60),ROW()-1,FALSE))</f>
        <v>486.7</v>
      </c>
      <c r="AE129">
        <f ca="1">IF(AND($B$183=1,LEN($AE$229)&gt;0),$AE$229*1000,HLOOKUP(INDIRECT(ADDRESS(2,COLUMN())),OFFSET($BN$2,0,0,ROW()-1,60),ROW()-1,FALSE))</f>
        <v>1059.0999999999999</v>
      </c>
      <c r="AF129">
        <f ca="1">IF(AND($B$183=1,LEN($AF$229)&gt;0),$AF$229*1000,HLOOKUP(INDIRECT(ADDRESS(2,COLUMN())),OFFSET($BN$2,0,0,ROW()-1,60),ROW()-1,FALSE))</f>
        <v>162.80000000000001</v>
      </c>
      <c r="AG129">
        <f ca="1">IF(AND($B$183=1,LEN($AG$229)&gt;0),$AG$229*1000,HLOOKUP(INDIRECT(ADDRESS(2,COLUMN())),OFFSET($BN$2,0,0,ROW()-1,60),ROW()-1,FALSE))</f>
        <v>0</v>
      </c>
      <c r="AH129">
        <f ca="1">IF(AND($B$183=1,LEN($AH$229)&gt;0),$AH$229*1000,HLOOKUP(INDIRECT(ADDRESS(2,COLUMN())),OFFSET($BN$2,0,0,ROW()-1,60),ROW()-1,FALSE))</f>
        <v>24.25</v>
      </c>
      <c r="AI129">
        <f ca="1">IF(AND($B$183=1,LEN($AI$229)&gt;0),$AI$229*1000,HLOOKUP(INDIRECT(ADDRESS(2,COLUMN())),OFFSET($BN$2,0,0,ROW()-1,60),ROW()-1,FALSE))</f>
        <v>0</v>
      </c>
      <c r="AJ129">
        <f ca="1">IF(AND($B$183=1,LEN($AJ$229)&gt;0),$AJ$229*1000,HLOOKUP(INDIRECT(ADDRESS(2,COLUMN())),OFFSET($BN$2,0,0,ROW()-1,60),ROW()-1,FALSE))</f>
        <v>15.2</v>
      </c>
      <c r="AK129">
        <f ca="1">IF(AND($B$183=1,LEN($AK$229)&gt;0),$AK$229*1000,HLOOKUP(INDIRECT(ADDRESS(2,COLUMN())),OFFSET($BN$2,0,0,ROW()-1,60),ROW()-1,FALSE))</f>
        <v>-3.6280000000000001</v>
      </c>
      <c r="AL129">
        <f ca="1">IF(AND($B$183=1,LEN($AL$229)&gt;0),$AL$229*1000,HLOOKUP(INDIRECT(ADDRESS(2,COLUMN())),OFFSET($BN$2,0,0,ROW()-1,60),ROW()-1,FALSE))</f>
        <v>0</v>
      </c>
      <c r="AM129">
        <f ca="1">IF(AND($B$183=1,LEN($AM$229)&gt;0),$AM$229*1000,HLOOKUP(INDIRECT(ADDRESS(2,COLUMN())),OFFSET($BN$2,0,0,ROW()-1,60),ROW()-1,FALSE))</f>
        <v>-12.4</v>
      </c>
      <c r="AN129">
        <f ca="1">IF(AND($B$183=1,LEN($AN$229)&gt;0),$AN$229*1000,HLOOKUP(INDIRECT(ADDRESS(2,COLUMN())),OFFSET($BN$2,0,0,ROW()-1,60),ROW()-1,FALSE))</f>
        <v>-2.2000000000000002</v>
      </c>
      <c r="AO129">
        <f ca="1">IF(AND($B$183=1,LEN($AO$229)&gt;0),$AO$229*1000,HLOOKUP(INDIRECT(ADDRESS(2,COLUMN())),OFFSET($BN$2,0,0,ROW()-1,60),ROW()-1,FALSE))</f>
        <v>0</v>
      </c>
      <c r="AP129">
        <f ca="1">IF(AND($B$183=1,LEN($AP$229)&gt;0),$AP$229*1000,HLOOKUP(INDIRECT(ADDRESS(2,COLUMN())),OFFSET($BN$2,0,0,ROW()-1,60),ROW()-1,FALSE))</f>
        <v>0</v>
      </c>
      <c r="AQ129">
        <f ca="1">IF(AND($B$183=1,LEN($AQ$229)&gt;0),$AQ$229*1000,HLOOKUP(INDIRECT(ADDRESS(2,COLUMN())),OFFSET($BN$2,0,0,ROW()-1,60),ROW()-1,FALSE))</f>
        <v>0</v>
      </c>
      <c r="AR129">
        <f ca="1">IF(AND($B$183=1,LEN($AR$229)&gt;0),$AR$229*1000,HLOOKUP(INDIRECT(ADDRESS(2,COLUMN())),OFFSET($BN$2,0,0,ROW()-1,60),ROW()-1,FALSE))</f>
        <v>-2.1</v>
      </c>
      <c r="AS129">
        <f ca="1">IF(AND($B$183=1,LEN($AS$229)&gt;0),$AS$229*1000,HLOOKUP(INDIRECT(ADDRESS(2,COLUMN())),OFFSET($BN$2,0,0,ROW()-1,60),ROW()-1,FALSE))</f>
        <v>9.9</v>
      </c>
      <c r="AT129">
        <f ca="1">IF(AND($B$183=1,LEN($AT$229)&gt;0),$AT$229*1000,HLOOKUP(INDIRECT(ADDRESS(2,COLUMN())),OFFSET($BN$2,0,0,ROW()-1,60),ROW()-1,FALSE))</f>
        <v>4.7</v>
      </c>
      <c r="AU129">
        <f ca="1">IF(AND($B$183=1,LEN($AU$229)&gt;0),$AU$229*1000,HLOOKUP(INDIRECT(ADDRESS(2,COLUMN())),OFFSET($BN$2,0,0,ROW()-1,60),ROW()-1,FALSE))</f>
        <v>-18.600000000000001</v>
      </c>
      <c r="AV129">
        <f ca="1">IF(AND($B$183=1,LEN($AV$229)&gt;0),$AV$229*1000,HLOOKUP(INDIRECT(ADDRESS(2,COLUMN())),OFFSET($BN$2,0,0,ROW()-1,60),ROW()-1,FALSE))</f>
        <v>10.9</v>
      </c>
      <c r="AW129">
        <f ca="1">IF(AND($B$183=1,LEN($AW$229)&gt;0),$AW$229*1000,HLOOKUP(INDIRECT(ADDRESS(2,COLUMN())),OFFSET($BN$2,0,0,ROW()-1,60),ROW()-1,FALSE))</f>
        <v>-1.8</v>
      </c>
      <c r="AX129">
        <f ca="1">IF(AND($B$183=1,LEN($AX$229)&gt;0),$AX$229*1000,HLOOKUP(INDIRECT(ADDRESS(2,COLUMN())),OFFSET($BN$2,0,0,ROW()-1,60),ROW()-1,FALSE))</f>
        <v>26.6</v>
      </c>
      <c r="AY129">
        <f ca="1">IF(AND($B$183=1,LEN($AY$229)&gt;0),$AY$229*1000,HLOOKUP(INDIRECT(ADDRESS(2,COLUMN())),OFFSET($BN$2,0,0,ROW()-1,60),ROW()-1,FALSE))</f>
        <v>0</v>
      </c>
      <c r="AZ129">
        <f ca="1">IF(AND($B$183=1,LEN($AZ$229)&gt;0),$AZ$229*1000,HLOOKUP(INDIRECT(ADDRESS(2,COLUMN())),OFFSET($BN$2,0,0,ROW()-1,60),ROW()-1,FALSE))</f>
        <v>27.1</v>
      </c>
      <c r="BA129">
        <f ca="1">IF(AND($B$183=1,LEN($BA$229)&gt;0),$BA$229*1000,HLOOKUP(INDIRECT(ADDRESS(2,COLUMN())),OFFSET($BN$2,0,0,ROW()-1,60),ROW()-1,FALSE))</f>
        <v>63</v>
      </c>
      <c r="BB129">
        <f ca="1">IF(AND($B$183=1,LEN($BB$229)&gt;0),$BB$229*1000,HLOOKUP(INDIRECT(ADDRESS(2,COLUMN())),OFFSET($BN$2,0,0,ROW()-1,60),ROW()-1,FALSE))</f>
        <v>-5.2</v>
      </c>
      <c r="BC129">
        <f ca="1">IF(AND($B$183=1,LEN($BC$229)&gt;0),$BC$229*1000,HLOOKUP(INDIRECT(ADDRESS(2,COLUMN())),OFFSET($BN$2,0,0,ROW()-1,60),ROW()-1,FALSE))</f>
        <v>-56.216999999999999</v>
      </c>
      <c r="BD129">
        <f ca="1">IF(AND($B$183=1,LEN($BD$229)&gt;0),$BD$229*1000,HLOOKUP(INDIRECT(ADDRESS(2,COLUMN())),OFFSET($BN$2,0,0,ROW()-1,60),ROW()-1,FALSE))</f>
        <v>0.9</v>
      </c>
      <c r="BE129">
        <f ca="1">IF(AND($B$183=1,LEN($BE$229)&gt;0),$BE$229*1000,HLOOKUP(INDIRECT(ADDRESS(2,COLUMN())),OFFSET($BN$2,0,0,ROW()-1,60),ROW()-1,FALSE))</f>
        <v>7.3</v>
      </c>
      <c r="BF129">
        <f ca="1">IF(AND($B$183=1,LEN($BF$229)&gt;0),$BF$229*1000,HLOOKUP(INDIRECT(ADDRESS(2,COLUMN())),OFFSET($BN$2,0,0,ROW()-1,60),ROW()-1,FALSE))</f>
        <v>187.19300000000001</v>
      </c>
      <c r="BG129">
        <f ca="1">IF(AND($B$183=1,LEN($BG$229)&gt;0),$BG$229*1000,HLOOKUP(INDIRECT(ADDRESS(2,COLUMN())),OFFSET($BN$2,0,0,ROW()-1,60),ROW()-1,FALSE))</f>
        <v>-6.7960000000000003</v>
      </c>
      <c r="BH129">
        <f ca="1">IF(AND($B$183=1,LEN($BH$229)&gt;0),$BH$229*1000,HLOOKUP(INDIRECT(ADDRESS(2,COLUMN())),OFFSET($BN$2,0,0,ROW()-1,60),ROW()-1,FALSE))</f>
        <v>317.45600000000002</v>
      </c>
      <c r="BI129">
        <f ca="1">IF(AND($B$183=1,LEN($BI$229)&gt;0),$BI$229*1000,HLOOKUP(INDIRECT(ADDRESS(2,COLUMN())),OFFSET($BN$2,0,0,ROW()-1,60),ROW()-1,FALSE))</f>
        <v>970.80399999999997</v>
      </c>
      <c r="BJ129">
        <f ca="1">IF(AND($B$183=1,LEN($BJ$229)&gt;0),$BJ$229*1000,HLOOKUP(INDIRECT(ADDRESS(2,COLUMN())),OFFSET($BN$2,0,0,ROW()-1,60),ROW()-1,FALSE))</f>
        <v>17.399999999999999</v>
      </c>
      <c r="BK129">
        <f ca="1">IF(AND($B$183=1,LEN($BK$229)&gt;0),$BK$229*1000,HLOOKUP(INDIRECT(ADDRESS(2,COLUMN())),OFFSET($BN$2,0,0,ROW()-1,60),ROW()-1,FALSE))</f>
        <v>0</v>
      </c>
      <c r="BL129">
        <f ca="1">IF(AND($B$183=1,LEN($BL$229)&gt;0),$BL$229*1000,HLOOKUP(INDIRECT(ADDRESS(2,COLUMN())),OFFSET($BN$2,0,0,ROW()-1,60),ROW()-1,FALSE))</f>
        <v>-27.1</v>
      </c>
      <c r="BM129">
        <f ca="1">IF(AND($B$183=1,LEN($BM$229)&gt;0),$BM$229*1000,HLOOKUP(INDIRECT(ADDRESS(2,COLUMN())),OFFSET($BN$2,0,0,ROW()-1,60),ROW()-1,FALSE))</f>
        <v>0</v>
      </c>
      <c r="BN129">
        <f>186.378</f>
        <v>186.37799999999999</v>
      </c>
      <c r="BO129">
        <f>84.764</f>
        <v>84.763999999999996</v>
      </c>
      <c r="BP129">
        <f>55.388</f>
        <v>55.387999999999998</v>
      </c>
      <c r="BQ129">
        <f>49.51</f>
        <v>49.51</v>
      </c>
      <c r="BR129">
        <f>37.789</f>
        <v>37.789000000000001</v>
      </c>
      <c r="BS129">
        <f>34.737</f>
        <v>34.737000000000002</v>
      </c>
      <c r="BT129">
        <f>1783.94</f>
        <v>1783.94</v>
      </c>
      <c r="BU129">
        <f>45.15</f>
        <v>45.15</v>
      </c>
      <c r="BV129">
        <f>-137.9</f>
        <v>-137.9</v>
      </c>
      <c r="BW129">
        <f>76.1</f>
        <v>76.099999999999994</v>
      </c>
      <c r="BX129">
        <f>336.317</f>
        <v>336.31700000000001</v>
      </c>
      <c r="BY129">
        <f>749</f>
        <v>749</v>
      </c>
      <c r="BZ129">
        <f>651.8</f>
        <v>651.79999999999995</v>
      </c>
      <c r="CA129">
        <f>-15.2</f>
        <v>-15.2</v>
      </c>
      <c r="CB129">
        <f>19.102</f>
        <v>19.102</v>
      </c>
      <c r="CC129">
        <f>155.15</f>
        <v>155.15</v>
      </c>
      <c r="CD129">
        <f>61.52</f>
        <v>61.52</v>
      </c>
      <c r="CE129">
        <f>-38.37</f>
        <v>-38.369999999999997</v>
      </c>
      <c r="CF129">
        <f>36.15</f>
        <v>36.15</v>
      </c>
      <c r="CG129">
        <f>180.3</f>
        <v>180.3</v>
      </c>
      <c r="CH129">
        <f>266.85</f>
        <v>266.85000000000002</v>
      </c>
      <c r="CI129">
        <f>75.55</f>
        <v>75.55</v>
      </c>
      <c r="CJ129">
        <f>0</f>
        <v>0</v>
      </c>
      <c r="CK129">
        <f>26.6</f>
        <v>26.6</v>
      </c>
      <c r="CL129">
        <f>486.7</f>
        <v>486.7</v>
      </c>
      <c r="CM129">
        <f>1059.1</f>
        <v>1059.0999999999999</v>
      </c>
      <c r="CN129">
        <f>162.8</f>
        <v>162.80000000000001</v>
      </c>
      <c r="CO129">
        <f>0</f>
        <v>0</v>
      </c>
      <c r="CP129">
        <f>24.25</f>
        <v>24.25</v>
      </c>
      <c r="CQ129">
        <f>0</f>
        <v>0</v>
      </c>
      <c r="CR129">
        <f>15.2</f>
        <v>15.2</v>
      </c>
      <c r="CS129">
        <f>-3.628</f>
        <v>-3.6280000000000001</v>
      </c>
      <c r="CT129">
        <f>0</f>
        <v>0</v>
      </c>
      <c r="CU129">
        <f>-12.4</f>
        <v>-12.4</v>
      </c>
      <c r="CV129">
        <f>-2.2</f>
        <v>-2.2000000000000002</v>
      </c>
      <c r="CW129">
        <f>0</f>
        <v>0</v>
      </c>
      <c r="CX129">
        <f>0</f>
        <v>0</v>
      </c>
      <c r="CY129">
        <f>0</f>
        <v>0</v>
      </c>
      <c r="CZ129">
        <f>-2.1</f>
        <v>-2.1</v>
      </c>
      <c r="DA129">
        <f>9.9</f>
        <v>9.9</v>
      </c>
      <c r="DB129">
        <f>4.7</f>
        <v>4.7</v>
      </c>
      <c r="DC129">
        <f>-18.6</f>
        <v>-18.600000000000001</v>
      </c>
      <c r="DD129">
        <f>10.9</f>
        <v>10.9</v>
      </c>
      <c r="DE129">
        <f>-1.8</f>
        <v>-1.8</v>
      </c>
      <c r="DF129">
        <f>26.6</f>
        <v>26.6</v>
      </c>
      <c r="DG129">
        <f>0</f>
        <v>0</v>
      </c>
      <c r="DH129">
        <f>27.1</f>
        <v>27.1</v>
      </c>
      <c r="DI129">
        <f>63</f>
        <v>63</v>
      </c>
      <c r="DJ129">
        <f>-5.2</f>
        <v>-5.2</v>
      </c>
      <c r="DK129">
        <f>-56.217</f>
        <v>-56.216999999999999</v>
      </c>
      <c r="DL129">
        <f>0.9</f>
        <v>0.9</v>
      </c>
      <c r="DM129">
        <f>7.3</f>
        <v>7.3</v>
      </c>
      <c r="DN129">
        <f>187.193</f>
        <v>187.19300000000001</v>
      </c>
      <c r="DO129">
        <f>-6.796</f>
        <v>-6.7960000000000003</v>
      </c>
      <c r="DP129">
        <f>317.456</f>
        <v>317.45600000000002</v>
      </c>
      <c r="DQ129">
        <f>970.804</f>
        <v>970.80399999999997</v>
      </c>
      <c r="DR129">
        <f>17.4</f>
        <v>17.399999999999999</v>
      </c>
      <c r="DS129">
        <f>0</f>
        <v>0</v>
      </c>
      <c r="DT129">
        <f>-27.1</f>
        <v>-27.1</v>
      </c>
      <c r="DU129">
        <f>0</f>
        <v>0</v>
      </c>
    </row>
    <row r="130" spans="1:125">
      <c r="A130" t="str">
        <f>"    Single Family Rental REITs"</f>
        <v xml:space="preserve">    Single Family Rental REITs</v>
      </c>
      <c r="B130" t="str">
        <f>"RECFNASF Index"</f>
        <v>RECFNASF Index</v>
      </c>
      <c r="E130" t="str">
        <f t="shared" si="27"/>
        <v>Expression</v>
      </c>
      <c r="F130">
        <f ca="1">IF(AND($B$183=1,LEN($F$230)&gt;0),$F$230*1000,HLOOKUP(INDIRECT(ADDRESS(2,COLUMN())),OFFSET($BN$2,0,0,ROW()-1,60),ROW()-1,FALSE))</f>
        <v>22.637</v>
      </c>
      <c r="G130">
        <f ca="1">IF(AND($B$183=1,LEN($G$230)&gt;0),$G$230*1000,HLOOKUP(INDIRECT(ADDRESS(2,COLUMN())),OFFSET($BN$2,0,0,ROW()-1,60),ROW()-1,FALSE))</f>
        <v>204.59700000000001</v>
      </c>
      <c r="H130">
        <f ca="1">IF(AND($B$183=1,LEN($H$230)&gt;0),$H$230*1000,HLOOKUP(INDIRECT(ADDRESS(2,COLUMN())),OFFSET($BN$2,0,0,ROW()-1,60),ROW()-1,FALSE))</f>
        <v>972.625</v>
      </c>
      <c r="I130">
        <f ca="1">IF(AND($B$183=1,LEN($I$230)&gt;0),$I$230*1000,HLOOKUP(INDIRECT(ADDRESS(2,COLUMN())),OFFSET($BN$2,0,0,ROW()-1,60),ROW()-1,FALSE))</f>
        <v>7.3209999999999997</v>
      </c>
      <c r="J130">
        <f ca="1">IF(AND($B$183=1,LEN($J$230)&gt;0),$J$230*1000,HLOOKUP(INDIRECT(ADDRESS(2,COLUMN())),OFFSET($BN$2,0,0,ROW()-1,60),ROW()-1,FALSE))</f>
        <v>151.607</v>
      </c>
      <c r="K130">
        <f ca="1">IF(AND($B$183=1,LEN($K$230)&gt;0),$K$230*1000,HLOOKUP(INDIRECT(ADDRESS(2,COLUMN())),OFFSET($BN$2,0,0,ROW()-1,60),ROW()-1,FALSE))</f>
        <v>19.338999999999999</v>
      </c>
      <c r="L130">
        <f ca="1">IF(AND($B$183=1,LEN($L$230)&gt;0),$L$230*1000,HLOOKUP(INDIRECT(ADDRESS(2,COLUMN())),OFFSET($BN$2,0,0,ROW()-1,60),ROW()-1,FALSE))</f>
        <v>-82.707999999999998</v>
      </c>
      <c r="M130">
        <f ca="1">IF(AND($B$183=1,LEN($M$230)&gt;0),$M$230*1000,HLOOKUP(INDIRECT(ADDRESS(2,COLUMN())),OFFSET($BN$2,0,0,ROW()-1,60),ROW()-1,FALSE))</f>
        <v>6011.0640000000003</v>
      </c>
      <c r="N130">
        <f ca="1">IF(AND($B$183=1,LEN($N$230)&gt;0),$N$230*1000,HLOOKUP(INDIRECT(ADDRESS(2,COLUMN())),OFFSET($BN$2,0,0,ROW()-1,60),ROW()-1,FALSE))</f>
        <v>-27.672999999999998</v>
      </c>
      <c r="O130">
        <f ca="1">IF(AND($B$183=1,LEN($O$230)&gt;0),$O$230*1000,HLOOKUP(INDIRECT(ADDRESS(2,COLUMN())),OFFSET($BN$2,0,0,ROW()-1,60),ROW()-1,FALSE))</f>
        <v>77.320999999999998</v>
      </c>
      <c r="P130">
        <f ca="1">IF(AND($B$183=1,LEN($P$230)&gt;0),$P$230*1000,HLOOKUP(INDIRECT(ADDRESS(2,COLUMN())),OFFSET($BN$2,0,0,ROW()-1,60),ROW()-1,FALSE))</f>
        <v>349.03800000000001</v>
      </c>
      <c r="Q130">
        <f ca="1">IF(AND($B$183=1,LEN($Q$230)&gt;0),$Q$230*1000,HLOOKUP(INDIRECT(ADDRESS(2,COLUMN())),OFFSET($BN$2,0,0,ROW()-1,60),ROW()-1,FALSE))</f>
        <v>183.75700000000001</v>
      </c>
      <c r="R130">
        <f ca="1">IF(AND($B$183=1,LEN($R$230)&gt;0),$R$230*1000,HLOOKUP(INDIRECT(ADDRESS(2,COLUMN())),OFFSET($BN$2,0,0,ROW()-1,60),ROW()-1,FALSE))</f>
        <v>489.78199999999998</v>
      </c>
      <c r="S130">
        <f ca="1">IF(AND($B$183=1,LEN($S$230)&gt;0),$S$230*1000,HLOOKUP(INDIRECT(ADDRESS(2,COLUMN())),OFFSET($BN$2,0,0,ROW()-1,60),ROW()-1,FALSE))</f>
        <v>446.67200000000003</v>
      </c>
      <c r="T130">
        <f ca="1">IF(AND($B$183=1,LEN($T$230)&gt;0),$T$230*1000,HLOOKUP(INDIRECT(ADDRESS(2,COLUMN())),OFFSET($BN$2,0,0,ROW()-1,60),ROW()-1,FALSE))</f>
        <v>415.47899999999998</v>
      </c>
      <c r="U130">
        <f ca="1">IF(AND($B$183=1,LEN($U$230)&gt;0),$U$230*1000,HLOOKUP(INDIRECT(ADDRESS(2,COLUMN())),OFFSET($BN$2,0,0,ROW()-1,60),ROW()-1,FALSE))</f>
        <v>780.29700000000003</v>
      </c>
      <c r="V130">
        <f ca="1">IF(AND($B$183=1,LEN($V$230)&gt;0),$V$230*1000,HLOOKUP(INDIRECT(ADDRESS(2,COLUMN())),OFFSET($BN$2,0,0,ROW()-1,60),ROW()-1,FALSE))</f>
        <v>411.00299999999999</v>
      </c>
      <c r="W130">
        <f ca="1">IF(AND($B$183=1,LEN($W$230)&gt;0),$W$230*1000,HLOOKUP(INDIRECT(ADDRESS(2,COLUMN())),OFFSET($BN$2,0,0,ROW()-1,60),ROW()-1,FALSE))</f>
        <v>632.74199999999996</v>
      </c>
      <c r="X130">
        <f ca="1">IF(AND($B$183=1,LEN($X$230)&gt;0),$X$230*1000,HLOOKUP(INDIRECT(ADDRESS(2,COLUMN())),OFFSET($BN$2,0,0,ROW()-1,60),ROW()-1,FALSE))</f>
        <v>304.214</v>
      </c>
      <c r="Y130">
        <f ca="1">IF(AND($B$183=1,LEN($Y$230)&gt;0),$Y$230*1000,HLOOKUP(INDIRECT(ADDRESS(2,COLUMN())),OFFSET($BN$2,0,0,ROW()-1,60),ROW()-1,FALSE))</f>
        <v>141.13300000000001</v>
      </c>
      <c r="Z130">
        <f ca="1">IF(AND($B$183=1,LEN($Z$230)&gt;0),$Z$230*1000,HLOOKUP(INDIRECT(ADDRESS(2,COLUMN())),OFFSET($BN$2,0,0,ROW()-1,60),ROW()-1,FALSE))</f>
        <v>97.954999999999998</v>
      </c>
      <c r="AA130">
        <f ca="1">IF(AND($B$183=1,LEN($AA$230)&gt;0),$AA$230*1000,HLOOKUP(INDIRECT(ADDRESS(2,COLUMN())),OFFSET($BN$2,0,0,ROW()-1,60),ROW()-1,FALSE))</f>
        <v>0</v>
      </c>
      <c r="AB130">
        <f ca="1">IF(AND($B$183=1,LEN($AB$230)&gt;0),$AB$230*1000,HLOOKUP(INDIRECT(ADDRESS(2,COLUMN())),OFFSET($BN$2,0,0,ROW()-1,60),ROW()-1,FALSE))</f>
        <v>0</v>
      </c>
      <c r="AC130">
        <f ca="1">IF(AND($B$183=1,LEN($AC$230)&gt;0),$AC$230*1000,HLOOKUP(INDIRECT(ADDRESS(2,COLUMN())),OFFSET($BN$2,0,0,ROW()-1,60),ROW()-1,FALSE))</f>
        <v>0</v>
      </c>
      <c r="AD130">
        <f ca="1">IF(AND($B$183=1,LEN($AD$230)&gt;0),$AD$230*1000,HLOOKUP(INDIRECT(ADDRESS(2,COLUMN())),OFFSET($BN$2,0,0,ROW()-1,60),ROW()-1,FALSE))</f>
        <v>0</v>
      </c>
      <c r="AE130">
        <f ca="1">IF(AND($B$183=1,LEN($AE$230)&gt;0),$AE$230*1000,HLOOKUP(INDIRECT(ADDRESS(2,COLUMN())),OFFSET($BN$2,0,0,ROW()-1,60),ROW()-1,FALSE))</f>
        <v>0</v>
      </c>
      <c r="AF130">
        <f ca="1">IF(AND($B$183=1,LEN($AF$230)&gt;0),$AF$230*1000,HLOOKUP(INDIRECT(ADDRESS(2,COLUMN())),OFFSET($BN$2,0,0,ROW()-1,60),ROW()-1,FALSE))</f>
        <v>0</v>
      </c>
      <c r="AG130">
        <f ca="1">IF(AND($B$183=1,LEN($AG$230)&gt;0),$AG$230*1000,HLOOKUP(INDIRECT(ADDRESS(2,COLUMN())),OFFSET($BN$2,0,0,ROW()-1,60),ROW()-1,FALSE))</f>
        <v>0</v>
      </c>
      <c r="AH130">
        <f ca="1">IF(AND($B$183=1,LEN($AH$230)&gt;0),$AH$230*1000,HLOOKUP(INDIRECT(ADDRESS(2,COLUMN())),OFFSET($BN$2,0,0,ROW()-1,60),ROW()-1,FALSE))</f>
        <v>0</v>
      </c>
      <c r="AI130">
        <f ca="1">IF(AND($B$183=1,LEN($AI$230)&gt;0),$AI$230*1000,HLOOKUP(INDIRECT(ADDRESS(2,COLUMN())),OFFSET($BN$2,0,0,ROW()-1,60),ROW()-1,FALSE))</f>
        <v>0</v>
      </c>
      <c r="AJ130">
        <f ca="1">IF(AND($B$183=1,LEN($AJ$230)&gt;0),$AJ$230*1000,HLOOKUP(INDIRECT(ADDRESS(2,COLUMN())),OFFSET($BN$2,0,0,ROW()-1,60),ROW()-1,FALSE))</f>
        <v>0</v>
      </c>
      <c r="AK130">
        <f ca="1">IF(AND($B$183=1,LEN($AK$230)&gt;0),$AK$230*1000,HLOOKUP(INDIRECT(ADDRESS(2,COLUMN())),OFFSET($BN$2,0,0,ROW()-1,60),ROW()-1,FALSE))</f>
        <v>0</v>
      </c>
      <c r="AL130">
        <f ca="1">IF(AND($B$183=1,LEN($AL$230)&gt;0),$AL$230*1000,HLOOKUP(INDIRECT(ADDRESS(2,COLUMN())),OFFSET($BN$2,0,0,ROW()-1,60),ROW()-1,FALSE))</f>
        <v>0</v>
      </c>
      <c r="AM130">
        <f ca="1">IF(AND($B$183=1,LEN($AM$230)&gt;0),$AM$230*1000,HLOOKUP(INDIRECT(ADDRESS(2,COLUMN())),OFFSET($BN$2,0,0,ROW()-1,60),ROW()-1,FALSE))</f>
        <v>0</v>
      </c>
      <c r="AN130">
        <f ca="1">IF(AND($B$183=1,LEN($AN$230)&gt;0),$AN$230*1000,HLOOKUP(INDIRECT(ADDRESS(2,COLUMN())),OFFSET($BN$2,0,0,ROW()-1,60),ROW()-1,FALSE))</f>
        <v>0</v>
      </c>
      <c r="AO130">
        <f ca="1">IF(AND($B$183=1,LEN($AO$230)&gt;0),$AO$230*1000,HLOOKUP(INDIRECT(ADDRESS(2,COLUMN())),OFFSET($BN$2,0,0,ROW()-1,60),ROW()-1,FALSE))</f>
        <v>0</v>
      </c>
      <c r="AP130">
        <f ca="1">IF(AND($B$183=1,LEN($AP$230)&gt;0),$AP$230*1000,HLOOKUP(INDIRECT(ADDRESS(2,COLUMN())),OFFSET($BN$2,0,0,ROW()-1,60),ROW()-1,FALSE))</f>
        <v>0</v>
      </c>
      <c r="AQ130">
        <f ca="1">IF(AND($B$183=1,LEN($AQ$230)&gt;0),$AQ$230*1000,HLOOKUP(INDIRECT(ADDRESS(2,COLUMN())),OFFSET($BN$2,0,0,ROW()-1,60),ROW()-1,FALSE))</f>
        <v>0</v>
      </c>
      <c r="AR130">
        <f ca="1">IF(AND($B$183=1,LEN($AR$230)&gt;0),$AR$230*1000,HLOOKUP(INDIRECT(ADDRESS(2,COLUMN())),OFFSET($BN$2,0,0,ROW()-1,60),ROW()-1,FALSE))</f>
        <v>0</v>
      </c>
      <c r="AS130">
        <f ca="1">IF(AND($B$183=1,LEN($AS$230)&gt;0),$AS$230*1000,HLOOKUP(INDIRECT(ADDRESS(2,COLUMN())),OFFSET($BN$2,0,0,ROW()-1,60),ROW()-1,FALSE))</f>
        <v>0</v>
      </c>
      <c r="AT130">
        <f ca="1">IF(AND($B$183=1,LEN($AT$230)&gt;0),$AT$230*1000,HLOOKUP(INDIRECT(ADDRESS(2,COLUMN())),OFFSET($BN$2,0,0,ROW()-1,60),ROW()-1,FALSE))</f>
        <v>0</v>
      </c>
      <c r="AU130">
        <f ca="1">IF(AND($B$183=1,LEN($AU$230)&gt;0),$AU$230*1000,HLOOKUP(INDIRECT(ADDRESS(2,COLUMN())),OFFSET($BN$2,0,0,ROW()-1,60),ROW()-1,FALSE))</f>
        <v>0</v>
      </c>
      <c r="AV130">
        <f ca="1">IF(AND($B$183=1,LEN($AV$230)&gt;0),$AV$230*1000,HLOOKUP(INDIRECT(ADDRESS(2,COLUMN())),OFFSET($BN$2,0,0,ROW()-1,60),ROW()-1,FALSE))</f>
        <v>0</v>
      </c>
      <c r="AW130">
        <f ca="1">IF(AND($B$183=1,LEN($AW$230)&gt;0),$AW$230*1000,HLOOKUP(INDIRECT(ADDRESS(2,COLUMN())),OFFSET($BN$2,0,0,ROW()-1,60),ROW()-1,FALSE))</f>
        <v>0</v>
      </c>
      <c r="AX130">
        <f ca="1">IF(AND($B$183=1,LEN($AX$230)&gt;0),$AX$230*1000,HLOOKUP(INDIRECT(ADDRESS(2,COLUMN())),OFFSET($BN$2,0,0,ROW()-1,60),ROW()-1,FALSE))</f>
        <v>0</v>
      </c>
      <c r="AY130">
        <f ca="1">IF(AND($B$183=1,LEN($AY$230)&gt;0),$AY$230*1000,HLOOKUP(INDIRECT(ADDRESS(2,COLUMN())),OFFSET($BN$2,0,0,ROW()-1,60),ROW()-1,FALSE))</f>
        <v>0</v>
      </c>
      <c r="AZ130">
        <f ca="1">IF(AND($B$183=1,LEN($AZ$230)&gt;0),$AZ$230*1000,HLOOKUP(INDIRECT(ADDRESS(2,COLUMN())),OFFSET($BN$2,0,0,ROW()-1,60),ROW()-1,FALSE))</f>
        <v>0</v>
      </c>
      <c r="BA130">
        <f ca="1">IF(AND($B$183=1,LEN($BA$230)&gt;0),$BA$230*1000,HLOOKUP(INDIRECT(ADDRESS(2,COLUMN())),OFFSET($BN$2,0,0,ROW()-1,60),ROW()-1,FALSE))</f>
        <v>0</v>
      </c>
      <c r="BB130">
        <f ca="1">IF(AND($B$183=1,LEN($BB$230)&gt;0),$BB$230*1000,HLOOKUP(INDIRECT(ADDRESS(2,COLUMN())),OFFSET($BN$2,0,0,ROW()-1,60),ROW()-1,FALSE))</f>
        <v>0</v>
      </c>
      <c r="BC130">
        <f ca="1">IF(AND($B$183=1,LEN($BC$230)&gt;0),$BC$230*1000,HLOOKUP(INDIRECT(ADDRESS(2,COLUMN())),OFFSET($BN$2,0,0,ROW()-1,60),ROW()-1,FALSE))</f>
        <v>0</v>
      </c>
      <c r="BD130">
        <f ca="1">IF(AND($B$183=1,LEN($BD$230)&gt;0),$BD$230*1000,HLOOKUP(INDIRECT(ADDRESS(2,COLUMN())),OFFSET($BN$2,0,0,ROW()-1,60),ROW()-1,FALSE))</f>
        <v>0</v>
      </c>
      <c r="BE130">
        <f ca="1">IF(AND($B$183=1,LEN($BE$230)&gt;0),$BE$230*1000,HLOOKUP(INDIRECT(ADDRESS(2,COLUMN())),OFFSET($BN$2,0,0,ROW()-1,60),ROW()-1,FALSE))</f>
        <v>0</v>
      </c>
      <c r="BF130">
        <f ca="1">IF(AND($B$183=1,LEN($BF$230)&gt;0),$BF$230*1000,HLOOKUP(INDIRECT(ADDRESS(2,COLUMN())),OFFSET($BN$2,0,0,ROW()-1,60),ROW()-1,FALSE))</f>
        <v>0</v>
      </c>
      <c r="BG130">
        <f ca="1">IF(AND($B$183=1,LEN($BG$230)&gt;0),$BG$230*1000,HLOOKUP(INDIRECT(ADDRESS(2,COLUMN())),OFFSET($BN$2,0,0,ROW()-1,60),ROW()-1,FALSE))</f>
        <v>0</v>
      </c>
      <c r="BH130">
        <f ca="1">IF(AND($B$183=1,LEN($BH$230)&gt;0),$BH$230*1000,HLOOKUP(INDIRECT(ADDRESS(2,COLUMN())),OFFSET($BN$2,0,0,ROW()-1,60),ROW()-1,FALSE))</f>
        <v>0</v>
      </c>
      <c r="BI130">
        <f ca="1">IF(AND($B$183=1,LEN($BI$230)&gt;0),$BI$230*1000,HLOOKUP(INDIRECT(ADDRESS(2,COLUMN())),OFFSET($BN$2,0,0,ROW()-1,60),ROW()-1,FALSE))</f>
        <v>0</v>
      </c>
      <c r="BJ130">
        <f ca="1">IF(AND($B$183=1,LEN($BJ$230)&gt;0),$BJ$230*1000,HLOOKUP(INDIRECT(ADDRESS(2,COLUMN())),OFFSET($BN$2,0,0,ROW()-1,60),ROW()-1,FALSE))</f>
        <v>0</v>
      </c>
      <c r="BK130">
        <f ca="1">IF(AND($B$183=1,LEN($BK$230)&gt;0),$BK$230*1000,HLOOKUP(INDIRECT(ADDRESS(2,COLUMN())),OFFSET($BN$2,0,0,ROW()-1,60),ROW()-1,FALSE))</f>
        <v>0</v>
      </c>
      <c r="BL130">
        <f ca="1">IF(AND($B$183=1,LEN($BL$230)&gt;0),$BL$230*1000,HLOOKUP(INDIRECT(ADDRESS(2,COLUMN())),OFFSET($BN$2,0,0,ROW()-1,60),ROW()-1,FALSE))</f>
        <v>0</v>
      </c>
      <c r="BM130">
        <f ca="1">IF(AND($B$183=1,LEN($BM$230)&gt;0),$BM$230*1000,HLOOKUP(INDIRECT(ADDRESS(2,COLUMN())),OFFSET($BN$2,0,0,ROW()-1,60),ROW()-1,FALSE))</f>
        <v>0</v>
      </c>
      <c r="BN130">
        <f>22.637</f>
        <v>22.637</v>
      </c>
      <c r="BO130">
        <f>204.597</f>
        <v>204.59700000000001</v>
      </c>
      <c r="BP130">
        <f>972.625</f>
        <v>972.625</v>
      </c>
      <c r="BQ130">
        <f>7.321</f>
        <v>7.3209999999999997</v>
      </c>
      <c r="BR130">
        <f>151.607</f>
        <v>151.607</v>
      </c>
      <c r="BS130">
        <f>19.339</f>
        <v>19.338999999999999</v>
      </c>
      <c r="BT130">
        <f>-82.708</f>
        <v>-82.707999999999998</v>
      </c>
      <c r="BU130">
        <f>6011.064</f>
        <v>6011.0640000000003</v>
      </c>
      <c r="BV130">
        <f>-27.673</f>
        <v>-27.672999999999998</v>
      </c>
      <c r="BW130">
        <f>77.321</f>
        <v>77.320999999999998</v>
      </c>
      <c r="BX130">
        <f>349.038</f>
        <v>349.03800000000001</v>
      </c>
      <c r="BY130">
        <f>183.757</f>
        <v>183.75700000000001</v>
      </c>
      <c r="BZ130">
        <f>489.782</f>
        <v>489.78199999999998</v>
      </c>
      <c r="CA130">
        <f>446.672</f>
        <v>446.67200000000003</v>
      </c>
      <c r="CB130">
        <f>415.479</f>
        <v>415.47899999999998</v>
      </c>
      <c r="CC130">
        <f>780.297</f>
        <v>780.29700000000003</v>
      </c>
      <c r="CD130">
        <f>411.003</f>
        <v>411.00299999999999</v>
      </c>
      <c r="CE130">
        <f>632.742</f>
        <v>632.74199999999996</v>
      </c>
      <c r="CF130">
        <f>304.214</f>
        <v>304.214</v>
      </c>
      <c r="CG130">
        <f>141.133</f>
        <v>141.13300000000001</v>
      </c>
      <c r="CH130">
        <f>97.955</f>
        <v>97.954999999999998</v>
      </c>
      <c r="CI130">
        <f>0</f>
        <v>0</v>
      </c>
      <c r="CJ130">
        <f>0</f>
        <v>0</v>
      </c>
      <c r="CK130">
        <f>0</f>
        <v>0</v>
      </c>
      <c r="CL130">
        <f>0</f>
        <v>0</v>
      </c>
      <c r="CM130">
        <f>0</f>
        <v>0</v>
      </c>
      <c r="CN130">
        <f>0</f>
        <v>0</v>
      </c>
      <c r="CO130">
        <f>0</f>
        <v>0</v>
      </c>
      <c r="CP130">
        <f>0</f>
        <v>0</v>
      </c>
      <c r="CQ130">
        <f>0</f>
        <v>0</v>
      </c>
      <c r="CR130">
        <f>0</f>
        <v>0</v>
      </c>
      <c r="CS130">
        <f>0</f>
        <v>0</v>
      </c>
      <c r="CT130">
        <f>0</f>
        <v>0</v>
      </c>
      <c r="CU130">
        <f>0</f>
        <v>0</v>
      </c>
      <c r="CV130">
        <f>0</f>
        <v>0</v>
      </c>
      <c r="CW130">
        <f>0</f>
        <v>0</v>
      </c>
      <c r="CX130">
        <f>0</f>
        <v>0</v>
      </c>
      <c r="CY130">
        <f>0</f>
        <v>0</v>
      </c>
      <c r="CZ130">
        <f>0</f>
        <v>0</v>
      </c>
      <c r="DA130">
        <f>0</f>
        <v>0</v>
      </c>
      <c r="DB130">
        <f>0</f>
        <v>0</v>
      </c>
      <c r="DC130">
        <f>0</f>
        <v>0</v>
      </c>
      <c r="DD130">
        <f>0</f>
        <v>0</v>
      </c>
      <c r="DE130">
        <f>0</f>
        <v>0</v>
      </c>
      <c r="DF130">
        <f>0</f>
        <v>0</v>
      </c>
      <c r="DG130">
        <f>0</f>
        <v>0</v>
      </c>
      <c r="DH130">
        <f>0</f>
        <v>0</v>
      </c>
      <c r="DI130">
        <f>0</f>
        <v>0</v>
      </c>
      <c r="DJ130">
        <f>0</f>
        <v>0</v>
      </c>
      <c r="DK130">
        <f>0</f>
        <v>0</v>
      </c>
      <c r="DL130">
        <f>0</f>
        <v>0</v>
      </c>
      <c r="DM130">
        <f>0</f>
        <v>0</v>
      </c>
      <c r="DN130">
        <f>0</f>
        <v>0</v>
      </c>
      <c r="DO130">
        <f>0</f>
        <v>0</v>
      </c>
      <c r="DP130">
        <f>0</f>
        <v>0</v>
      </c>
      <c r="DQ130">
        <f>0</f>
        <v>0</v>
      </c>
      <c r="DR130">
        <f>0</f>
        <v>0</v>
      </c>
      <c r="DS130">
        <f>0</f>
        <v>0</v>
      </c>
      <c r="DT130">
        <f>0</f>
        <v>0</v>
      </c>
      <c r="DU130">
        <f>0</f>
        <v>0</v>
      </c>
    </row>
    <row r="131" spans="1:125">
      <c r="A131" t="str">
        <f>"    Diversified REITs"</f>
        <v xml:space="preserve">    Diversified REITs</v>
      </c>
      <c r="B131" t="str">
        <f>"RECFNADV Index"</f>
        <v>RECFNADV Index</v>
      </c>
      <c r="E131" t="str">
        <f t="shared" si="27"/>
        <v>Expression</v>
      </c>
      <c r="F131">
        <f ca="1">IF(AND($B$183=1,LEN($F$231)&gt;0),$F$231*1000,HLOOKUP(INDIRECT(ADDRESS(2,COLUMN())),OFFSET($BN$2,0,0,ROW()-1,60),ROW()-1,FALSE))</f>
        <v>305.33199999999999</v>
      </c>
      <c r="G131">
        <f ca="1">IF(AND($B$183=1,LEN($G$231)&gt;0),$G$231*1000,HLOOKUP(INDIRECT(ADDRESS(2,COLUMN())),OFFSET($BN$2,0,0,ROW()-1,60),ROW()-1,FALSE))</f>
        <v>-4649.2020000000002</v>
      </c>
      <c r="H131">
        <f ca="1">IF(AND($B$183=1,LEN($H$231)&gt;0),$H$231*1000,HLOOKUP(INDIRECT(ADDRESS(2,COLUMN())),OFFSET($BN$2,0,0,ROW()-1,60),ROW()-1,FALSE))</f>
        <v>765.19</v>
      </c>
      <c r="I131">
        <f ca="1">IF(AND($B$183=1,LEN($I$231)&gt;0),$I$231*1000,HLOOKUP(INDIRECT(ADDRESS(2,COLUMN())),OFFSET($BN$2,0,0,ROW()-1,60),ROW()-1,FALSE))</f>
        <v>-2263.2449999999999</v>
      </c>
      <c r="J131">
        <f ca="1">IF(AND($B$183=1,LEN($J$231)&gt;0),$J$231*1000,HLOOKUP(INDIRECT(ADDRESS(2,COLUMN())),OFFSET($BN$2,0,0,ROW()-1,60),ROW()-1,FALSE))</f>
        <v>98.328999999999994</v>
      </c>
      <c r="K131">
        <f ca="1">IF(AND($B$183=1,LEN($K$231)&gt;0),$K$231*1000,HLOOKUP(INDIRECT(ADDRESS(2,COLUMN())),OFFSET($BN$2,0,0,ROW()-1,60),ROW()-1,FALSE))</f>
        <v>-1533.799</v>
      </c>
      <c r="L131">
        <f ca="1">IF(AND($B$183=1,LEN($L$231)&gt;0),$L$231*1000,HLOOKUP(INDIRECT(ADDRESS(2,COLUMN())),OFFSET($BN$2,0,0,ROW()-1,60),ROW()-1,FALSE))</f>
        <v>-137.387</v>
      </c>
      <c r="M131">
        <f ca="1">IF(AND($B$183=1,LEN($M$231)&gt;0),$M$231*1000,HLOOKUP(INDIRECT(ADDRESS(2,COLUMN())),OFFSET($BN$2,0,0,ROW()-1,60),ROW()-1,FALSE))</f>
        <v>-1348.942</v>
      </c>
      <c r="N131">
        <f ca="1">IF(AND($B$183=1,LEN($N$231)&gt;0),$N$231*1000,HLOOKUP(INDIRECT(ADDRESS(2,COLUMN())),OFFSET($BN$2,0,0,ROW()-1,60),ROW()-1,FALSE))</f>
        <v>-1169.241</v>
      </c>
      <c r="O131">
        <f ca="1">IF(AND($B$183=1,LEN($O$231)&gt;0),$O$231*1000,HLOOKUP(INDIRECT(ADDRESS(2,COLUMN())),OFFSET($BN$2,0,0,ROW()-1,60),ROW()-1,FALSE))</f>
        <v>685.995</v>
      </c>
      <c r="P131">
        <f ca="1">IF(AND($B$183=1,LEN($P$231)&gt;0),$P$231*1000,HLOOKUP(INDIRECT(ADDRESS(2,COLUMN())),OFFSET($BN$2,0,0,ROW()-1,60),ROW()-1,FALSE))</f>
        <v>3235.6419999999998</v>
      </c>
      <c r="Q131">
        <f ca="1">IF(AND($B$183=1,LEN($Q$231)&gt;0),$Q$231*1000,HLOOKUP(INDIRECT(ADDRESS(2,COLUMN())),OFFSET($BN$2,0,0,ROW()-1,60),ROW()-1,FALSE))</f>
        <v>4102.1940000000004</v>
      </c>
      <c r="R131">
        <f ca="1">IF(AND($B$183=1,LEN($R$231)&gt;0),$R$231*1000,HLOOKUP(INDIRECT(ADDRESS(2,COLUMN())),OFFSET($BN$2,0,0,ROW()-1,60),ROW()-1,FALSE))</f>
        <v>7205.1570000000002</v>
      </c>
      <c r="S131">
        <f ca="1">IF(AND($B$183=1,LEN($S$231)&gt;0),$S$231*1000,HLOOKUP(INDIRECT(ADDRESS(2,COLUMN())),OFFSET($BN$2,0,0,ROW()-1,60),ROW()-1,FALSE))</f>
        <v>-154.47900000000001</v>
      </c>
      <c r="T131">
        <f ca="1">IF(AND($B$183=1,LEN($T$231)&gt;0),$T$231*1000,HLOOKUP(INDIRECT(ADDRESS(2,COLUMN())),OFFSET($BN$2,0,0,ROW()-1,60),ROW()-1,FALSE))</f>
        <v>287.35500000000002</v>
      </c>
      <c r="U131">
        <f ca="1">IF(AND($B$183=1,LEN($U$231)&gt;0),$U$231*1000,HLOOKUP(INDIRECT(ADDRESS(2,COLUMN())),OFFSET($BN$2,0,0,ROW()-1,60),ROW()-1,FALSE))</f>
        <v>1840.251</v>
      </c>
      <c r="V131">
        <f ca="1">IF(AND($B$183=1,LEN($V$231)&gt;0),$V$231*1000,HLOOKUP(INDIRECT(ADDRESS(2,COLUMN())),OFFSET($BN$2,0,0,ROW()-1,60),ROW()-1,FALSE))</f>
        <v>847.36199999999997</v>
      </c>
      <c r="W131">
        <f ca="1">IF(AND($B$183=1,LEN($W$231)&gt;0),$W$231*1000,HLOOKUP(INDIRECT(ADDRESS(2,COLUMN())),OFFSET($BN$2,0,0,ROW()-1,60),ROW()-1,FALSE))</f>
        <v>2506.431</v>
      </c>
      <c r="X131">
        <f ca="1">IF(AND($B$183=1,LEN($X$231)&gt;0),$X$231*1000,HLOOKUP(INDIRECT(ADDRESS(2,COLUMN())),OFFSET($BN$2,0,0,ROW()-1,60),ROW()-1,FALSE))</f>
        <v>-990.25199999999995</v>
      </c>
      <c r="Y131">
        <f ca="1">IF(AND($B$183=1,LEN($Y$231)&gt;0),$Y$231*1000,HLOOKUP(INDIRECT(ADDRESS(2,COLUMN())),OFFSET($BN$2,0,0,ROW()-1,60),ROW()-1,FALSE))</f>
        <v>-130.29300000000001</v>
      </c>
      <c r="Z131">
        <f ca="1">IF(AND($B$183=1,LEN($Z$231)&gt;0),$Z$231*1000,HLOOKUP(INDIRECT(ADDRESS(2,COLUMN())),OFFSET($BN$2,0,0,ROW()-1,60),ROW()-1,FALSE))</f>
        <v>1273.1410000000001</v>
      </c>
      <c r="AA131">
        <f ca="1">IF(AND($B$183=1,LEN($AA$231)&gt;0),$AA$231*1000,HLOOKUP(INDIRECT(ADDRESS(2,COLUMN())),OFFSET($BN$2,0,0,ROW()-1,60),ROW()-1,FALSE))</f>
        <v>888.18600000000004</v>
      </c>
      <c r="AB131">
        <f ca="1">IF(AND($B$183=1,LEN($AB$231)&gt;0),$AB$231*1000,HLOOKUP(INDIRECT(ADDRESS(2,COLUMN())),OFFSET($BN$2,0,0,ROW()-1,60),ROW()-1,FALSE))</f>
        <v>98.484999999999999</v>
      </c>
      <c r="AC131">
        <f ca="1">IF(AND($B$183=1,LEN($AC$231)&gt;0),$AC$231*1000,HLOOKUP(INDIRECT(ADDRESS(2,COLUMN())),OFFSET($BN$2,0,0,ROW()-1,60),ROW()-1,FALSE))</f>
        <v>-122.444</v>
      </c>
      <c r="AD131">
        <f ca="1">IF(AND($B$183=1,LEN($AD$231)&gt;0),$AD$231*1000,HLOOKUP(INDIRECT(ADDRESS(2,COLUMN())),OFFSET($BN$2,0,0,ROW()-1,60),ROW()-1,FALSE))</f>
        <v>79.429000000000002</v>
      </c>
      <c r="AE131">
        <f ca="1">IF(AND($B$183=1,LEN($AE$231)&gt;0),$AE$231*1000,HLOOKUP(INDIRECT(ADDRESS(2,COLUMN())),OFFSET($BN$2,0,0,ROW()-1,60),ROW()-1,FALSE))</f>
        <v>33.970999999999997</v>
      </c>
      <c r="AF131">
        <f ca="1">IF(AND($B$183=1,LEN($AF$231)&gt;0),$AF$231*1000,HLOOKUP(INDIRECT(ADDRESS(2,COLUMN())),OFFSET($BN$2,0,0,ROW()-1,60),ROW()-1,FALSE))</f>
        <v>61.523000000000003</v>
      </c>
      <c r="AG131">
        <f ca="1">IF(AND($B$183=1,LEN($AG$231)&gt;0),$AG$231*1000,HLOOKUP(INDIRECT(ADDRESS(2,COLUMN())),OFFSET($BN$2,0,0,ROW()-1,60),ROW()-1,FALSE))</f>
        <v>262.738</v>
      </c>
      <c r="AH131">
        <f ca="1">IF(AND($B$183=1,LEN($AH$231)&gt;0),$AH$231*1000,HLOOKUP(INDIRECT(ADDRESS(2,COLUMN())),OFFSET($BN$2,0,0,ROW()-1,60),ROW()-1,FALSE))</f>
        <v>106.95399999999999</v>
      </c>
      <c r="AI131">
        <f ca="1">IF(AND($B$183=1,LEN($AI$231)&gt;0),$AI$231*1000,HLOOKUP(INDIRECT(ADDRESS(2,COLUMN())),OFFSET($BN$2,0,0,ROW()-1,60),ROW()-1,FALSE))</f>
        <v>-132.119</v>
      </c>
      <c r="AJ131">
        <f ca="1">IF(AND($B$183=1,LEN($AJ$231)&gt;0),$AJ$231*1000,HLOOKUP(INDIRECT(ADDRESS(2,COLUMN())),OFFSET($BN$2,0,0,ROW()-1,60),ROW()-1,FALSE))</f>
        <v>16.503</v>
      </c>
      <c r="AK131">
        <f ca="1">IF(AND($B$183=1,LEN($AK$231)&gt;0),$AK$231*1000,HLOOKUP(INDIRECT(ADDRESS(2,COLUMN())),OFFSET($BN$2,0,0,ROW()-1,60),ROW()-1,FALSE))</f>
        <v>28.597999999999999</v>
      </c>
      <c r="AL131">
        <f ca="1">IF(AND($B$183=1,LEN($AL$231)&gt;0),$AL$231*1000,HLOOKUP(INDIRECT(ADDRESS(2,COLUMN())),OFFSET($BN$2,0,0,ROW()-1,60),ROW()-1,FALSE))</f>
        <v>-65.756</v>
      </c>
      <c r="AM131">
        <f ca="1">IF(AND($B$183=1,LEN($AM$231)&gt;0),$AM$231*1000,HLOOKUP(INDIRECT(ADDRESS(2,COLUMN())),OFFSET($BN$2,0,0,ROW()-1,60),ROW()-1,FALSE))</f>
        <v>-2.84</v>
      </c>
      <c r="AN131">
        <f ca="1">IF(AND($B$183=1,LEN($AN$231)&gt;0),$AN$231*1000,HLOOKUP(INDIRECT(ADDRESS(2,COLUMN())),OFFSET($BN$2,0,0,ROW()-1,60),ROW()-1,FALSE))</f>
        <v>-111.54300000000001</v>
      </c>
      <c r="AO131">
        <f ca="1">IF(AND($B$183=1,LEN($AO$231)&gt;0),$AO$231*1000,HLOOKUP(INDIRECT(ADDRESS(2,COLUMN())),OFFSET($BN$2,0,0,ROW()-1,60),ROW()-1,FALSE))</f>
        <v>3.8170000000000002</v>
      </c>
      <c r="AP131">
        <f ca="1">IF(AND($B$183=1,LEN($AP$231)&gt;0),$AP$231*1000,HLOOKUP(INDIRECT(ADDRESS(2,COLUMN())),OFFSET($BN$2,0,0,ROW()-1,60),ROW()-1,FALSE))</f>
        <v>1.0580000000000001</v>
      </c>
      <c r="AQ131">
        <f ca="1">IF(AND($B$183=1,LEN($AQ$231)&gt;0),$AQ$231*1000,HLOOKUP(INDIRECT(ADDRESS(2,COLUMN())),OFFSET($BN$2,0,0,ROW()-1,60),ROW()-1,FALSE))</f>
        <v>195.58199999999999</v>
      </c>
      <c r="AR131">
        <f ca="1">IF(AND($B$183=1,LEN($AR$231)&gt;0),$AR$231*1000,HLOOKUP(INDIRECT(ADDRESS(2,COLUMN())),OFFSET($BN$2,0,0,ROW()-1,60),ROW()-1,FALSE))</f>
        <v>-99.843000000000004</v>
      </c>
      <c r="AS131">
        <f ca="1">IF(AND($B$183=1,LEN($AS$231)&gt;0),$AS$231*1000,HLOOKUP(INDIRECT(ADDRESS(2,COLUMN())),OFFSET($BN$2,0,0,ROW()-1,60),ROW()-1,FALSE))</f>
        <v>-303.05200000000002</v>
      </c>
      <c r="AT131">
        <f ca="1">IF(AND($B$183=1,LEN($AT$231)&gt;0),$AT$231*1000,HLOOKUP(INDIRECT(ADDRESS(2,COLUMN())),OFFSET($BN$2,0,0,ROW()-1,60),ROW()-1,FALSE))</f>
        <v>-94.602999999999994</v>
      </c>
      <c r="AU131">
        <f ca="1">IF(AND($B$183=1,LEN($AU$231)&gt;0),$AU$231*1000,HLOOKUP(INDIRECT(ADDRESS(2,COLUMN())),OFFSET($BN$2,0,0,ROW()-1,60),ROW()-1,FALSE))</f>
        <v>-109.917</v>
      </c>
      <c r="AV131">
        <f ca="1">IF(AND($B$183=1,LEN($AV$231)&gt;0),$AV$231*1000,HLOOKUP(INDIRECT(ADDRESS(2,COLUMN())),OFFSET($BN$2,0,0,ROW()-1,60),ROW()-1,FALSE))</f>
        <v>1260.703</v>
      </c>
      <c r="AW131">
        <f ca="1">IF(AND($B$183=1,LEN($AW$231)&gt;0),$AW$231*1000,HLOOKUP(INDIRECT(ADDRESS(2,COLUMN())),OFFSET($BN$2,0,0,ROW()-1,60),ROW()-1,FALSE))</f>
        <v>1272.6559999999999</v>
      </c>
      <c r="AX131">
        <f ca="1">IF(AND($B$183=1,LEN($AX$231)&gt;0),$AX$231*1000,HLOOKUP(INDIRECT(ADDRESS(2,COLUMN())),OFFSET($BN$2,0,0,ROW()-1,60),ROW()-1,FALSE))</f>
        <v>797.57600000000002</v>
      </c>
      <c r="AY131">
        <f ca="1">IF(AND($B$183=1,LEN($AY$231)&gt;0),$AY$231*1000,HLOOKUP(INDIRECT(ADDRESS(2,COLUMN())),OFFSET($BN$2,0,0,ROW()-1,60),ROW()-1,FALSE))</f>
        <v>63.561999999999998</v>
      </c>
      <c r="AZ131">
        <f ca="1">IF(AND($B$183=1,LEN($AZ$231)&gt;0),$AZ$231*1000,HLOOKUP(INDIRECT(ADDRESS(2,COLUMN())),OFFSET($BN$2,0,0,ROW()-1,60),ROW()-1,FALSE))</f>
        <v>1305.047</v>
      </c>
      <c r="BA131">
        <f ca="1">IF(AND($B$183=1,LEN($BA$231)&gt;0),$BA$231*1000,HLOOKUP(INDIRECT(ADDRESS(2,COLUMN())),OFFSET($BN$2,0,0,ROW()-1,60),ROW()-1,FALSE))</f>
        <v>326.68099999999998</v>
      </c>
      <c r="BB131">
        <f ca="1">IF(AND($B$183=1,LEN($BB$231)&gt;0),$BB$231*1000,HLOOKUP(INDIRECT(ADDRESS(2,COLUMN())),OFFSET($BN$2,0,0,ROW()-1,60),ROW()-1,FALSE))</f>
        <v>88.19</v>
      </c>
      <c r="BC131">
        <f ca="1">IF(AND($B$183=1,LEN($BC$231)&gt;0),$BC$231*1000,HLOOKUP(INDIRECT(ADDRESS(2,COLUMN())),OFFSET($BN$2,0,0,ROW()-1,60),ROW()-1,FALSE))</f>
        <v>624.61</v>
      </c>
      <c r="BD131">
        <f ca="1">IF(AND($B$183=1,LEN($BD$231)&gt;0),$BD$231*1000,HLOOKUP(INDIRECT(ADDRESS(2,COLUMN())),OFFSET($BN$2,0,0,ROW()-1,60),ROW()-1,FALSE))</f>
        <v>1228.9159999999999</v>
      </c>
      <c r="BE131">
        <f ca="1">IF(AND($B$183=1,LEN($BE$231)&gt;0),$BE$231*1000,HLOOKUP(INDIRECT(ADDRESS(2,COLUMN())),OFFSET($BN$2,0,0,ROW()-1,60),ROW()-1,FALSE))</f>
        <v>-27.876000000000001</v>
      </c>
      <c r="BF131">
        <f ca="1">IF(AND($B$183=1,LEN($BF$231)&gt;0),$BF$231*1000,HLOOKUP(INDIRECT(ADDRESS(2,COLUMN())),OFFSET($BN$2,0,0,ROW()-1,60),ROW()-1,FALSE))</f>
        <v>731.71500000000003</v>
      </c>
      <c r="BG131">
        <f ca="1">IF(AND($B$183=1,LEN($BG$231)&gt;0),$BG$231*1000,HLOOKUP(INDIRECT(ADDRESS(2,COLUMN())),OFFSET($BN$2,0,0,ROW()-1,60),ROW()-1,FALSE))</f>
        <v>631.221</v>
      </c>
      <c r="BH131">
        <f ca="1">IF(AND($B$183=1,LEN($BH$231)&gt;0),$BH$231*1000,HLOOKUP(INDIRECT(ADDRESS(2,COLUMN())),OFFSET($BN$2,0,0,ROW()-1,60),ROW()-1,FALSE))</f>
        <v>88.424000000000007</v>
      </c>
      <c r="BI131">
        <f ca="1">IF(AND($B$183=1,LEN($BI$231)&gt;0),$BI$231*1000,HLOOKUP(INDIRECT(ADDRESS(2,COLUMN())),OFFSET($BN$2,0,0,ROW()-1,60),ROW()-1,FALSE))</f>
        <v>295.75799999999998</v>
      </c>
      <c r="BJ131">
        <f ca="1">IF(AND($B$183=1,LEN($BJ$231)&gt;0),$BJ$231*1000,HLOOKUP(INDIRECT(ADDRESS(2,COLUMN())),OFFSET($BN$2,0,0,ROW()-1,60),ROW()-1,FALSE))</f>
        <v>-140.041</v>
      </c>
      <c r="BK131">
        <f ca="1">IF(AND($B$183=1,LEN($BK$231)&gt;0),$BK$231*1000,HLOOKUP(INDIRECT(ADDRESS(2,COLUMN())),OFFSET($BN$2,0,0,ROW()-1,60),ROW()-1,FALSE))</f>
        <v>0</v>
      </c>
      <c r="BL131">
        <f ca="1">IF(AND($B$183=1,LEN($BL$231)&gt;0),$BL$231*1000,HLOOKUP(INDIRECT(ADDRESS(2,COLUMN())),OFFSET($BN$2,0,0,ROW()-1,60),ROW()-1,FALSE))</f>
        <v>30</v>
      </c>
      <c r="BM131">
        <f ca="1">IF(AND($B$183=1,LEN($BM$231)&gt;0),$BM$231*1000,HLOOKUP(INDIRECT(ADDRESS(2,COLUMN())),OFFSET($BN$2,0,0,ROW()-1,60),ROW()-1,FALSE))</f>
        <v>-154.75200000000001</v>
      </c>
      <c r="BN131">
        <f>305.332</f>
        <v>305.33199999999999</v>
      </c>
      <c r="BO131">
        <f>-4649.202</f>
        <v>-4649.2020000000002</v>
      </c>
      <c r="BP131">
        <f>765.19</f>
        <v>765.19</v>
      </c>
      <c r="BQ131">
        <f>-2263.245</f>
        <v>-2263.2449999999999</v>
      </c>
      <c r="BR131">
        <f>98.329</f>
        <v>98.328999999999994</v>
      </c>
      <c r="BS131">
        <f>-1533.799</f>
        <v>-1533.799</v>
      </c>
      <c r="BT131">
        <f>-137.387</f>
        <v>-137.387</v>
      </c>
      <c r="BU131">
        <f>-1348.942</f>
        <v>-1348.942</v>
      </c>
      <c r="BV131">
        <f>-1169.241</f>
        <v>-1169.241</v>
      </c>
      <c r="BW131">
        <f>685.995</f>
        <v>685.995</v>
      </c>
      <c r="BX131">
        <f>3235.642</f>
        <v>3235.6419999999998</v>
      </c>
      <c r="BY131">
        <f>4102.194</f>
        <v>4102.1940000000004</v>
      </c>
      <c r="BZ131">
        <f>7205.157</f>
        <v>7205.1570000000002</v>
      </c>
      <c r="CA131">
        <f>-154.479</f>
        <v>-154.47900000000001</v>
      </c>
      <c r="CB131">
        <f>287.355</f>
        <v>287.35500000000002</v>
      </c>
      <c r="CC131">
        <f>1840.251</f>
        <v>1840.251</v>
      </c>
      <c r="CD131">
        <f>847.362</f>
        <v>847.36199999999997</v>
      </c>
      <c r="CE131">
        <f>2506.431</f>
        <v>2506.431</v>
      </c>
      <c r="CF131">
        <f>-990.252</f>
        <v>-990.25199999999995</v>
      </c>
      <c r="CG131">
        <f>-130.293</f>
        <v>-130.29300000000001</v>
      </c>
      <c r="CH131">
        <f>1273.141</f>
        <v>1273.1410000000001</v>
      </c>
      <c r="CI131">
        <f>888.186</f>
        <v>888.18600000000004</v>
      </c>
      <c r="CJ131">
        <f>98.485</f>
        <v>98.484999999999999</v>
      </c>
      <c r="CK131">
        <f>-122.444</f>
        <v>-122.444</v>
      </c>
      <c r="CL131">
        <f>79.429</f>
        <v>79.429000000000002</v>
      </c>
      <c r="CM131">
        <f>33.971</f>
        <v>33.970999999999997</v>
      </c>
      <c r="CN131">
        <f>61.523</f>
        <v>61.523000000000003</v>
      </c>
      <c r="CO131">
        <f>262.738</f>
        <v>262.738</v>
      </c>
      <c r="CP131">
        <f>106.954</f>
        <v>106.95399999999999</v>
      </c>
      <c r="CQ131">
        <f>-132.119</f>
        <v>-132.119</v>
      </c>
      <c r="CR131">
        <f>16.503</f>
        <v>16.503</v>
      </c>
      <c r="CS131">
        <f>28.598</f>
        <v>28.597999999999999</v>
      </c>
      <c r="CT131">
        <f>-65.756</f>
        <v>-65.756</v>
      </c>
      <c r="CU131">
        <f>-2.84</f>
        <v>-2.84</v>
      </c>
      <c r="CV131">
        <f>-111.543</f>
        <v>-111.54300000000001</v>
      </c>
      <c r="CW131">
        <f>3.817</f>
        <v>3.8170000000000002</v>
      </c>
      <c r="CX131">
        <f>1.058</f>
        <v>1.0580000000000001</v>
      </c>
      <c r="CY131">
        <f>195.582</f>
        <v>195.58199999999999</v>
      </c>
      <c r="CZ131">
        <f>-99.843</f>
        <v>-99.843000000000004</v>
      </c>
      <c r="DA131">
        <f>-303.052</f>
        <v>-303.05200000000002</v>
      </c>
      <c r="DB131">
        <f>-94.603</f>
        <v>-94.602999999999994</v>
      </c>
      <c r="DC131">
        <f>-109.917</f>
        <v>-109.917</v>
      </c>
      <c r="DD131">
        <f>1260.703</f>
        <v>1260.703</v>
      </c>
      <c r="DE131">
        <f>1272.656</f>
        <v>1272.6559999999999</v>
      </c>
      <c r="DF131">
        <f>797.576</f>
        <v>797.57600000000002</v>
      </c>
      <c r="DG131">
        <f>63.562</f>
        <v>63.561999999999998</v>
      </c>
      <c r="DH131">
        <f>1305.047</f>
        <v>1305.047</v>
      </c>
      <c r="DI131">
        <f>326.681</f>
        <v>326.68099999999998</v>
      </c>
      <c r="DJ131">
        <f>88.19</f>
        <v>88.19</v>
      </c>
      <c r="DK131">
        <f>624.61</f>
        <v>624.61</v>
      </c>
      <c r="DL131">
        <f>1228.916</f>
        <v>1228.9159999999999</v>
      </c>
      <c r="DM131">
        <f>-27.876</f>
        <v>-27.876000000000001</v>
      </c>
      <c r="DN131">
        <f>731.715</f>
        <v>731.71500000000003</v>
      </c>
      <c r="DO131">
        <f>631.221</f>
        <v>631.221</v>
      </c>
      <c r="DP131">
        <f>88.424</f>
        <v>88.424000000000007</v>
      </c>
      <c r="DQ131">
        <f>295.758</f>
        <v>295.75799999999998</v>
      </c>
      <c r="DR131">
        <f>-140.041</f>
        <v>-140.041</v>
      </c>
      <c r="DS131">
        <f>0</f>
        <v>0</v>
      </c>
      <c r="DT131">
        <f>30</f>
        <v>30</v>
      </c>
      <c r="DU131">
        <f>-154.752</f>
        <v>-154.75200000000001</v>
      </c>
    </row>
    <row r="132" spans="1:125">
      <c r="A132" t="str">
        <f>"    Lodging/Resort REITs"</f>
        <v xml:space="preserve">    Lodging/Resort REITs</v>
      </c>
      <c r="B132" t="str">
        <f>"RECFNALR Index"</f>
        <v>RECFNALR Index</v>
      </c>
      <c r="E132" t="str">
        <f t="shared" si="27"/>
        <v>Expression</v>
      </c>
      <c r="F132">
        <f ca="1">IF(AND($B$183=1,LEN($F$232)&gt;0),$F$232*1000,HLOOKUP(INDIRECT(ADDRESS(2,COLUMN())),OFFSET($BN$2,0,0,ROW()-1,60),ROW()-1,FALSE))</f>
        <v>468.8</v>
      </c>
      <c r="G132">
        <f ca="1">IF(AND($B$183=1,LEN($G$232)&gt;0),$G$232*1000,HLOOKUP(INDIRECT(ADDRESS(2,COLUMN())),OFFSET($BN$2,0,0,ROW()-1,60),ROW()-1,FALSE))</f>
        <v>677.57799999999997</v>
      </c>
      <c r="H132">
        <f ca="1">IF(AND($B$183=1,LEN($H$232)&gt;0),$H$232*1000,HLOOKUP(INDIRECT(ADDRESS(2,COLUMN())),OFFSET($BN$2,0,0,ROW()-1,60),ROW()-1,FALSE))</f>
        <v>-30.861999999999998</v>
      </c>
      <c r="I132">
        <f ca="1">IF(AND($B$183=1,LEN($I$232)&gt;0),$I$232*1000,HLOOKUP(INDIRECT(ADDRESS(2,COLUMN())),OFFSET($BN$2,0,0,ROW()-1,60),ROW()-1,FALSE))</f>
        <v>500.58100000000002</v>
      </c>
      <c r="J132">
        <f ca="1">IF(AND($B$183=1,LEN($J$232)&gt;0),$J$232*1000,HLOOKUP(INDIRECT(ADDRESS(2,COLUMN())),OFFSET($BN$2,0,0,ROW()-1,60),ROW()-1,FALSE))</f>
        <v>-284.01600000000002</v>
      </c>
      <c r="K132">
        <f ca="1">IF(AND($B$183=1,LEN($K$232)&gt;0),$K$232*1000,HLOOKUP(INDIRECT(ADDRESS(2,COLUMN())),OFFSET($BN$2,0,0,ROW()-1,60),ROW()-1,FALSE))</f>
        <v>831.88800000000003</v>
      </c>
      <c r="L132">
        <f ca="1">IF(AND($B$183=1,LEN($L$232)&gt;0),$L$232*1000,HLOOKUP(INDIRECT(ADDRESS(2,COLUMN())),OFFSET($BN$2,0,0,ROW()-1,60),ROW()-1,FALSE))</f>
        <v>-1479.2840000000001</v>
      </c>
      <c r="M132">
        <f ca="1">IF(AND($B$183=1,LEN($M$232)&gt;0),$M$232*1000,HLOOKUP(INDIRECT(ADDRESS(2,COLUMN())),OFFSET($BN$2,0,0,ROW()-1,60),ROW()-1,FALSE))</f>
        <v>262.72399999999999</v>
      </c>
      <c r="N132">
        <f ca="1">IF(AND($B$183=1,LEN($N$232)&gt;0),$N$232*1000,HLOOKUP(INDIRECT(ADDRESS(2,COLUMN())),OFFSET($BN$2,0,0,ROW()-1,60),ROW()-1,FALSE))</f>
        <v>-1099.086</v>
      </c>
      <c r="O132">
        <f ca="1">IF(AND($B$183=1,LEN($O$232)&gt;0),$O$232*1000,HLOOKUP(INDIRECT(ADDRESS(2,COLUMN())),OFFSET($BN$2,0,0,ROW()-1,60),ROW()-1,FALSE))</f>
        <v>1120.5170000000001</v>
      </c>
      <c r="P132">
        <f ca="1">IF(AND($B$183=1,LEN($P$232)&gt;0),$P$232*1000,HLOOKUP(INDIRECT(ADDRESS(2,COLUMN())),OFFSET($BN$2,0,0,ROW()-1,60),ROW()-1,FALSE))</f>
        <v>1398.992</v>
      </c>
      <c r="Q132">
        <f ca="1">IF(AND($B$183=1,LEN($Q$232)&gt;0),$Q$232*1000,HLOOKUP(INDIRECT(ADDRESS(2,COLUMN())),OFFSET($BN$2,0,0,ROW()-1,60),ROW()-1,FALSE))</f>
        <v>1225.098</v>
      </c>
      <c r="R132">
        <f ca="1">IF(AND($B$183=1,LEN($R$232)&gt;0),$R$232*1000,HLOOKUP(INDIRECT(ADDRESS(2,COLUMN())),OFFSET($BN$2,0,0,ROW()-1,60),ROW()-1,FALSE))</f>
        <v>1535.6980000000001</v>
      </c>
      <c r="S132">
        <f ca="1">IF(AND($B$183=1,LEN($S$232)&gt;0),$S$232*1000,HLOOKUP(INDIRECT(ADDRESS(2,COLUMN())),OFFSET($BN$2,0,0,ROW()-1,60),ROW()-1,FALSE))</f>
        <v>939.66200000000003</v>
      </c>
      <c r="T132">
        <f ca="1">IF(AND($B$183=1,LEN($T$232)&gt;0),$T$232*1000,HLOOKUP(INDIRECT(ADDRESS(2,COLUMN())),OFFSET($BN$2,0,0,ROW()-1,60),ROW()-1,FALSE))</f>
        <v>551.31500000000005</v>
      </c>
      <c r="U132">
        <f ca="1">IF(AND($B$183=1,LEN($U$232)&gt;0),$U$232*1000,HLOOKUP(INDIRECT(ADDRESS(2,COLUMN())),OFFSET($BN$2,0,0,ROW()-1,60),ROW()-1,FALSE))</f>
        <v>158.209</v>
      </c>
      <c r="V132">
        <f ca="1">IF(AND($B$183=1,LEN($V$232)&gt;0),$V$232*1000,HLOOKUP(INDIRECT(ADDRESS(2,COLUMN())),OFFSET($BN$2,0,0,ROW()-1,60),ROW()-1,FALSE))</f>
        <v>166.23500000000001</v>
      </c>
      <c r="W132">
        <f ca="1">IF(AND($B$183=1,LEN($W$232)&gt;0),$W$232*1000,HLOOKUP(INDIRECT(ADDRESS(2,COLUMN())),OFFSET($BN$2,0,0,ROW()-1,60),ROW()-1,FALSE))</f>
        <v>779.3</v>
      </c>
      <c r="X132">
        <f ca="1">IF(AND($B$183=1,LEN($X$232)&gt;0),$X$232*1000,HLOOKUP(INDIRECT(ADDRESS(2,COLUMN())),OFFSET($BN$2,0,0,ROW()-1,60),ROW()-1,FALSE))</f>
        <v>1033.277</v>
      </c>
      <c r="Y132">
        <f ca="1">IF(AND($B$183=1,LEN($Y$232)&gt;0),$Y$232*1000,HLOOKUP(INDIRECT(ADDRESS(2,COLUMN())),OFFSET($BN$2,0,0,ROW()-1,60),ROW()-1,FALSE))</f>
        <v>10.401</v>
      </c>
      <c r="Z132">
        <f ca="1">IF(AND($B$183=1,LEN($Z$232)&gt;0),$Z$232*1000,HLOOKUP(INDIRECT(ADDRESS(2,COLUMN())),OFFSET($BN$2,0,0,ROW()-1,60),ROW()-1,FALSE))</f>
        <v>1234.259</v>
      </c>
      <c r="AA132">
        <f ca="1">IF(AND($B$183=1,LEN($AA$232)&gt;0),$AA$232*1000,HLOOKUP(INDIRECT(ADDRESS(2,COLUMN())),OFFSET($BN$2,0,0,ROW()-1,60),ROW()-1,FALSE))</f>
        <v>1540.585</v>
      </c>
      <c r="AB132">
        <f ca="1">IF(AND($B$183=1,LEN($AB$232)&gt;0),$AB$232*1000,HLOOKUP(INDIRECT(ADDRESS(2,COLUMN())),OFFSET($BN$2,0,0,ROW()-1,60),ROW()-1,FALSE))</f>
        <v>275.154</v>
      </c>
      <c r="AC132">
        <f ca="1">IF(AND($B$183=1,LEN($AC$232)&gt;0),$AC$232*1000,HLOOKUP(INDIRECT(ADDRESS(2,COLUMN())),OFFSET($BN$2,0,0,ROW()-1,60),ROW()-1,FALSE))</f>
        <v>-25.193999999999999</v>
      </c>
      <c r="AD132">
        <f ca="1">IF(AND($B$183=1,LEN($AD$232)&gt;0),$AD$232*1000,HLOOKUP(INDIRECT(ADDRESS(2,COLUMN())),OFFSET($BN$2,0,0,ROW()-1,60),ROW()-1,FALSE))</f>
        <v>1687.5920000000001</v>
      </c>
      <c r="AE132">
        <f ca="1">IF(AND($B$183=1,LEN($AE$232)&gt;0),$AE$232*1000,HLOOKUP(INDIRECT(ADDRESS(2,COLUMN())),OFFSET($BN$2,0,0,ROW()-1,60),ROW()-1,FALSE))</f>
        <v>1208.56</v>
      </c>
      <c r="AF132">
        <f ca="1">IF(AND($B$183=1,LEN($AF$232)&gt;0),$AF$232*1000,HLOOKUP(INDIRECT(ADDRESS(2,COLUMN())),OFFSET($BN$2,0,0,ROW()-1,60),ROW()-1,FALSE))</f>
        <v>1558.145</v>
      </c>
      <c r="AG132">
        <f ca="1">IF(AND($B$183=1,LEN($AG$232)&gt;0),$AG$232*1000,HLOOKUP(INDIRECT(ADDRESS(2,COLUMN())),OFFSET($BN$2,0,0,ROW()-1,60),ROW()-1,FALSE))</f>
        <v>2240.4679999999998</v>
      </c>
      <c r="AH132">
        <f ca="1">IF(AND($B$183=1,LEN($AH$232)&gt;0),$AH$232*1000,HLOOKUP(INDIRECT(ADDRESS(2,COLUMN())),OFFSET($BN$2,0,0,ROW()-1,60),ROW()-1,FALSE))</f>
        <v>-153.46899999999999</v>
      </c>
      <c r="AI132">
        <f ca="1">IF(AND($B$183=1,LEN($AI$232)&gt;0),$AI$232*1000,HLOOKUP(INDIRECT(ADDRESS(2,COLUMN())),OFFSET($BN$2,0,0,ROW()-1,60),ROW()-1,FALSE))</f>
        <v>1158.7660000000001</v>
      </c>
      <c r="AJ132">
        <f ca="1">IF(AND($B$183=1,LEN($AJ$232)&gt;0),$AJ$232*1000,HLOOKUP(INDIRECT(ADDRESS(2,COLUMN())),OFFSET($BN$2,0,0,ROW()-1,60),ROW()-1,FALSE))</f>
        <v>303.54599999999999</v>
      </c>
      <c r="AK132">
        <f ca="1">IF(AND($B$183=1,LEN($AK$232)&gt;0),$AK$232*1000,HLOOKUP(INDIRECT(ADDRESS(2,COLUMN())),OFFSET($BN$2,0,0,ROW()-1,60),ROW()-1,FALSE))</f>
        <v>248.566</v>
      </c>
      <c r="AL132">
        <f ca="1">IF(AND($B$183=1,LEN($AL$232)&gt;0),$AL$232*1000,HLOOKUP(INDIRECT(ADDRESS(2,COLUMN())),OFFSET($BN$2,0,0,ROW()-1,60),ROW()-1,FALSE))</f>
        <v>-128.12700000000001</v>
      </c>
      <c r="AM132">
        <f ca="1">IF(AND($B$183=1,LEN($AM$232)&gt;0),$AM$232*1000,HLOOKUP(INDIRECT(ADDRESS(2,COLUMN())),OFFSET($BN$2,0,0,ROW()-1,60),ROW()-1,FALSE))</f>
        <v>-140.55000000000001</v>
      </c>
      <c r="AN132">
        <f ca="1">IF(AND($B$183=1,LEN($AN$232)&gt;0),$AN$232*1000,HLOOKUP(INDIRECT(ADDRESS(2,COLUMN())),OFFSET($BN$2,0,0,ROW()-1,60),ROW()-1,FALSE))</f>
        <v>8.4</v>
      </c>
      <c r="AO132">
        <f ca="1">IF(AND($B$183=1,LEN($AO$232)&gt;0),$AO$232*1000,HLOOKUP(INDIRECT(ADDRESS(2,COLUMN())),OFFSET($BN$2,0,0,ROW()-1,60),ROW()-1,FALSE))</f>
        <v>-116.9</v>
      </c>
      <c r="AP132">
        <f ca="1">IF(AND($B$183=1,LEN($AP$232)&gt;0),$AP$232*1000,HLOOKUP(INDIRECT(ADDRESS(2,COLUMN())),OFFSET($BN$2,0,0,ROW()-1,60),ROW()-1,FALSE))</f>
        <v>-137.19999999999999</v>
      </c>
      <c r="AQ132">
        <f ca="1">IF(AND($B$183=1,LEN($AQ$232)&gt;0),$AQ$232*1000,HLOOKUP(INDIRECT(ADDRESS(2,COLUMN())),OFFSET($BN$2,0,0,ROW()-1,60),ROW()-1,FALSE))</f>
        <v>-134.6</v>
      </c>
      <c r="AR132">
        <f ca="1">IF(AND($B$183=1,LEN($AR$232)&gt;0),$AR$232*1000,HLOOKUP(INDIRECT(ADDRESS(2,COLUMN())),OFFSET($BN$2,0,0,ROW()-1,60),ROW()-1,FALSE))</f>
        <v>-422.24099999999999</v>
      </c>
      <c r="AS132">
        <f ca="1">IF(AND($B$183=1,LEN($AS$232)&gt;0),$AS$232*1000,HLOOKUP(INDIRECT(ADDRESS(2,COLUMN())),OFFSET($BN$2,0,0,ROW()-1,60),ROW()-1,FALSE))</f>
        <v>-17.856999999999999</v>
      </c>
      <c r="AT132">
        <f ca="1">IF(AND($B$183=1,LEN($AT$232)&gt;0),$AT$232*1000,HLOOKUP(INDIRECT(ADDRESS(2,COLUMN())),OFFSET($BN$2,0,0,ROW()-1,60),ROW()-1,FALSE))</f>
        <v>-119.3</v>
      </c>
      <c r="AU132">
        <f ca="1">IF(AND($B$183=1,LEN($AU$232)&gt;0),$AU$232*1000,HLOOKUP(INDIRECT(ADDRESS(2,COLUMN())),OFFSET($BN$2,0,0,ROW()-1,60),ROW()-1,FALSE))</f>
        <v>-12.775</v>
      </c>
      <c r="AV132">
        <f ca="1">IF(AND($B$183=1,LEN($AV$232)&gt;0),$AV$232*1000,HLOOKUP(INDIRECT(ADDRESS(2,COLUMN())),OFFSET($BN$2,0,0,ROW()-1,60),ROW()-1,FALSE))</f>
        <v>2541.8000000000002</v>
      </c>
      <c r="AW132">
        <f ca="1">IF(AND($B$183=1,LEN($AW$232)&gt;0),$AW$232*1000,HLOOKUP(INDIRECT(ADDRESS(2,COLUMN())),OFFSET($BN$2,0,0,ROW()-1,60),ROW()-1,FALSE))</f>
        <v>3254.5239999999999</v>
      </c>
      <c r="AX132">
        <f ca="1">IF(AND($B$183=1,LEN($AX$232)&gt;0),$AX$232*1000,HLOOKUP(INDIRECT(ADDRESS(2,COLUMN())),OFFSET($BN$2,0,0,ROW()-1,60),ROW()-1,FALSE))</f>
        <v>1016.023</v>
      </c>
      <c r="AY132">
        <f ca="1">IF(AND($B$183=1,LEN($AY$232)&gt;0),$AY$232*1000,HLOOKUP(INDIRECT(ADDRESS(2,COLUMN())),OFFSET($BN$2,0,0,ROW()-1,60),ROW()-1,FALSE))</f>
        <v>378.56299999999999</v>
      </c>
      <c r="AZ132">
        <f ca="1">IF(AND($B$183=1,LEN($AZ$232)&gt;0),$AZ$232*1000,HLOOKUP(INDIRECT(ADDRESS(2,COLUMN())),OFFSET($BN$2,0,0,ROW()-1,60),ROW()-1,FALSE))</f>
        <v>4003.6579999999999</v>
      </c>
      <c r="BA132">
        <f ca="1">IF(AND($B$183=1,LEN($BA$232)&gt;0),$BA$232*1000,HLOOKUP(INDIRECT(ADDRESS(2,COLUMN())),OFFSET($BN$2,0,0,ROW()-1,60),ROW()-1,FALSE))</f>
        <v>709.74699999999996</v>
      </c>
      <c r="BB132">
        <f ca="1">IF(AND($B$183=1,LEN($BB$232)&gt;0),$BB$232*1000,HLOOKUP(INDIRECT(ADDRESS(2,COLUMN())),OFFSET($BN$2,0,0,ROW()-1,60),ROW()-1,FALSE))</f>
        <v>1189.692</v>
      </c>
      <c r="BC132">
        <f ca="1">IF(AND($B$183=1,LEN($BC$232)&gt;0),$BC$232*1000,HLOOKUP(INDIRECT(ADDRESS(2,COLUMN())),OFFSET($BN$2,0,0,ROW()-1,60),ROW()-1,FALSE))</f>
        <v>921.33799999999997</v>
      </c>
      <c r="BD132">
        <f ca="1">IF(AND($B$183=1,LEN($BD$232)&gt;0),$BD$232*1000,HLOOKUP(INDIRECT(ADDRESS(2,COLUMN())),OFFSET($BN$2,0,0,ROW()-1,60),ROW()-1,FALSE))</f>
        <v>1940.2809999999999</v>
      </c>
      <c r="BE132">
        <f ca="1">IF(AND($B$183=1,LEN($BE$232)&gt;0),$BE$232*1000,HLOOKUP(INDIRECT(ADDRESS(2,COLUMN())),OFFSET($BN$2,0,0,ROW()-1,60),ROW()-1,FALSE))</f>
        <v>589.12800000000004</v>
      </c>
      <c r="BF132">
        <f ca="1">IF(AND($B$183=1,LEN($BF$232)&gt;0),$BF$232*1000,HLOOKUP(INDIRECT(ADDRESS(2,COLUMN())),OFFSET($BN$2,0,0,ROW()-1,60),ROW()-1,FALSE))</f>
        <v>138.12200000000001</v>
      </c>
      <c r="BG132">
        <f ca="1">IF(AND($B$183=1,LEN($BG$232)&gt;0),$BG$232*1000,HLOOKUP(INDIRECT(ADDRESS(2,COLUMN())),OFFSET($BN$2,0,0,ROW()-1,60),ROW()-1,FALSE))</f>
        <v>861.94600000000003</v>
      </c>
      <c r="BH132">
        <f ca="1">IF(AND($B$183=1,LEN($BH$232)&gt;0),$BH$232*1000,HLOOKUP(INDIRECT(ADDRESS(2,COLUMN())),OFFSET($BN$2,0,0,ROW()-1,60),ROW()-1,FALSE))</f>
        <v>439.142</v>
      </c>
      <c r="BI132">
        <f ca="1">IF(AND($B$183=1,LEN($BI$232)&gt;0),$BI$232*1000,HLOOKUP(INDIRECT(ADDRESS(2,COLUMN())),OFFSET($BN$2,0,0,ROW()-1,60),ROW()-1,FALSE))</f>
        <v>5.9509999999999996</v>
      </c>
      <c r="BJ132">
        <f ca="1">IF(AND($B$183=1,LEN($BJ$232)&gt;0),$BJ$232*1000,HLOOKUP(INDIRECT(ADDRESS(2,COLUMN())),OFFSET($BN$2,0,0,ROW()-1,60),ROW()-1,FALSE))</f>
        <v>257.28800000000001</v>
      </c>
      <c r="BK132">
        <f ca="1">IF(AND($B$183=1,LEN($BK$232)&gt;0),$BK$232*1000,HLOOKUP(INDIRECT(ADDRESS(2,COLUMN())),OFFSET($BN$2,0,0,ROW()-1,60),ROW()-1,FALSE))</f>
        <v>28.48</v>
      </c>
      <c r="BL132">
        <f ca="1">IF(AND($B$183=1,LEN($BL$232)&gt;0),$BL$232*1000,HLOOKUP(INDIRECT(ADDRESS(2,COLUMN())),OFFSET($BN$2,0,0,ROW()-1,60),ROW()-1,FALSE))</f>
        <v>0</v>
      </c>
      <c r="BM132">
        <f ca="1">IF(AND($B$183=1,LEN($BM$232)&gt;0),$BM$232*1000,HLOOKUP(INDIRECT(ADDRESS(2,COLUMN())),OFFSET($BN$2,0,0,ROW()-1,60),ROW()-1,FALSE))</f>
        <v>0</v>
      </c>
      <c r="BN132">
        <f>468.8</f>
        <v>468.8</v>
      </c>
      <c r="BO132">
        <f>677.578</f>
        <v>677.57799999999997</v>
      </c>
      <c r="BP132">
        <f>-30.862</f>
        <v>-30.861999999999998</v>
      </c>
      <c r="BQ132">
        <f>500.581</f>
        <v>500.58100000000002</v>
      </c>
      <c r="BR132">
        <f>-284.016</f>
        <v>-284.01600000000002</v>
      </c>
      <c r="BS132">
        <f>831.888</f>
        <v>831.88800000000003</v>
      </c>
      <c r="BT132">
        <f>-1479.284</f>
        <v>-1479.2840000000001</v>
      </c>
      <c r="BU132">
        <f>262.724</f>
        <v>262.72399999999999</v>
      </c>
      <c r="BV132">
        <f>-1099.086</f>
        <v>-1099.086</v>
      </c>
      <c r="BW132">
        <f>1120.517</f>
        <v>1120.5170000000001</v>
      </c>
      <c r="BX132">
        <f>1398.992</f>
        <v>1398.992</v>
      </c>
      <c r="BY132">
        <f>1225.098</f>
        <v>1225.098</v>
      </c>
      <c r="BZ132">
        <f>1535.698</f>
        <v>1535.6980000000001</v>
      </c>
      <c r="CA132">
        <f>939.662</f>
        <v>939.66200000000003</v>
      </c>
      <c r="CB132">
        <f>551.315</f>
        <v>551.31500000000005</v>
      </c>
      <c r="CC132">
        <f>158.209</f>
        <v>158.209</v>
      </c>
      <c r="CD132">
        <f>166.235</f>
        <v>166.23500000000001</v>
      </c>
      <c r="CE132">
        <f>779.3</f>
        <v>779.3</v>
      </c>
      <c r="CF132">
        <f>1033.277</f>
        <v>1033.277</v>
      </c>
      <c r="CG132">
        <f>10.401</f>
        <v>10.401</v>
      </c>
      <c r="CH132">
        <f>1234.259</f>
        <v>1234.259</v>
      </c>
      <c r="CI132">
        <f>1540.585</f>
        <v>1540.585</v>
      </c>
      <c r="CJ132">
        <f>275.154</f>
        <v>275.154</v>
      </c>
      <c r="CK132">
        <f>-25.194</f>
        <v>-25.193999999999999</v>
      </c>
      <c r="CL132">
        <f>1687.592</f>
        <v>1687.5920000000001</v>
      </c>
      <c r="CM132">
        <f>1208.56</f>
        <v>1208.56</v>
      </c>
      <c r="CN132">
        <f>1558.145</f>
        <v>1558.145</v>
      </c>
      <c r="CO132">
        <f>2240.468</f>
        <v>2240.4679999999998</v>
      </c>
      <c r="CP132">
        <f>-153.469</f>
        <v>-153.46899999999999</v>
      </c>
      <c r="CQ132">
        <f>1158.766</f>
        <v>1158.7660000000001</v>
      </c>
      <c r="CR132">
        <f>303.546</f>
        <v>303.54599999999999</v>
      </c>
      <c r="CS132">
        <f>248.566</f>
        <v>248.566</v>
      </c>
      <c r="CT132">
        <f>-128.127</f>
        <v>-128.12700000000001</v>
      </c>
      <c r="CU132">
        <f>-140.55</f>
        <v>-140.55000000000001</v>
      </c>
      <c r="CV132">
        <f>8.4</f>
        <v>8.4</v>
      </c>
      <c r="CW132">
        <f>-116.9</f>
        <v>-116.9</v>
      </c>
      <c r="CX132">
        <f>-137.2</f>
        <v>-137.19999999999999</v>
      </c>
      <c r="CY132">
        <f>-134.6</f>
        <v>-134.6</v>
      </c>
      <c r="CZ132">
        <f>-422.241</f>
        <v>-422.24099999999999</v>
      </c>
      <c r="DA132">
        <f>-17.857</f>
        <v>-17.856999999999999</v>
      </c>
      <c r="DB132">
        <f>-119.3</f>
        <v>-119.3</v>
      </c>
      <c r="DC132">
        <f>-12.775</f>
        <v>-12.775</v>
      </c>
      <c r="DD132">
        <f>2541.8</f>
        <v>2541.8000000000002</v>
      </c>
      <c r="DE132">
        <f>3254.524</f>
        <v>3254.5239999999999</v>
      </c>
      <c r="DF132">
        <f>1016.023</f>
        <v>1016.023</v>
      </c>
      <c r="DG132">
        <f>378.563</f>
        <v>378.56299999999999</v>
      </c>
      <c r="DH132">
        <f>4003.658</f>
        <v>4003.6579999999999</v>
      </c>
      <c r="DI132">
        <f>709.747</f>
        <v>709.74699999999996</v>
      </c>
      <c r="DJ132">
        <f>1189.692</f>
        <v>1189.692</v>
      </c>
      <c r="DK132">
        <f>921.338</f>
        <v>921.33799999999997</v>
      </c>
      <c r="DL132">
        <f>1940.281</f>
        <v>1940.2809999999999</v>
      </c>
      <c r="DM132">
        <f>589.128</f>
        <v>589.12800000000004</v>
      </c>
      <c r="DN132">
        <f>138.122</f>
        <v>138.12200000000001</v>
      </c>
      <c r="DO132">
        <f>861.946</f>
        <v>861.94600000000003</v>
      </c>
      <c r="DP132">
        <f>439.142</f>
        <v>439.142</v>
      </c>
      <c r="DQ132">
        <f>5.951</f>
        <v>5.9509999999999996</v>
      </c>
      <c r="DR132">
        <f>257.288</f>
        <v>257.28800000000001</v>
      </c>
      <c r="DS132">
        <f>28.48</f>
        <v>28.48</v>
      </c>
      <c r="DT132">
        <f>0</f>
        <v>0</v>
      </c>
      <c r="DU132">
        <f>0</f>
        <v>0</v>
      </c>
    </row>
    <row r="133" spans="1:125">
      <c r="A133" t="str">
        <f>"    Self Storage REITs"</f>
        <v xml:space="preserve">    Self Storage REITs</v>
      </c>
      <c r="B133" t="str">
        <f>"RECFNASS Index"</f>
        <v>RECFNASS Index</v>
      </c>
      <c r="E133" t="str">
        <f t="shared" si="27"/>
        <v>Expression</v>
      </c>
      <c r="F133">
        <f ca="1">IF(AND($B$183=1,LEN($F$233)&gt;0),$F$233*1000,HLOOKUP(INDIRECT(ADDRESS(2,COLUMN())),OFFSET($BN$2,0,0,ROW()-1,60),ROW()-1,FALSE))</f>
        <v>773.31</v>
      </c>
      <c r="G133">
        <f ca="1">IF(AND($B$183=1,LEN($G$233)&gt;0),$G$233*1000,HLOOKUP(INDIRECT(ADDRESS(2,COLUMN())),OFFSET($BN$2,0,0,ROW()-1,60),ROW()-1,FALSE))</f>
        <v>251.001</v>
      </c>
      <c r="H133">
        <f ca="1">IF(AND($B$183=1,LEN($H$233)&gt;0),$H$233*1000,HLOOKUP(INDIRECT(ADDRESS(2,COLUMN())),OFFSET($BN$2,0,0,ROW()-1,60),ROW()-1,FALSE))</f>
        <v>543.27599999999995</v>
      </c>
      <c r="I133">
        <f ca="1">IF(AND($B$183=1,LEN($I$233)&gt;0),$I$233*1000,HLOOKUP(INDIRECT(ADDRESS(2,COLUMN())),OFFSET($BN$2,0,0,ROW()-1,60),ROW()-1,FALSE))</f>
        <v>236.77699999999999</v>
      </c>
      <c r="J133">
        <f ca="1">IF(AND($B$183=1,LEN($J$233)&gt;0),$J$233*1000,HLOOKUP(INDIRECT(ADDRESS(2,COLUMN())),OFFSET($BN$2,0,0,ROW()-1,60),ROW()-1,FALSE))</f>
        <v>1515.673</v>
      </c>
      <c r="K133">
        <f ca="1">IF(AND($B$183=1,LEN($K$233)&gt;0),$K$233*1000,HLOOKUP(INDIRECT(ADDRESS(2,COLUMN())),OFFSET($BN$2,0,0,ROW()-1,60),ROW()-1,FALSE))</f>
        <v>2032.528</v>
      </c>
      <c r="L133">
        <f ca="1">IF(AND($B$183=1,LEN($L$233)&gt;0),$L$233*1000,HLOOKUP(INDIRECT(ADDRESS(2,COLUMN())),OFFSET($BN$2,0,0,ROW()-1,60),ROW()-1,FALSE))</f>
        <v>779.78399999999999</v>
      </c>
      <c r="M133">
        <f ca="1">IF(AND($B$183=1,LEN($M$233)&gt;0),$M$233*1000,HLOOKUP(INDIRECT(ADDRESS(2,COLUMN())),OFFSET($BN$2,0,0,ROW()-1,60),ROW()-1,FALSE))</f>
        <v>1084.45</v>
      </c>
      <c r="N133">
        <f ca="1">IF(AND($B$183=1,LEN($N$233)&gt;0),$N$233*1000,HLOOKUP(INDIRECT(ADDRESS(2,COLUMN())),OFFSET($BN$2,0,0,ROW()-1,60),ROW()-1,FALSE))</f>
        <v>1737.0229999999999</v>
      </c>
      <c r="O133">
        <f ca="1">IF(AND($B$183=1,LEN($O$233)&gt;0),$O$233*1000,HLOOKUP(INDIRECT(ADDRESS(2,COLUMN())),OFFSET($BN$2,0,0,ROW()-1,60),ROW()-1,FALSE))</f>
        <v>255.33</v>
      </c>
      <c r="P133">
        <f ca="1">IF(AND($B$183=1,LEN($P$233)&gt;0),$P$233*1000,HLOOKUP(INDIRECT(ADDRESS(2,COLUMN())),OFFSET($BN$2,0,0,ROW()-1,60),ROW()-1,FALSE))</f>
        <v>644</v>
      </c>
      <c r="Q133">
        <f ca="1">IF(AND($B$183=1,LEN($Q$233)&gt;0),$Q$233*1000,HLOOKUP(INDIRECT(ADDRESS(2,COLUMN())),OFFSET($BN$2,0,0,ROW()-1,60),ROW()-1,FALSE))</f>
        <v>268.15199999999999</v>
      </c>
      <c r="R133">
        <f ca="1">IF(AND($B$183=1,LEN($R$233)&gt;0),$R$233*1000,HLOOKUP(INDIRECT(ADDRESS(2,COLUMN())),OFFSET($BN$2,0,0,ROW()-1,60),ROW()-1,FALSE))</f>
        <v>910.649</v>
      </c>
      <c r="S133">
        <f ca="1">IF(AND($B$183=1,LEN($S$233)&gt;0),$S$233*1000,HLOOKUP(INDIRECT(ADDRESS(2,COLUMN())),OFFSET($BN$2,0,0,ROW()-1,60),ROW()-1,FALSE))</f>
        <v>365.90100000000001</v>
      </c>
      <c r="T133">
        <f ca="1">IF(AND($B$183=1,LEN($T$233)&gt;0),$T$233*1000,HLOOKUP(INDIRECT(ADDRESS(2,COLUMN())),OFFSET($BN$2,0,0,ROW()-1,60),ROW()-1,FALSE))</f>
        <v>388.14400000000001</v>
      </c>
      <c r="U133">
        <f ca="1">IF(AND($B$183=1,LEN($U$233)&gt;0),$U$233*1000,HLOOKUP(INDIRECT(ADDRESS(2,COLUMN())),OFFSET($BN$2,0,0,ROW()-1,60),ROW()-1,FALSE))</f>
        <v>452.13200000000001</v>
      </c>
      <c r="V133">
        <f ca="1">IF(AND($B$183=1,LEN($V$233)&gt;0),$V$233*1000,HLOOKUP(INDIRECT(ADDRESS(2,COLUMN())),OFFSET($BN$2,0,0,ROW()-1,60),ROW()-1,FALSE))</f>
        <v>932.36099999999999</v>
      </c>
      <c r="W133">
        <f ca="1">IF(AND($B$183=1,LEN($W$233)&gt;0),$W$233*1000,HLOOKUP(INDIRECT(ADDRESS(2,COLUMN())),OFFSET($BN$2,0,0,ROW()-1,60),ROW()-1,FALSE))</f>
        <v>634.96900000000005</v>
      </c>
      <c r="X133">
        <f ca="1">IF(AND($B$183=1,LEN($X$233)&gt;0),$X$233*1000,HLOOKUP(INDIRECT(ADDRESS(2,COLUMN())),OFFSET($BN$2,0,0,ROW()-1,60),ROW()-1,FALSE))</f>
        <v>142.852</v>
      </c>
      <c r="Y133">
        <f ca="1">IF(AND($B$183=1,LEN($Y$233)&gt;0),$Y$233*1000,HLOOKUP(INDIRECT(ADDRESS(2,COLUMN())),OFFSET($BN$2,0,0,ROW()-1,60),ROW()-1,FALSE))</f>
        <v>50.887</v>
      </c>
      <c r="Z133">
        <f ca="1">IF(AND($B$183=1,LEN($Z$233)&gt;0),$Z$233*1000,HLOOKUP(INDIRECT(ADDRESS(2,COLUMN())),OFFSET($BN$2,0,0,ROW()-1,60),ROW()-1,FALSE))</f>
        <v>432.84</v>
      </c>
      <c r="AA133">
        <f ca="1">IF(AND($B$183=1,LEN($AA$233)&gt;0),$AA$233*1000,HLOOKUP(INDIRECT(ADDRESS(2,COLUMN())),OFFSET($BN$2,0,0,ROW()-1,60),ROW()-1,FALSE))</f>
        <v>866.53599999999994</v>
      </c>
      <c r="AB133">
        <f ca="1">IF(AND($B$183=1,LEN($AB$233)&gt;0),$AB$233*1000,HLOOKUP(INDIRECT(ADDRESS(2,COLUMN())),OFFSET($BN$2,0,0,ROW()-1,60),ROW()-1,FALSE))</f>
        <v>152.70099999999999</v>
      </c>
      <c r="AC133">
        <f ca="1">IF(AND($B$183=1,LEN($AC$233)&gt;0),$AC$233*1000,HLOOKUP(INDIRECT(ADDRESS(2,COLUMN())),OFFSET($BN$2,0,0,ROW()-1,60),ROW()-1,FALSE))</f>
        <v>197.76499999999999</v>
      </c>
      <c r="AD133">
        <f ca="1">IF(AND($B$183=1,LEN($AD$233)&gt;0),$AD$233*1000,HLOOKUP(INDIRECT(ADDRESS(2,COLUMN())),OFFSET($BN$2,0,0,ROW()-1,60),ROW()-1,FALSE))</f>
        <v>1134.9179999999999</v>
      </c>
      <c r="AE133">
        <f ca="1">IF(AND($B$183=1,LEN($AE$233)&gt;0),$AE$233*1000,HLOOKUP(INDIRECT(ADDRESS(2,COLUMN())),OFFSET($BN$2,0,0,ROW()-1,60),ROW()-1,FALSE))</f>
        <v>338.43</v>
      </c>
      <c r="AF133">
        <f ca="1">IF(AND($B$183=1,LEN($AF$233)&gt;0),$AF$233*1000,HLOOKUP(INDIRECT(ADDRESS(2,COLUMN())),OFFSET($BN$2,0,0,ROW()-1,60),ROW()-1,FALSE))</f>
        <v>178.745</v>
      </c>
      <c r="AG133">
        <f ca="1">IF(AND($B$183=1,LEN($AG$233)&gt;0),$AG$233*1000,HLOOKUP(INDIRECT(ADDRESS(2,COLUMN())),OFFSET($BN$2,0,0,ROW()-1,60),ROW()-1,FALSE))</f>
        <v>33.281999999999996</v>
      </c>
      <c r="AH133">
        <f ca="1">IF(AND($B$183=1,LEN($AH$233)&gt;0),$AH$233*1000,HLOOKUP(INDIRECT(ADDRESS(2,COLUMN())),OFFSET($BN$2,0,0,ROW()-1,60),ROW()-1,FALSE))</f>
        <v>245.54499999999999</v>
      </c>
      <c r="AI133">
        <f ca="1">IF(AND($B$183=1,LEN($AI$233)&gt;0),$AI$233*1000,HLOOKUP(INDIRECT(ADDRESS(2,COLUMN())),OFFSET($BN$2,0,0,ROW()-1,60),ROW()-1,FALSE))</f>
        <v>100.562</v>
      </c>
      <c r="AJ133">
        <f ca="1">IF(AND($B$183=1,LEN($AJ$233)&gt;0),$AJ$233*1000,HLOOKUP(INDIRECT(ADDRESS(2,COLUMN())),OFFSET($BN$2,0,0,ROW()-1,60),ROW()-1,FALSE))</f>
        <v>257.19600000000003</v>
      </c>
      <c r="AK133">
        <f ca="1">IF(AND($B$183=1,LEN($AK$233)&gt;0),$AK$233*1000,HLOOKUP(INDIRECT(ADDRESS(2,COLUMN())),OFFSET($BN$2,0,0,ROW()-1,60),ROW()-1,FALSE))</f>
        <v>50</v>
      </c>
      <c r="AL133">
        <f ca="1">IF(AND($B$183=1,LEN($AL$233)&gt;0),$AL$233*1000,HLOOKUP(INDIRECT(ADDRESS(2,COLUMN())),OFFSET($BN$2,0,0,ROW()-1,60),ROW()-1,FALSE))</f>
        <v>-10.3</v>
      </c>
      <c r="AM133">
        <f ca="1">IF(AND($B$183=1,LEN($AM$233)&gt;0),$AM$233*1000,HLOOKUP(INDIRECT(ADDRESS(2,COLUMN())),OFFSET($BN$2,0,0,ROW()-1,60),ROW()-1,FALSE))</f>
        <v>-80.143000000000001</v>
      </c>
      <c r="AN133">
        <f ca="1">IF(AND($B$183=1,LEN($AN$233)&gt;0),$AN$233*1000,HLOOKUP(INDIRECT(ADDRESS(2,COLUMN())),OFFSET($BN$2,0,0,ROW()-1,60),ROW()-1,FALSE))</f>
        <v>-8.75</v>
      </c>
      <c r="AO133">
        <f ca="1">IF(AND($B$183=1,LEN($AO$233)&gt;0),$AO$233*1000,HLOOKUP(INDIRECT(ADDRESS(2,COLUMN())),OFFSET($BN$2,0,0,ROW()-1,60),ROW()-1,FALSE))</f>
        <v>4.452</v>
      </c>
      <c r="AP133">
        <f ca="1">IF(AND($B$183=1,LEN($AP$233)&gt;0),$AP$233*1000,HLOOKUP(INDIRECT(ADDRESS(2,COLUMN())),OFFSET($BN$2,0,0,ROW()-1,60),ROW()-1,FALSE))</f>
        <v>76.855000000000004</v>
      </c>
      <c r="AQ133">
        <f ca="1">IF(AND($B$183=1,LEN($AQ$233)&gt;0),$AQ$233*1000,HLOOKUP(INDIRECT(ADDRESS(2,COLUMN())),OFFSET($BN$2,0,0,ROW()-1,60),ROW()-1,FALSE))</f>
        <v>131.73699999999999</v>
      </c>
      <c r="AR133">
        <f ca="1">IF(AND($B$183=1,LEN($AR$233)&gt;0),$AR$233*1000,HLOOKUP(INDIRECT(ADDRESS(2,COLUMN())),OFFSET($BN$2,0,0,ROW()-1,60),ROW()-1,FALSE))</f>
        <v>29.273</v>
      </c>
      <c r="AS133">
        <f ca="1">IF(AND($B$183=1,LEN($AS$233)&gt;0),$AS$233*1000,HLOOKUP(INDIRECT(ADDRESS(2,COLUMN())),OFFSET($BN$2,0,0,ROW()-1,60),ROW()-1,FALSE))</f>
        <v>-534.303</v>
      </c>
      <c r="AT133">
        <f ca="1">IF(AND($B$183=1,LEN($AT$233)&gt;0),$AT$233*1000,HLOOKUP(INDIRECT(ADDRESS(2,COLUMN())),OFFSET($BN$2,0,0,ROW()-1,60),ROW()-1,FALSE))</f>
        <v>82.56</v>
      </c>
      <c r="AU133">
        <f ca="1">IF(AND($B$183=1,LEN($AU$233)&gt;0),$AU$233*1000,HLOOKUP(INDIRECT(ADDRESS(2,COLUMN())),OFFSET($BN$2,0,0,ROW()-1,60),ROW()-1,FALSE))</f>
        <v>229.417</v>
      </c>
      <c r="AV133">
        <f ca="1">IF(AND($B$183=1,LEN($AV$233)&gt;0),$AV$233*1000,HLOOKUP(INDIRECT(ADDRESS(2,COLUMN())),OFFSET($BN$2,0,0,ROW()-1,60),ROW()-1,FALSE))</f>
        <v>319.92099999999999</v>
      </c>
      <c r="AW133">
        <f ca="1">IF(AND($B$183=1,LEN($AW$233)&gt;0),$AW$233*1000,HLOOKUP(INDIRECT(ADDRESS(2,COLUMN())),OFFSET($BN$2,0,0,ROW()-1,60),ROW()-1,FALSE))</f>
        <v>228.797</v>
      </c>
      <c r="AX133">
        <f ca="1">IF(AND($B$183=1,LEN($AX$233)&gt;0),$AX$233*1000,HLOOKUP(INDIRECT(ADDRESS(2,COLUMN())),OFFSET($BN$2,0,0,ROW()-1,60),ROW()-1,FALSE))</f>
        <v>78.33</v>
      </c>
      <c r="AY133">
        <f ca="1">IF(AND($B$183=1,LEN($AY$233)&gt;0),$AY$233*1000,HLOOKUP(INDIRECT(ADDRESS(2,COLUMN())),OFFSET($BN$2,0,0,ROW()-1,60),ROW()-1,FALSE))</f>
        <v>291.08</v>
      </c>
      <c r="AZ133">
        <f ca="1">IF(AND($B$183=1,LEN($AZ$233)&gt;0),$AZ$233*1000,HLOOKUP(INDIRECT(ADDRESS(2,COLUMN())),OFFSET($BN$2,0,0,ROW()-1,60),ROW()-1,FALSE))</f>
        <v>325.45299999999997</v>
      </c>
      <c r="BA133">
        <f ca="1">IF(AND($B$183=1,LEN($BA$233)&gt;0),$BA$233*1000,HLOOKUP(INDIRECT(ADDRESS(2,COLUMN())),OFFSET($BN$2,0,0,ROW()-1,60),ROW()-1,FALSE))</f>
        <v>453.07499999999999</v>
      </c>
      <c r="BB133">
        <f ca="1">IF(AND($B$183=1,LEN($BB$233)&gt;0),$BB$233*1000,HLOOKUP(INDIRECT(ADDRESS(2,COLUMN())),OFFSET($BN$2,0,0,ROW()-1,60),ROW()-1,FALSE))</f>
        <v>279.25099999999998</v>
      </c>
      <c r="BC133">
        <f ca="1">IF(AND($B$183=1,LEN($BC$233)&gt;0),$BC$233*1000,HLOOKUP(INDIRECT(ADDRESS(2,COLUMN())),OFFSET($BN$2,0,0,ROW()-1,60),ROW()-1,FALSE))</f>
        <v>877.096</v>
      </c>
      <c r="BD133">
        <f ca="1">IF(AND($B$183=1,LEN($BD$233)&gt;0),$BD$233*1000,HLOOKUP(INDIRECT(ADDRESS(2,COLUMN())),OFFSET($BN$2,0,0,ROW()-1,60),ROW()-1,FALSE))</f>
        <v>188.09800000000001</v>
      </c>
      <c r="BE133">
        <f ca="1">IF(AND($B$183=1,LEN($BE$233)&gt;0),$BE$233*1000,HLOOKUP(INDIRECT(ADDRESS(2,COLUMN())),OFFSET($BN$2,0,0,ROW()-1,60),ROW()-1,FALSE))</f>
        <v>145.184</v>
      </c>
      <c r="BF133">
        <f ca="1">IF(AND($B$183=1,LEN($BF$233)&gt;0),$BF$233*1000,HLOOKUP(INDIRECT(ADDRESS(2,COLUMN())),OFFSET($BN$2,0,0,ROW()-1,60),ROW()-1,FALSE))</f>
        <v>273.27600000000001</v>
      </c>
      <c r="BG133">
        <f ca="1">IF(AND($B$183=1,LEN($BG$233)&gt;0),$BG$233*1000,HLOOKUP(INDIRECT(ADDRESS(2,COLUMN())),OFFSET($BN$2,0,0,ROW()-1,60),ROW()-1,FALSE))</f>
        <v>28.765999999999998</v>
      </c>
      <c r="BH133">
        <f ca="1">IF(AND($B$183=1,LEN($BH$233)&gt;0),$BH$233*1000,HLOOKUP(INDIRECT(ADDRESS(2,COLUMN())),OFFSET($BN$2,0,0,ROW()-1,60),ROW()-1,FALSE))</f>
        <v>44.222000000000001</v>
      </c>
      <c r="BI133">
        <f ca="1">IF(AND($B$183=1,LEN($BI$233)&gt;0),$BI$233*1000,HLOOKUP(INDIRECT(ADDRESS(2,COLUMN())),OFFSET($BN$2,0,0,ROW()-1,60),ROW()-1,FALSE))</f>
        <v>7.5970000000000004</v>
      </c>
      <c r="BJ133">
        <f ca="1">IF(AND($B$183=1,LEN($BJ$233)&gt;0),$BJ$233*1000,HLOOKUP(INDIRECT(ADDRESS(2,COLUMN())),OFFSET($BN$2,0,0,ROW()-1,60),ROW()-1,FALSE))</f>
        <v>0</v>
      </c>
      <c r="BK133">
        <f ca="1">IF(AND($B$183=1,LEN($BK$233)&gt;0),$BK$233*1000,HLOOKUP(INDIRECT(ADDRESS(2,COLUMN())),OFFSET($BN$2,0,0,ROW()-1,60),ROW()-1,FALSE))</f>
        <v>0</v>
      </c>
      <c r="BL133">
        <f ca="1">IF(AND($B$183=1,LEN($BL$233)&gt;0),$BL$233*1000,HLOOKUP(INDIRECT(ADDRESS(2,COLUMN())),OFFSET($BN$2,0,0,ROW()-1,60),ROW()-1,FALSE))</f>
        <v>0</v>
      </c>
      <c r="BM133">
        <f ca="1">IF(AND($B$183=1,LEN($BM$233)&gt;0),$BM$233*1000,HLOOKUP(INDIRECT(ADDRESS(2,COLUMN())),OFFSET($BN$2,0,0,ROW()-1,60),ROW()-1,FALSE))</f>
        <v>0</v>
      </c>
      <c r="BN133">
        <f>773.31</f>
        <v>773.31</v>
      </c>
      <c r="BO133">
        <f>251.001</f>
        <v>251.001</v>
      </c>
      <c r="BP133">
        <f>543.276</f>
        <v>543.27599999999995</v>
      </c>
      <c r="BQ133">
        <f>236.777</f>
        <v>236.77699999999999</v>
      </c>
      <c r="BR133">
        <f>1515.673</f>
        <v>1515.673</v>
      </c>
      <c r="BS133">
        <f>2032.528</f>
        <v>2032.528</v>
      </c>
      <c r="BT133">
        <f>779.784</f>
        <v>779.78399999999999</v>
      </c>
      <c r="BU133">
        <f>1084.45</f>
        <v>1084.45</v>
      </c>
      <c r="BV133">
        <f>1737.023</f>
        <v>1737.0229999999999</v>
      </c>
      <c r="BW133">
        <f>255.33</f>
        <v>255.33</v>
      </c>
      <c r="BX133">
        <f>644</f>
        <v>644</v>
      </c>
      <c r="BY133">
        <f>268.152</f>
        <v>268.15199999999999</v>
      </c>
      <c r="BZ133">
        <f>910.649</f>
        <v>910.649</v>
      </c>
      <c r="CA133">
        <f>365.901</f>
        <v>365.90100000000001</v>
      </c>
      <c r="CB133">
        <f>388.144</f>
        <v>388.14400000000001</v>
      </c>
      <c r="CC133">
        <f>452.132</f>
        <v>452.13200000000001</v>
      </c>
      <c r="CD133">
        <f>932.361</f>
        <v>932.36099999999999</v>
      </c>
      <c r="CE133">
        <f>634.969</f>
        <v>634.96900000000005</v>
      </c>
      <c r="CF133">
        <f>142.852</f>
        <v>142.852</v>
      </c>
      <c r="CG133">
        <f>50.887</f>
        <v>50.887</v>
      </c>
      <c r="CH133">
        <f>432.84</f>
        <v>432.84</v>
      </c>
      <c r="CI133">
        <f>866.536</f>
        <v>866.53599999999994</v>
      </c>
      <c r="CJ133">
        <f>152.701</f>
        <v>152.70099999999999</v>
      </c>
      <c r="CK133">
        <f>197.765</f>
        <v>197.76499999999999</v>
      </c>
      <c r="CL133">
        <f>1134.918</f>
        <v>1134.9179999999999</v>
      </c>
      <c r="CM133">
        <f>338.43</f>
        <v>338.43</v>
      </c>
      <c r="CN133">
        <f>178.745</f>
        <v>178.745</v>
      </c>
      <c r="CO133">
        <f>33.282</f>
        <v>33.281999999999996</v>
      </c>
      <c r="CP133">
        <f>245.545</f>
        <v>245.54499999999999</v>
      </c>
      <c r="CQ133">
        <f>100.562</f>
        <v>100.562</v>
      </c>
      <c r="CR133">
        <f>257.196</f>
        <v>257.19600000000003</v>
      </c>
      <c r="CS133">
        <f>50</f>
        <v>50</v>
      </c>
      <c r="CT133">
        <f>-10.3</f>
        <v>-10.3</v>
      </c>
      <c r="CU133">
        <f>-80.143</f>
        <v>-80.143000000000001</v>
      </c>
      <c r="CV133">
        <f>-8.75</f>
        <v>-8.75</v>
      </c>
      <c r="CW133">
        <f>4.452</f>
        <v>4.452</v>
      </c>
      <c r="CX133">
        <f>76.855</f>
        <v>76.855000000000004</v>
      </c>
      <c r="CY133">
        <f>131.737</f>
        <v>131.73699999999999</v>
      </c>
      <c r="CZ133">
        <f>29.273</f>
        <v>29.273</v>
      </c>
      <c r="DA133">
        <f>-534.303</f>
        <v>-534.303</v>
      </c>
      <c r="DB133">
        <f>82.56</f>
        <v>82.56</v>
      </c>
      <c r="DC133">
        <f>229.417</f>
        <v>229.417</v>
      </c>
      <c r="DD133">
        <f>319.921</f>
        <v>319.92099999999999</v>
      </c>
      <c r="DE133">
        <f>228.797</f>
        <v>228.797</v>
      </c>
      <c r="DF133">
        <f>78.33</f>
        <v>78.33</v>
      </c>
      <c r="DG133">
        <f>291.08</f>
        <v>291.08</v>
      </c>
      <c r="DH133">
        <f>325.453</f>
        <v>325.45299999999997</v>
      </c>
      <c r="DI133">
        <f>453.075</f>
        <v>453.07499999999999</v>
      </c>
      <c r="DJ133">
        <f>279.251</f>
        <v>279.25099999999998</v>
      </c>
      <c r="DK133">
        <f>877.096</f>
        <v>877.096</v>
      </c>
      <c r="DL133">
        <f>188.098</f>
        <v>188.09800000000001</v>
      </c>
      <c r="DM133">
        <f>145.184</f>
        <v>145.184</v>
      </c>
      <c r="DN133">
        <f>273.276</f>
        <v>273.27600000000001</v>
      </c>
      <c r="DO133">
        <f>28.766</f>
        <v>28.765999999999998</v>
      </c>
      <c r="DP133">
        <f>44.222</f>
        <v>44.222000000000001</v>
      </c>
      <c r="DQ133">
        <f>7.597</f>
        <v>7.5970000000000004</v>
      </c>
      <c r="DR133">
        <f>0</f>
        <v>0</v>
      </c>
      <c r="DS133">
        <f>0</f>
        <v>0</v>
      </c>
      <c r="DT133">
        <f>0</f>
        <v>0</v>
      </c>
      <c r="DU133">
        <f>0</f>
        <v>0</v>
      </c>
    </row>
    <row r="134" spans="1:125">
      <c r="A134" t="str">
        <f>"    Health Care REITs"</f>
        <v xml:space="preserve">    Health Care REITs</v>
      </c>
      <c r="B134" t="str">
        <f>"RECFNAHC Index"</f>
        <v>RECFNAHC Index</v>
      </c>
      <c r="E134" t="str">
        <f t="shared" si="27"/>
        <v>Expression</v>
      </c>
      <c r="F134">
        <f ca="1">IF(AND($B$183=1,LEN($F$234)&gt;0),$F$234*1000,HLOOKUP(INDIRECT(ADDRESS(2,COLUMN())),OFFSET($BN$2,0,0,ROW()-1,60),ROW()-1,FALSE))</f>
        <v>359.40899999999999</v>
      </c>
      <c r="G134">
        <f ca="1">IF(AND($B$183=1,LEN($G$234)&gt;0),$G$234*1000,HLOOKUP(INDIRECT(ADDRESS(2,COLUMN())),OFFSET($BN$2,0,0,ROW()-1,60),ROW()-1,FALSE))</f>
        <v>1758.008</v>
      </c>
      <c r="H134">
        <f ca="1">IF(AND($B$183=1,LEN($H$234)&gt;0),$H$234*1000,HLOOKUP(INDIRECT(ADDRESS(2,COLUMN())),OFFSET($BN$2,0,0,ROW()-1,60),ROW()-1,FALSE))</f>
        <v>4301.8059999999996</v>
      </c>
      <c r="I134">
        <f ca="1">IF(AND($B$183=1,LEN($I$234)&gt;0),$I$234*1000,HLOOKUP(INDIRECT(ADDRESS(2,COLUMN())),OFFSET($BN$2,0,0,ROW()-1,60),ROW()-1,FALSE))</f>
        <v>-2428.2840000000001</v>
      </c>
      <c r="J134">
        <f ca="1">IF(AND($B$183=1,LEN($J$234)&gt;0),$J$234*1000,HLOOKUP(INDIRECT(ADDRESS(2,COLUMN())),OFFSET($BN$2,0,0,ROW()-1,60),ROW()-1,FALSE))</f>
        <v>1899.96</v>
      </c>
      <c r="K134">
        <f ca="1">IF(AND($B$183=1,LEN($K$234)&gt;0),$K$234*1000,HLOOKUP(INDIRECT(ADDRESS(2,COLUMN())),OFFSET($BN$2,0,0,ROW()-1,60),ROW()-1,FALSE))</f>
        <v>3357.0720000000001</v>
      </c>
      <c r="L134">
        <f ca="1">IF(AND($B$183=1,LEN($L$234)&gt;0),$L$234*1000,HLOOKUP(INDIRECT(ADDRESS(2,COLUMN())),OFFSET($BN$2,0,0,ROW()-1,60),ROW()-1,FALSE))</f>
        <v>1341.0820000000001</v>
      </c>
      <c r="M134">
        <f ca="1">IF(AND($B$183=1,LEN($M$234)&gt;0),$M$234*1000,HLOOKUP(INDIRECT(ADDRESS(2,COLUMN())),OFFSET($BN$2,0,0,ROW()-1,60),ROW()-1,FALSE))</f>
        <v>1150.21</v>
      </c>
      <c r="N134">
        <f ca="1">IF(AND($B$183=1,LEN($N$234)&gt;0),$N$234*1000,HLOOKUP(INDIRECT(ADDRESS(2,COLUMN())),OFFSET($BN$2,0,0,ROW()-1,60),ROW()-1,FALSE))</f>
        <v>1561.32</v>
      </c>
      <c r="O134">
        <f ca="1">IF(AND($B$183=1,LEN($O$234)&gt;0),$O$234*1000,HLOOKUP(INDIRECT(ADDRESS(2,COLUMN())),OFFSET($BN$2,0,0,ROW()-1,60),ROW()-1,FALSE))</f>
        <v>4377.8789999999999</v>
      </c>
      <c r="P134">
        <f ca="1">IF(AND($B$183=1,LEN($P$234)&gt;0),$P$234*1000,HLOOKUP(INDIRECT(ADDRESS(2,COLUMN())),OFFSET($BN$2,0,0,ROW()-1,60),ROW()-1,FALSE))</f>
        <v>7637.134</v>
      </c>
      <c r="Q134">
        <f ca="1">IF(AND($B$183=1,LEN($Q$234)&gt;0),$Q$234*1000,HLOOKUP(INDIRECT(ADDRESS(2,COLUMN())),OFFSET($BN$2,0,0,ROW()-1,60),ROW()-1,FALSE))</f>
        <v>6300.1450000000004</v>
      </c>
      <c r="R134">
        <f ca="1">IF(AND($B$183=1,LEN($R$234)&gt;0),$R$234*1000,HLOOKUP(INDIRECT(ADDRESS(2,COLUMN())),OFFSET($BN$2,0,0,ROW()-1,60),ROW()-1,FALSE))</f>
        <v>2491.3580000000002</v>
      </c>
      <c r="S134">
        <f ca="1">IF(AND($B$183=1,LEN($S$234)&gt;0),$S$234*1000,HLOOKUP(INDIRECT(ADDRESS(2,COLUMN())),OFFSET($BN$2,0,0,ROW()-1,60),ROW()-1,FALSE))</f>
        <v>2856.1309999999999</v>
      </c>
      <c r="T134">
        <f ca="1">IF(AND($B$183=1,LEN($T$234)&gt;0),$T$234*1000,HLOOKUP(INDIRECT(ADDRESS(2,COLUMN())),OFFSET($BN$2,0,0,ROW()-1,60),ROW()-1,FALSE))</f>
        <v>2487.3409999999999</v>
      </c>
      <c r="U134">
        <f ca="1">IF(AND($B$183=1,LEN($U$234)&gt;0),$U$234*1000,HLOOKUP(INDIRECT(ADDRESS(2,COLUMN())),OFFSET($BN$2,0,0,ROW()-1,60),ROW()-1,FALSE))</f>
        <v>1179.4380000000001</v>
      </c>
      <c r="V134">
        <f ca="1">IF(AND($B$183=1,LEN($V$234)&gt;0),$V$234*1000,HLOOKUP(INDIRECT(ADDRESS(2,COLUMN())),OFFSET($BN$2,0,0,ROW()-1,60),ROW()-1,FALSE))</f>
        <v>1924.3969999999999</v>
      </c>
      <c r="W134">
        <f ca="1">IF(AND($B$183=1,LEN($W$234)&gt;0),$W$234*1000,HLOOKUP(INDIRECT(ADDRESS(2,COLUMN())),OFFSET($BN$2,0,0,ROW()-1,60),ROW()-1,FALSE))</f>
        <v>2764.7280000000001</v>
      </c>
      <c r="X134">
        <f ca="1">IF(AND($B$183=1,LEN($X$234)&gt;0),$X$234*1000,HLOOKUP(INDIRECT(ADDRESS(2,COLUMN())),OFFSET($BN$2,0,0,ROW()-1,60),ROW()-1,FALSE))</f>
        <v>1809.4580000000001</v>
      </c>
      <c r="Y134">
        <f ca="1">IF(AND($B$183=1,LEN($Y$234)&gt;0),$Y$234*1000,HLOOKUP(INDIRECT(ADDRESS(2,COLUMN())),OFFSET($BN$2,0,0,ROW()-1,60),ROW()-1,FALSE))</f>
        <v>2501.1469999999999</v>
      </c>
      <c r="Z134">
        <f ca="1">IF(AND($B$183=1,LEN($Z$234)&gt;0),$Z$234*1000,HLOOKUP(INDIRECT(ADDRESS(2,COLUMN())),OFFSET($BN$2,0,0,ROW()-1,60),ROW()-1,FALSE))</f>
        <v>4505.5309999999999</v>
      </c>
      <c r="AA134">
        <f ca="1">IF(AND($B$183=1,LEN($AA$234)&gt;0),$AA$234*1000,HLOOKUP(INDIRECT(ADDRESS(2,COLUMN())),OFFSET($BN$2,0,0,ROW()-1,60),ROW()-1,FALSE))</f>
        <v>2113.7060000000001</v>
      </c>
      <c r="AB134">
        <f ca="1">IF(AND($B$183=1,LEN($AB$234)&gt;0),$AB$234*1000,HLOOKUP(INDIRECT(ADDRESS(2,COLUMN())),OFFSET($BN$2,0,0,ROW()-1,60),ROW()-1,FALSE))</f>
        <v>1676.0940000000001</v>
      </c>
      <c r="AC134">
        <f ca="1">IF(AND($B$183=1,LEN($AC$234)&gt;0),$AC$234*1000,HLOOKUP(INDIRECT(ADDRESS(2,COLUMN())),OFFSET($BN$2,0,0,ROW()-1,60),ROW()-1,FALSE))</f>
        <v>1019.27</v>
      </c>
      <c r="AD134">
        <f ca="1">IF(AND($B$183=1,LEN($AD$234)&gt;0),$AD$234*1000,HLOOKUP(INDIRECT(ADDRESS(2,COLUMN())),OFFSET($BN$2,0,0,ROW()-1,60),ROW()-1,FALSE))</f>
        <v>5537.009</v>
      </c>
      <c r="AE134">
        <f ca="1">IF(AND($B$183=1,LEN($AE$234)&gt;0),$AE$234*1000,HLOOKUP(INDIRECT(ADDRESS(2,COLUMN())),OFFSET($BN$2,0,0,ROW()-1,60),ROW()-1,FALSE))</f>
        <v>8663.4699999999993</v>
      </c>
      <c r="AF134">
        <f ca="1">IF(AND($B$183=1,LEN($AF$234)&gt;0),$AF$234*1000,HLOOKUP(INDIRECT(ADDRESS(2,COLUMN())),OFFSET($BN$2,0,0,ROW()-1,60),ROW()-1,FALSE))</f>
        <v>12520.147999999999</v>
      </c>
      <c r="AG134">
        <f ca="1">IF(AND($B$183=1,LEN($AG$234)&gt;0),$AG$234*1000,HLOOKUP(INDIRECT(ADDRESS(2,COLUMN())),OFFSET($BN$2,0,0,ROW()-1,60),ROW()-1,FALSE))</f>
        <v>2309.87</v>
      </c>
      <c r="AH134">
        <f ca="1">IF(AND($B$183=1,LEN($AH$234)&gt;0),$AH$234*1000,HLOOKUP(INDIRECT(ADDRESS(2,COLUMN())),OFFSET($BN$2,0,0,ROW()-1,60),ROW()-1,FALSE))</f>
        <v>2489.0349999999999</v>
      </c>
      <c r="AI134">
        <f ca="1">IF(AND($B$183=1,LEN($AI$234)&gt;0),$AI$234*1000,HLOOKUP(INDIRECT(ADDRESS(2,COLUMN())),OFFSET($BN$2,0,0,ROW()-1,60),ROW()-1,FALSE))</f>
        <v>1238.741</v>
      </c>
      <c r="AJ134">
        <f ca="1">IF(AND($B$183=1,LEN($AJ$234)&gt;0),$AJ$234*1000,HLOOKUP(INDIRECT(ADDRESS(2,COLUMN())),OFFSET($BN$2,0,0,ROW()-1,60),ROW()-1,FALSE))</f>
        <v>1021.092</v>
      </c>
      <c r="AK134">
        <f ca="1">IF(AND($B$183=1,LEN($AK$234)&gt;0),$AK$234*1000,HLOOKUP(INDIRECT(ADDRESS(2,COLUMN())),OFFSET($BN$2,0,0,ROW()-1,60),ROW()-1,FALSE))</f>
        <v>961.83699999999999</v>
      </c>
      <c r="AL134">
        <f ca="1">IF(AND($B$183=1,LEN($AL$234)&gt;0),$AL$234*1000,HLOOKUP(INDIRECT(ADDRESS(2,COLUMN())),OFFSET($BN$2,0,0,ROW()-1,60),ROW()-1,FALSE))</f>
        <v>557.14200000000005</v>
      </c>
      <c r="AM134">
        <f ca="1">IF(AND($B$183=1,LEN($AM$234)&gt;0),$AM$234*1000,HLOOKUP(INDIRECT(ADDRESS(2,COLUMN())),OFFSET($BN$2,0,0,ROW()-1,60),ROW()-1,FALSE))</f>
        <v>319.37200000000001</v>
      </c>
      <c r="AN134">
        <f ca="1">IF(AND($B$183=1,LEN($AN$234)&gt;0),$AN$234*1000,HLOOKUP(INDIRECT(ADDRESS(2,COLUMN())),OFFSET($BN$2,0,0,ROW()-1,60),ROW()-1,FALSE))</f>
        <v>-93.188999999999993</v>
      </c>
      <c r="AO134">
        <f ca="1">IF(AND($B$183=1,LEN($AO$234)&gt;0),$AO$234*1000,HLOOKUP(INDIRECT(ADDRESS(2,COLUMN())),OFFSET($BN$2,0,0,ROW()-1,60),ROW()-1,FALSE))</f>
        <v>-213.233</v>
      </c>
      <c r="AP134">
        <f ca="1">IF(AND($B$183=1,LEN($AP$234)&gt;0),$AP$234*1000,HLOOKUP(INDIRECT(ADDRESS(2,COLUMN())),OFFSET($BN$2,0,0,ROW()-1,60),ROW()-1,FALSE))</f>
        <v>153.90700000000001</v>
      </c>
      <c r="AQ134">
        <f ca="1">IF(AND($B$183=1,LEN($AQ$234)&gt;0),$AQ$234*1000,HLOOKUP(INDIRECT(ADDRESS(2,COLUMN())),OFFSET($BN$2,0,0,ROW()-1,60),ROW()-1,FALSE))</f>
        <v>435.733</v>
      </c>
      <c r="AR134">
        <f ca="1">IF(AND($B$183=1,LEN($AR$234)&gt;0),$AR$234*1000,HLOOKUP(INDIRECT(ADDRESS(2,COLUMN())),OFFSET($BN$2,0,0,ROW()-1,60),ROW()-1,FALSE))</f>
        <v>-107.75700000000001</v>
      </c>
      <c r="AS134">
        <f ca="1">IF(AND($B$183=1,LEN($AS$234)&gt;0),$AS$234*1000,HLOOKUP(INDIRECT(ADDRESS(2,COLUMN())),OFFSET($BN$2,0,0,ROW()-1,60),ROW()-1,FALSE))</f>
        <v>376.13400000000001</v>
      </c>
      <c r="AT134">
        <f ca="1">IF(AND($B$183=1,LEN($AT$234)&gt;0),$AT$234*1000,HLOOKUP(INDIRECT(ADDRESS(2,COLUMN())),OFFSET($BN$2,0,0,ROW()-1,60),ROW()-1,FALSE))</f>
        <v>215.14400000000001</v>
      </c>
      <c r="AU134">
        <f ca="1">IF(AND($B$183=1,LEN($AU$234)&gt;0),$AU$234*1000,HLOOKUP(INDIRECT(ADDRESS(2,COLUMN())),OFFSET($BN$2,0,0,ROW()-1,60),ROW()-1,FALSE))</f>
        <v>-121.113</v>
      </c>
      <c r="AV134">
        <f ca="1">IF(AND($B$183=1,LEN($AV$234)&gt;0),$AV$234*1000,HLOOKUP(INDIRECT(ADDRESS(2,COLUMN())),OFFSET($BN$2,0,0,ROW()-1,60),ROW()-1,FALSE))</f>
        <v>2176.7890000000002</v>
      </c>
      <c r="AW134">
        <f ca="1">IF(AND($B$183=1,LEN($AW$234)&gt;0),$AW$234*1000,HLOOKUP(INDIRECT(ADDRESS(2,COLUMN())),OFFSET($BN$2,0,0,ROW()-1,60),ROW()-1,FALSE))</f>
        <v>251.607</v>
      </c>
      <c r="AX134">
        <f ca="1">IF(AND($B$183=1,LEN($AX$234)&gt;0),$AX$234*1000,HLOOKUP(INDIRECT(ADDRESS(2,COLUMN())),OFFSET($BN$2,0,0,ROW()-1,60),ROW()-1,FALSE))</f>
        <v>5729.7690000000002</v>
      </c>
      <c r="AY134">
        <f ca="1">IF(AND($B$183=1,LEN($AY$234)&gt;0),$AY$234*1000,HLOOKUP(INDIRECT(ADDRESS(2,COLUMN())),OFFSET($BN$2,0,0,ROW()-1,60),ROW()-1,FALSE))</f>
        <v>415.18200000000002</v>
      </c>
      <c r="AZ134">
        <f ca="1">IF(AND($B$183=1,LEN($AZ$234)&gt;0),$AZ$234*1000,HLOOKUP(INDIRECT(ADDRESS(2,COLUMN())),OFFSET($BN$2,0,0,ROW()-1,60),ROW()-1,FALSE))</f>
        <v>693.75300000000004</v>
      </c>
      <c r="BA134">
        <f ca="1">IF(AND($B$183=1,LEN($BA$234)&gt;0),$BA$234*1000,HLOOKUP(INDIRECT(ADDRESS(2,COLUMN())),OFFSET($BN$2,0,0,ROW()-1,60),ROW()-1,FALSE))</f>
        <v>501.47899999999998</v>
      </c>
      <c r="BB134">
        <f ca="1">IF(AND($B$183=1,LEN($BB$234)&gt;0),$BB$234*1000,HLOOKUP(INDIRECT(ADDRESS(2,COLUMN())),OFFSET($BN$2,0,0,ROW()-1,60),ROW()-1,FALSE))</f>
        <v>905.34699999999998</v>
      </c>
      <c r="BC134">
        <f ca="1">IF(AND($B$183=1,LEN($BC$234)&gt;0),$BC$234*1000,HLOOKUP(INDIRECT(ADDRESS(2,COLUMN())),OFFSET($BN$2,0,0,ROW()-1,60),ROW()-1,FALSE))</f>
        <v>447.96800000000002</v>
      </c>
      <c r="BD134">
        <f ca="1">IF(AND($B$183=1,LEN($BD$234)&gt;0),$BD$234*1000,HLOOKUP(INDIRECT(ADDRESS(2,COLUMN())),OFFSET($BN$2,0,0,ROW()-1,60),ROW()-1,FALSE))</f>
        <v>1897.62</v>
      </c>
      <c r="BE134">
        <f ca="1">IF(AND($B$183=1,LEN($BE$234)&gt;0),$BE$234*1000,HLOOKUP(INDIRECT(ADDRESS(2,COLUMN())),OFFSET($BN$2,0,0,ROW()-1,60),ROW()-1,FALSE))</f>
        <v>229.98099999999999</v>
      </c>
      <c r="BF134">
        <f ca="1">IF(AND($B$183=1,LEN($BF$234)&gt;0),$BF$234*1000,HLOOKUP(INDIRECT(ADDRESS(2,COLUMN())),OFFSET($BN$2,0,0,ROW()-1,60),ROW()-1,FALSE))</f>
        <v>538.89400000000001</v>
      </c>
      <c r="BG134">
        <f ca="1">IF(AND($B$183=1,LEN($BG$234)&gt;0),$BG$234*1000,HLOOKUP(INDIRECT(ADDRESS(2,COLUMN())),OFFSET($BN$2,0,0,ROW()-1,60),ROW()-1,FALSE))</f>
        <v>468.20800000000003</v>
      </c>
      <c r="BH134">
        <f ca="1">IF(AND($B$183=1,LEN($BH$234)&gt;0),$BH$234*1000,HLOOKUP(INDIRECT(ADDRESS(2,COLUMN())),OFFSET($BN$2,0,0,ROW()-1,60),ROW()-1,FALSE))</f>
        <v>505.33800000000002</v>
      </c>
      <c r="BI134">
        <f ca="1">IF(AND($B$183=1,LEN($BI$234)&gt;0),$BI$234*1000,HLOOKUP(INDIRECT(ADDRESS(2,COLUMN())),OFFSET($BN$2,0,0,ROW()-1,60),ROW()-1,FALSE))</f>
        <v>450.94400000000002</v>
      </c>
      <c r="BJ134">
        <f ca="1">IF(AND($B$183=1,LEN($BJ$234)&gt;0),$BJ$234*1000,HLOOKUP(INDIRECT(ADDRESS(2,COLUMN())),OFFSET($BN$2,0,0,ROW()-1,60),ROW()-1,FALSE))</f>
        <v>-77.8</v>
      </c>
      <c r="BK134">
        <f ca="1">IF(AND($B$183=1,LEN($BK$234)&gt;0),$BK$234*1000,HLOOKUP(INDIRECT(ADDRESS(2,COLUMN())),OFFSET($BN$2,0,0,ROW()-1,60),ROW()-1,FALSE))</f>
        <v>0</v>
      </c>
      <c r="BL134">
        <f ca="1">IF(AND($B$183=1,LEN($BL$234)&gt;0),$BL$234*1000,HLOOKUP(INDIRECT(ADDRESS(2,COLUMN())),OFFSET($BN$2,0,0,ROW()-1,60),ROW()-1,FALSE))</f>
        <v>0</v>
      </c>
      <c r="BM134">
        <f ca="1">IF(AND($B$183=1,LEN($BM$234)&gt;0),$BM$234*1000,HLOOKUP(INDIRECT(ADDRESS(2,COLUMN())),OFFSET($BN$2,0,0,ROW()-1,60),ROW()-1,FALSE))</f>
        <v>0</v>
      </c>
      <c r="BN134">
        <f>359.409</f>
        <v>359.40899999999999</v>
      </c>
      <c r="BO134">
        <f>1758.008</f>
        <v>1758.008</v>
      </c>
      <c r="BP134">
        <f>4301.806</f>
        <v>4301.8059999999996</v>
      </c>
      <c r="BQ134">
        <f>-2428.284</f>
        <v>-2428.2840000000001</v>
      </c>
      <c r="BR134">
        <f>1899.96</f>
        <v>1899.96</v>
      </c>
      <c r="BS134">
        <f>3357.072</f>
        <v>3357.0720000000001</v>
      </c>
      <c r="BT134">
        <f>1341.082</f>
        <v>1341.0820000000001</v>
      </c>
      <c r="BU134">
        <f>1150.21</f>
        <v>1150.21</v>
      </c>
      <c r="BV134">
        <f>1561.32</f>
        <v>1561.32</v>
      </c>
      <c r="BW134">
        <f>4377.879</f>
        <v>4377.8789999999999</v>
      </c>
      <c r="BX134">
        <f>7637.134</f>
        <v>7637.134</v>
      </c>
      <c r="BY134">
        <f>6300.145</f>
        <v>6300.1450000000004</v>
      </c>
      <c r="BZ134">
        <f>2491.358</f>
        <v>2491.3580000000002</v>
      </c>
      <c r="CA134">
        <f>2856.131</f>
        <v>2856.1309999999999</v>
      </c>
      <c r="CB134">
        <f>2487.341</f>
        <v>2487.3409999999999</v>
      </c>
      <c r="CC134">
        <f>1179.438</f>
        <v>1179.4380000000001</v>
      </c>
      <c r="CD134">
        <f>1924.397</f>
        <v>1924.3969999999999</v>
      </c>
      <c r="CE134">
        <f>2764.728</f>
        <v>2764.7280000000001</v>
      </c>
      <c r="CF134">
        <f>1809.458</f>
        <v>1809.4580000000001</v>
      </c>
      <c r="CG134">
        <f>2501.147</f>
        <v>2501.1469999999999</v>
      </c>
      <c r="CH134">
        <f>4505.531</f>
        <v>4505.5309999999999</v>
      </c>
      <c r="CI134">
        <f>2113.706</f>
        <v>2113.7060000000001</v>
      </c>
      <c r="CJ134">
        <f>1676.094</f>
        <v>1676.0940000000001</v>
      </c>
      <c r="CK134">
        <f>1019.27</f>
        <v>1019.27</v>
      </c>
      <c r="CL134">
        <f>5537.009</f>
        <v>5537.009</v>
      </c>
      <c r="CM134">
        <f>8663.47</f>
        <v>8663.4699999999993</v>
      </c>
      <c r="CN134">
        <f>12520.148</f>
        <v>12520.147999999999</v>
      </c>
      <c r="CO134">
        <f>2309.87</f>
        <v>2309.87</v>
      </c>
      <c r="CP134">
        <f>2489.035</f>
        <v>2489.0349999999999</v>
      </c>
      <c r="CQ134">
        <f>1238.741</f>
        <v>1238.741</v>
      </c>
      <c r="CR134">
        <f>1021.092</f>
        <v>1021.092</v>
      </c>
      <c r="CS134">
        <f>961.837</f>
        <v>961.83699999999999</v>
      </c>
      <c r="CT134">
        <f>557.142</f>
        <v>557.14200000000005</v>
      </c>
      <c r="CU134">
        <f>319.372</f>
        <v>319.37200000000001</v>
      </c>
      <c r="CV134">
        <f>-93.189</f>
        <v>-93.188999999999993</v>
      </c>
      <c r="CW134">
        <f>-213.233</f>
        <v>-213.233</v>
      </c>
      <c r="CX134">
        <f>153.907</f>
        <v>153.90700000000001</v>
      </c>
      <c r="CY134">
        <f>435.733</f>
        <v>435.733</v>
      </c>
      <c r="CZ134">
        <f>-107.757</f>
        <v>-107.75700000000001</v>
      </c>
      <c r="DA134">
        <f>376.134</f>
        <v>376.13400000000001</v>
      </c>
      <c r="DB134">
        <f>215.144</f>
        <v>215.14400000000001</v>
      </c>
      <c r="DC134">
        <f>-121.113</f>
        <v>-121.113</v>
      </c>
      <c r="DD134">
        <f>2176.789</f>
        <v>2176.7890000000002</v>
      </c>
      <c r="DE134">
        <f>251.607</f>
        <v>251.607</v>
      </c>
      <c r="DF134">
        <f>5729.769</f>
        <v>5729.7690000000002</v>
      </c>
      <c r="DG134">
        <f>415.182</f>
        <v>415.18200000000002</v>
      </c>
      <c r="DH134">
        <f>693.753</f>
        <v>693.75300000000004</v>
      </c>
      <c r="DI134">
        <f>501.479</f>
        <v>501.47899999999998</v>
      </c>
      <c r="DJ134">
        <f>905.347</f>
        <v>905.34699999999998</v>
      </c>
      <c r="DK134">
        <f>447.968</f>
        <v>447.96800000000002</v>
      </c>
      <c r="DL134">
        <f>1897.62</f>
        <v>1897.62</v>
      </c>
      <c r="DM134">
        <f>229.981</f>
        <v>229.98099999999999</v>
      </c>
      <c r="DN134">
        <f>538.894</f>
        <v>538.89400000000001</v>
      </c>
      <c r="DO134">
        <f>468.208</f>
        <v>468.20800000000003</v>
      </c>
      <c r="DP134">
        <f>505.338</f>
        <v>505.33800000000002</v>
      </c>
      <c r="DQ134">
        <f>450.944</f>
        <v>450.94400000000002</v>
      </c>
      <c r="DR134">
        <f>-77.8</f>
        <v>-77.8</v>
      </c>
      <c r="DS134">
        <f>0</f>
        <v>0</v>
      </c>
      <c r="DT134">
        <f>0</f>
        <v>0</v>
      </c>
      <c r="DU134">
        <f>0</f>
        <v>0</v>
      </c>
    </row>
    <row r="135" spans="1:125">
      <c r="A135" t="str">
        <f>"    Data Center REITs"</f>
        <v xml:space="preserve">    Data Center REITs</v>
      </c>
      <c r="B135" t="str">
        <f>"RECFNADC Index"</f>
        <v>RECFNADC Index</v>
      </c>
      <c r="E135" t="str">
        <f t="shared" si="27"/>
        <v>Expression</v>
      </c>
      <c r="F135">
        <f ca="1">IF(AND($B$183=1,LEN($F$235)&gt;0),$F$235*1000,HLOOKUP(INDIRECT(ADDRESS(2,COLUMN())),OFFSET($BN$2,0,0,ROW()-1,60),ROW()-1,FALSE))</f>
        <v>34</v>
      </c>
      <c r="G135">
        <f ca="1">IF(AND($B$183=1,LEN($G$235)&gt;0),$G$235*1000,HLOOKUP(INDIRECT(ADDRESS(2,COLUMN())),OFFSET($BN$2,0,0,ROW()-1,60),ROW()-1,FALSE))</f>
        <v>-20.2</v>
      </c>
      <c r="H135">
        <f ca="1">IF(AND($B$183=1,LEN($H$235)&gt;0),$H$235*1000,HLOOKUP(INDIRECT(ADDRESS(2,COLUMN())),OFFSET($BN$2,0,0,ROW()-1,60),ROW()-1,FALSE))</f>
        <v>3614.1</v>
      </c>
      <c r="I135">
        <f ca="1">IF(AND($B$183=1,LEN($I$235)&gt;0),$I$235*1000,HLOOKUP(INDIRECT(ADDRESS(2,COLUMN())),OFFSET($BN$2,0,0,ROW()-1,60),ROW()-1,FALSE))</f>
        <v>529.70000000000005</v>
      </c>
      <c r="J135">
        <f ca="1">IF(AND($B$183=1,LEN($J$235)&gt;0),$J$235*1000,HLOOKUP(INDIRECT(ADDRESS(2,COLUMN())),OFFSET($BN$2,0,0,ROW()-1,60),ROW()-1,FALSE))</f>
        <v>115</v>
      </c>
      <c r="K135">
        <f ca="1">IF(AND($B$183=1,LEN($K$235)&gt;0),$K$235*1000,HLOOKUP(INDIRECT(ADDRESS(2,COLUMN())),OFFSET($BN$2,0,0,ROW()-1,60),ROW()-1,FALSE))</f>
        <v>-9.8360000000000003</v>
      </c>
      <c r="L135">
        <f ca="1">IF(AND($B$183=1,LEN($L$235)&gt;0),$L$235*1000,HLOOKUP(INDIRECT(ADDRESS(2,COLUMN())),OFFSET($BN$2,0,0,ROW()-1,60),ROW()-1,FALSE))</f>
        <v>0.6</v>
      </c>
      <c r="M135">
        <f ca="1">IF(AND($B$183=1,LEN($M$235)&gt;0),$M$235*1000,HLOOKUP(INDIRECT(ADDRESS(2,COLUMN())),OFFSET($BN$2,0,0,ROW()-1,60),ROW()-1,FALSE))</f>
        <v>3879.6770000000001</v>
      </c>
      <c r="N135">
        <f ca="1">IF(AND($B$183=1,LEN($N$235)&gt;0),$N$235*1000,HLOOKUP(INDIRECT(ADDRESS(2,COLUMN())),OFFSET($BN$2,0,0,ROW()-1,60),ROW()-1,FALSE))</f>
        <v>1873.97</v>
      </c>
      <c r="O135">
        <f ca="1">IF(AND($B$183=1,LEN($O$235)&gt;0),$O$235*1000,HLOOKUP(INDIRECT(ADDRESS(2,COLUMN())),OFFSET($BN$2,0,0,ROW()-1,60),ROW()-1,FALSE))</f>
        <v>411.3</v>
      </c>
      <c r="P135">
        <f ca="1">IF(AND($B$183=1,LEN($P$235)&gt;0),$P$235*1000,HLOOKUP(INDIRECT(ADDRESS(2,COLUMN())),OFFSET($BN$2,0,0,ROW()-1,60),ROW()-1,FALSE))</f>
        <v>250.95</v>
      </c>
      <c r="Q135">
        <f ca="1">IF(AND($B$183=1,LEN($Q$235)&gt;0),$Q$235*1000,HLOOKUP(INDIRECT(ADDRESS(2,COLUMN())),OFFSET($BN$2,0,0,ROW()-1,60),ROW()-1,FALSE))</f>
        <v>-45.25</v>
      </c>
      <c r="R135">
        <f ca="1">IF(AND($B$183=1,LEN($R$235)&gt;0),$R$235*1000,HLOOKUP(INDIRECT(ADDRESS(2,COLUMN())),OFFSET($BN$2,0,0,ROW()-1,60),ROW()-1,FALSE))</f>
        <v>0</v>
      </c>
      <c r="S135">
        <f ca="1">IF(AND($B$183=1,LEN($S$235)&gt;0),$S$235*1000,HLOOKUP(INDIRECT(ADDRESS(2,COLUMN())),OFFSET($BN$2,0,0,ROW()-1,60),ROW()-1,FALSE))</f>
        <v>-169.6</v>
      </c>
      <c r="T135">
        <f ca="1">IF(AND($B$183=1,LEN($T$235)&gt;0),$T$235*1000,HLOOKUP(INDIRECT(ADDRESS(2,COLUMN())),OFFSET($BN$2,0,0,ROW()-1,60),ROW()-1,FALSE))</f>
        <v>31.8</v>
      </c>
      <c r="U135">
        <f ca="1">IF(AND($B$183=1,LEN($U$235)&gt;0),$U$235*1000,HLOOKUP(INDIRECT(ADDRESS(2,COLUMN())),OFFSET($BN$2,0,0,ROW()-1,60),ROW()-1,FALSE))</f>
        <v>-40.4</v>
      </c>
      <c r="V135">
        <f ca="1">IF(AND($B$183=1,LEN($V$235)&gt;0),$V$235*1000,HLOOKUP(INDIRECT(ADDRESS(2,COLUMN())),OFFSET($BN$2,0,0,ROW()-1,60),ROW()-1,FALSE))</f>
        <v>35.25</v>
      </c>
      <c r="W135">
        <f ca="1">IF(AND($B$183=1,LEN($W$235)&gt;0),$W$235*1000,HLOOKUP(INDIRECT(ADDRESS(2,COLUMN())),OFFSET($BN$2,0,0,ROW()-1,60),ROW()-1,FALSE))</f>
        <v>-328.56900000000002</v>
      </c>
      <c r="X135">
        <f ca="1">IF(AND($B$183=1,LEN($X$235)&gt;0),$X$235*1000,HLOOKUP(INDIRECT(ADDRESS(2,COLUMN())),OFFSET($BN$2,0,0,ROW()-1,60),ROW()-1,FALSE))</f>
        <v>35.755000000000003</v>
      </c>
      <c r="Y135">
        <f ca="1">IF(AND($B$183=1,LEN($Y$235)&gt;0),$Y$235*1000,HLOOKUP(INDIRECT(ADDRESS(2,COLUMN())),OFFSET($BN$2,0,0,ROW()-1,60),ROW()-1,FALSE))</f>
        <v>77.935000000000002</v>
      </c>
      <c r="Z135">
        <f ca="1">IF(AND($B$183=1,LEN($Z$235)&gt;0),$Z$235*1000,HLOOKUP(INDIRECT(ADDRESS(2,COLUMN())),OFFSET($BN$2,0,0,ROW()-1,60),ROW()-1,FALSE))</f>
        <v>108.5</v>
      </c>
      <c r="AA135">
        <f ca="1">IF(AND($B$183=1,LEN($AA$235)&gt;0),$AA$235*1000,HLOOKUP(INDIRECT(ADDRESS(2,COLUMN())),OFFSET($BN$2,0,0,ROW()-1,60),ROW()-1,FALSE))</f>
        <v>1229.4000000000001</v>
      </c>
      <c r="AB135">
        <f ca="1">IF(AND($B$183=1,LEN($AB$235)&gt;0),$AB$235*1000,HLOOKUP(INDIRECT(ADDRESS(2,COLUMN())),OFFSET($BN$2,0,0,ROW()-1,60),ROW()-1,FALSE))</f>
        <v>85.180999999999997</v>
      </c>
      <c r="AC135">
        <f ca="1">IF(AND($B$183=1,LEN($AC$235)&gt;0),$AC$235*1000,HLOOKUP(INDIRECT(ADDRESS(2,COLUMN())),OFFSET($BN$2,0,0,ROW()-1,60),ROW()-1,FALSE))</f>
        <v>123</v>
      </c>
      <c r="AD135">
        <f ca="1">IF(AND($B$183=1,LEN($AD$235)&gt;0),$AD$235*1000,HLOOKUP(INDIRECT(ADDRESS(2,COLUMN())),OFFSET($BN$2,0,0,ROW()-1,60),ROW()-1,FALSE))</f>
        <v>150.80000000000001</v>
      </c>
      <c r="AE135">
        <f ca="1">IF(AND($B$183=1,LEN($AE$235)&gt;0),$AE$235*1000,HLOOKUP(INDIRECT(ADDRESS(2,COLUMN())),OFFSET($BN$2,0,0,ROW()-1,60),ROW()-1,FALSE))</f>
        <v>51.1</v>
      </c>
      <c r="AF135">
        <f ca="1">IF(AND($B$183=1,LEN($AF$235)&gt;0),$AF$235*1000,HLOOKUP(INDIRECT(ADDRESS(2,COLUMN())),OFFSET($BN$2,0,0,ROW()-1,60),ROW()-1,FALSE))</f>
        <v>0</v>
      </c>
      <c r="AG135">
        <f ca="1">IF(AND($B$183=1,LEN($AG$235)&gt;0),$AG$235*1000,HLOOKUP(INDIRECT(ADDRESS(2,COLUMN())),OFFSET($BN$2,0,0,ROW()-1,60),ROW()-1,FALSE))</f>
        <v>0</v>
      </c>
      <c r="AH135">
        <f ca="1">IF(AND($B$183=1,LEN($AH$235)&gt;0),$AH$235*1000,HLOOKUP(INDIRECT(ADDRESS(2,COLUMN())),OFFSET($BN$2,0,0,ROW()-1,60),ROW()-1,FALSE))</f>
        <v>449.536</v>
      </c>
      <c r="AI135">
        <f ca="1">IF(AND($B$183=1,LEN($AI$235)&gt;0),$AI$235*1000,HLOOKUP(INDIRECT(ADDRESS(2,COLUMN())),OFFSET($BN$2,0,0,ROW()-1,60),ROW()-1,FALSE))</f>
        <v>812.7</v>
      </c>
      <c r="AJ135">
        <f ca="1">IF(AND($B$183=1,LEN($AJ$235)&gt;0),$AJ$235*1000,HLOOKUP(INDIRECT(ADDRESS(2,COLUMN())),OFFSET($BN$2,0,0,ROW()-1,60),ROW()-1,FALSE))</f>
        <v>24.1</v>
      </c>
      <c r="AK135">
        <f ca="1">IF(AND($B$183=1,LEN($AK$235)&gt;0),$AK$235*1000,HLOOKUP(INDIRECT(ADDRESS(2,COLUMN())),OFFSET($BN$2,0,0,ROW()-1,60),ROW()-1,FALSE))</f>
        <v>375</v>
      </c>
      <c r="AL135">
        <f ca="1">IF(AND($B$183=1,LEN($AL$235)&gt;0),$AL$235*1000,HLOOKUP(INDIRECT(ADDRESS(2,COLUMN())),OFFSET($BN$2,0,0,ROW()-1,60),ROW()-1,FALSE))</f>
        <v>153.80000000000001</v>
      </c>
      <c r="AM135">
        <f ca="1">IF(AND($B$183=1,LEN($AM$235)&gt;0),$AM$235*1000,HLOOKUP(INDIRECT(ADDRESS(2,COLUMN())),OFFSET($BN$2,0,0,ROW()-1,60),ROW()-1,FALSE))</f>
        <v>45.8</v>
      </c>
      <c r="AN135">
        <f ca="1">IF(AND($B$183=1,LEN($AN$235)&gt;0),$AN$235*1000,HLOOKUP(INDIRECT(ADDRESS(2,COLUMN())),OFFSET($BN$2,0,0,ROW()-1,60),ROW()-1,FALSE))</f>
        <v>0</v>
      </c>
      <c r="AO135">
        <f ca="1">IF(AND($B$183=1,LEN($AO$235)&gt;0),$AO$235*1000,HLOOKUP(INDIRECT(ADDRESS(2,COLUMN())),OFFSET($BN$2,0,0,ROW()-1,60),ROW()-1,FALSE))</f>
        <v>0</v>
      </c>
      <c r="AP135">
        <f ca="1">IF(AND($B$183=1,LEN($AP$235)&gt;0),$AP$235*1000,HLOOKUP(INDIRECT(ADDRESS(2,COLUMN())),OFFSET($BN$2,0,0,ROW()-1,60),ROW()-1,FALSE))</f>
        <v>31.2</v>
      </c>
      <c r="AQ135">
        <f ca="1">IF(AND($B$183=1,LEN($AQ$235)&gt;0),$AQ$235*1000,HLOOKUP(INDIRECT(ADDRESS(2,COLUMN())),OFFSET($BN$2,0,0,ROW()-1,60),ROW()-1,FALSE))</f>
        <v>0</v>
      </c>
      <c r="AR135">
        <f ca="1">IF(AND($B$183=1,LEN($AR$235)&gt;0),$AR$235*1000,HLOOKUP(INDIRECT(ADDRESS(2,COLUMN())),OFFSET($BN$2,0,0,ROW()-1,60),ROW()-1,FALSE))</f>
        <v>49.6</v>
      </c>
      <c r="AS135">
        <f ca="1">IF(AND($B$183=1,LEN($AS$235)&gt;0),$AS$235*1000,HLOOKUP(INDIRECT(ADDRESS(2,COLUMN())),OFFSET($BN$2,0,0,ROW()-1,60),ROW()-1,FALSE))</f>
        <v>20.399999999999999</v>
      </c>
      <c r="AT135">
        <f ca="1">IF(AND($B$183=1,LEN($AT$235)&gt;0),$AT$235*1000,HLOOKUP(INDIRECT(ADDRESS(2,COLUMN())),OFFSET($BN$2,0,0,ROW()-1,60),ROW()-1,FALSE))</f>
        <v>83.5</v>
      </c>
      <c r="AU135">
        <f ca="1">IF(AND($B$183=1,LEN($AU$235)&gt;0),$AU$235*1000,HLOOKUP(INDIRECT(ADDRESS(2,COLUMN())),OFFSET($BN$2,0,0,ROW()-1,60),ROW()-1,FALSE))</f>
        <v>86.7</v>
      </c>
      <c r="AV135">
        <f ca="1">IF(AND($B$183=1,LEN($AV$235)&gt;0),$AV$235*1000,HLOOKUP(INDIRECT(ADDRESS(2,COLUMN())),OFFSET($BN$2,0,0,ROW()-1,60),ROW()-1,FALSE))</f>
        <v>0</v>
      </c>
      <c r="AW135">
        <f ca="1">IF(AND($B$183=1,LEN($AW$235)&gt;0),$AW$235*1000,HLOOKUP(INDIRECT(ADDRESS(2,COLUMN())),OFFSET($BN$2,0,0,ROW()-1,60),ROW()-1,FALSE))</f>
        <v>82.9</v>
      </c>
      <c r="AX135">
        <f ca="1">IF(AND($B$183=1,LEN($AX$235)&gt;0),$AX$235*1000,HLOOKUP(INDIRECT(ADDRESS(2,COLUMN())),OFFSET($BN$2,0,0,ROW()-1,60),ROW()-1,FALSE))</f>
        <v>151.5</v>
      </c>
      <c r="AY135">
        <f ca="1">IF(AND($B$183=1,LEN($AY$235)&gt;0),$AY$235*1000,HLOOKUP(INDIRECT(ADDRESS(2,COLUMN())),OFFSET($BN$2,0,0,ROW()-1,60),ROW()-1,FALSE))</f>
        <v>140.1</v>
      </c>
      <c r="AZ135">
        <f ca="1">IF(AND($B$183=1,LEN($AZ$235)&gt;0),$AZ$235*1000,HLOOKUP(INDIRECT(ADDRESS(2,COLUMN())),OFFSET($BN$2,0,0,ROW()-1,60),ROW()-1,FALSE))</f>
        <v>122.4</v>
      </c>
      <c r="BA135">
        <f ca="1">IF(AND($B$183=1,LEN($BA$235)&gt;0),$BA$235*1000,HLOOKUP(INDIRECT(ADDRESS(2,COLUMN())),OFFSET($BN$2,0,0,ROW()-1,60),ROW()-1,FALSE))</f>
        <v>22.5</v>
      </c>
      <c r="BB135">
        <f ca="1">IF(AND($B$183=1,LEN($BB$235)&gt;0),$BB$235*1000,HLOOKUP(INDIRECT(ADDRESS(2,COLUMN())),OFFSET($BN$2,0,0,ROW()-1,60),ROW()-1,FALSE))</f>
        <v>67.599999999999994</v>
      </c>
      <c r="BC135">
        <f ca="1">IF(AND($B$183=1,LEN($BC$235)&gt;0),$BC$235*1000,HLOOKUP(INDIRECT(ADDRESS(2,COLUMN())),OFFSET($BN$2,0,0,ROW()-1,60),ROW()-1,FALSE))</f>
        <v>73.5</v>
      </c>
      <c r="BD135">
        <f ca="1">IF(AND($B$183=1,LEN($BD$235)&gt;0),$BD$235*1000,HLOOKUP(INDIRECT(ADDRESS(2,COLUMN())),OFFSET($BN$2,0,0,ROW()-1,60),ROW()-1,FALSE))</f>
        <v>250.6</v>
      </c>
      <c r="BE135">
        <f ca="1">IF(AND($B$183=1,LEN($BE$235)&gt;0),$BE$235*1000,HLOOKUP(INDIRECT(ADDRESS(2,COLUMN())),OFFSET($BN$2,0,0,ROW()-1,60),ROW()-1,FALSE))</f>
        <v>74.599999999999994</v>
      </c>
      <c r="BF135">
        <f ca="1">IF(AND($B$183=1,LEN($BF$235)&gt;0),$BF$235*1000,HLOOKUP(INDIRECT(ADDRESS(2,COLUMN())),OFFSET($BN$2,0,0,ROW()-1,60),ROW()-1,FALSE))</f>
        <v>16.600000000000001</v>
      </c>
      <c r="BG135">
        <f ca="1">IF(AND($B$183=1,LEN($BG$235)&gt;0),$BG$235*1000,HLOOKUP(INDIRECT(ADDRESS(2,COLUMN())),OFFSET($BN$2,0,0,ROW()-1,60),ROW()-1,FALSE))</f>
        <v>0</v>
      </c>
      <c r="BH135">
        <f ca="1">IF(AND($B$183=1,LEN($BH$235)&gt;0),$BH$235*1000,HLOOKUP(INDIRECT(ADDRESS(2,COLUMN())),OFFSET($BN$2,0,0,ROW()-1,60),ROW()-1,FALSE))</f>
        <v>0</v>
      </c>
      <c r="BI135">
        <f ca="1">IF(AND($B$183=1,LEN($BI$235)&gt;0),$BI$235*1000,HLOOKUP(INDIRECT(ADDRESS(2,COLUMN())),OFFSET($BN$2,0,0,ROW()-1,60),ROW()-1,FALSE))</f>
        <v>0</v>
      </c>
      <c r="BJ135">
        <f ca="1">IF(AND($B$183=1,LEN($BJ$235)&gt;0),$BJ$235*1000,HLOOKUP(INDIRECT(ADDRESS(2,COLUMN())),OFFSET($BN$2,0,0,ROW()-1,60),ROW()-1,FALSE))</f>
        <v>0</v>
      </c>
      <c r="BK135">
        <f ca="1">IF(AND($B$183=1,LEN($BK$235)&gt;0),$BK$235*1000,HLOOKUP(INDIRECT(ADDRESS(2,COLUMN())),OFFSET($BN$2,0,0,ROW()-1,60),ROW()-1,FALSE))</f>
        <v>0</v>
      </c>
      <c r="BL135">
        <f ca="1">IF(AND($B$183=1,LEN($BL$235)&gt;0),$BL$235*1000,HLOOKUP(INDIRECT(ADDRESS(2,COLUMN())),OFFSET($BN$2,0,0,ROW()-1,60),ROW()-1,FALSE))</f>
        <v>0</v>
      </c>
      <c r="BM135">
        <f ca="1">IF(AND($B$183=1,LEN($BM$235)&gt;0),$BM$235*1000,HLOOKUP(INDIRECT(ADDRESS(2,COLUMN())),OFFSET($BN$2,0,0,ROW()-1,60),ROW()-1,FALSE))</f>
        <v>0</v>
      </c>
      <c r="BN135">
        <f>34</f>
        <v>34</v>
      </c>
      <c r="BO135">
        <f>-20.2</f>
        <v>-20.2</v>
      </c>
      <c r="BP135">
        <f>3614.1</f>
        <v>3614.1</v>
      </c>
      <c r="BQ135">
        <f>529.7</f>
        <v>529.70000000000005</v>
      </c>
      <c r="BR135">
        <f>115</f>
        <v>115</v>
      </c>
      <c r="BS135">
        <f>-9.836</f>
        <v>-9.8360000000000003</v>
      </c>
      <c r="BT135">
        <f>0.6</f>
        <v>0.6</v>
      </c>
      <c r="BU135">
        <f>3879.677</f>
        <v>3879.6770000000001</v>
      </c>
      <c r="BV135">
        <f>1873.97</f>
        <v>1873.97</v>
      </c>
      <c r="BW135">
        <f>411.3</f>
        <v>411.3</v>
      </c>
      <c r="BX135">
        <f>250.95</f>
        <v>250.95</v>
      </c>
      <c r="BY135">
        <f>-45.25</f>
        <v>-45.25</v>
      </c>
      <c r="BZ135">
        <f>0</f>
        <v>0</v>
      </c>
      <c r="CA135">
        <f>-169.6</f>
        <v>-169.6</v>
      </c>
      <c r="CB135">
        <f>31.8</f>
        <v>31.8</v>
      </c>
      <c r="CC135">
        <f>-40.4</f>
        <v>-40.4</v>
      </c>
      <c r="CD135">
        <f>35.25</f>
        <v>35.25</v>
      </c>
      <c r="CE135">
        <f>-328.569</f>
        <v>-328.56900000000002</v>
      </c>
      <c r="CF135">
        <f>35.755</f>
        <v>35.755000000000003</v>
      </c>
      <c r="CG135">
        <f>77.935</f>
        <v>77.935000000000002</v>
      </c>
      <c r="CH135">
        <f>108.5</f>
        <v>108.5</v>
      </c>
      <c r="CI135">
        <f>1229.4</f>
        <v>1229.4000000000001</v>
      </c>
      <c r="CJ135">
        <f>85.181</f>
        <v>85.180999999999997</v>
      </c>
      <c r="CK135">
        <f>123</f>
        <v>123</v>
      </c>
      <c r="CL135">
        <f>150.8</f>
        <v>150.80000000000001</v>
      </c>
      <c r="CM135">
        <f>51.1</f>
        <v>51.1</v>
      </c>
      <c r="CN135">
        <f>0</f>
        <v>0</v>
      </c>
      <c r="CO135">
        <f>0</f>
        <v>0</v>
      </c>
      <c r="CP135">
        <f>449.536</f>
        <v>449.536</v>
      </c>
      <c r="CQ135">
        <f>812.7</f>
        <v>812.7</v>
      </c>
      <c r="CR135">
        <f>24.1</f>
        <v>24.1</v>
      </c>
      <c r="CS135">
        <f>375</f>
        <v>375</v>
      </c>
      <c r="CT135">
        <f>153.8</f>
        <v>153.80000000000001</v>
      </c>
      <c r="CU135">
        <f>45.8</f>
        <v>45.8</v>
      </c>
      <c r="CV135">
        <f>0</f>
        <v>0</v>
      </c>
      <c r="CW135">
        <f>0</f>
        <v>0</v>
      </c>
      <c r="CX135">
        <f>31.2</f>
        <v>31.2</v>
      </c>
      <c r="CY135">
        <f>0</f>
        <v>0</v>
      </c>
      <c r="CZ135">
        <f>49.6</f>
        <v>49.6</v>
      </c>
      <c r="DA135">
        <f>20.4</f>
        <v>20.399999999999999</v>
      </c>
      <c r="DB135">
        <f>83.5</f>
        <v>83.5</v>
      </c>
      <c r="DC135">
        <f>86.7</f>
        <v>86.7</v>
      </c>
      <c r="DD135">
        <f>0</f>
        <v>0</v>
      </c>
      <c r="DE135">
        <f>82.9</f>
        <v>82.9</v>
      </c>
      <c r="DF135">
        <f>151.5</f>
        <v>151.5</v>
      </c>
      <c r="DG135">
        <f>140.1</f>
        <v>140.1</v>
      </c>
      <c r="DH135">
        <f>122.4</f>
        <v>122.4</v>
      </c>
      <c r="DI135">
        <f>22.5</f>
        <v>22.5</v>
      </c>
      <c r="DJ135">
        <f>67.6</f>
        <v>67.599999999999994</v>
      </c>
      <c r="DK135">
        <f>73.5</f>
        <v>73.5</v>
      </c>
      <c r="DL135">
        <f>250.6</f>
        <v>250.6</v>
      </c>
      <c r="DM135">
        <f>74.6</f>
        <v>74.599999999999994</v>
      </c>
      <c r="DN135">
        <f>16.6</f>
        <v>16.600000000000001</v>
      </c>
      <c r="DO135">
        <f>0</f>
        <v>0</v>
      </c>
      <c r="DP135">
        <f>0</f>
        <v>0</v>
      </c>
      <c r="DQ135">
        <f>0</f>
        <v>0</v>
      </c>
      <c r="DR135">
        <f>0</f>
        <v>0</v>
      </c>
      <c r="DS135">
        <f>0</f>
        <v>0</v>
      </c>
      <c r="DT135">
        <f>0</f>
        <v>0</v>
      </c>
      <c r="DU135">
        <f>0</f>
        <v>0</v>
      </c>
    </row>
    <row r="136" spans="1:125">
      <c r="A136" t="str">
        <f>"    Specialty REITs"</f>
        <v xml:space="preserve">    Specialty REITs</v>
      </c>
      <c r="B136" t="str">
        <f>"RECFNASP Index"</f>
        <v>RECFNASP Index</v>
      </c>
      <c r="E136" t="str">
        <f t="shared" si="27"/>
        <v>Expression</v>
      </c>
      <c r="F136">
        <f ca="1">IF(AND($B$183=1,LEN($F$236)&gt;0),$F$236*1000,HLOOKUP(INDIRECT(ADDRESS(2,COLUMN())),OFFSET($BN$2,0,0,ROW()-1,60),ROW()-1,FALSE))</f>
        <v>-17.693000000000001</v>
      </c>
      <c r="G136">
        <f ca="1">IF(AND($B$183=1,LEN($G$236)&gt;0),$G$236*1000,HLOOKUP(INDIRECT(ADDRESS(2,COLUMN())),OFFSET($BN$2,0,0,ROW()-1,60),ROW()-1,FALSE))</f>
        <v>451.25599999999997</v>
      </c>
      <c r="H136">
        <f ca="1">IF(AND($B$183=1,LEN($H$236)&gt;0),$H$236*1000,HLOOKUP(INDIRECT(ADDRESS(2,COLUMN())),OFFSET($BN$2,0,0,ROW()-1,60),ROW()-1,FALSE))</f>
        <v>1452.2049999999999</v>
      </c>
      <c r="I136">
        <f ca="1">IF(AND($B$183=1,LEN($I$236)&gt;0),$I$236*1000,HLOOKUP(INDIRECT(ADDRESS(2,COLUMN())),OFFSET($BN$2,0,0,ROW()-1,60),ROW()-1,FALSE))</f>
        <v>476.08199999999999</v>
      </c>
      <c r="J136">
        <f ca="1">IF(AND($B$183=1,LEN($J$236)&gt;0),$J$236*1000,HLOOKUP(INDIRECT(ADDRESS(2,COLUMN())),OFFSET($BN$2,0,0,ROW()-1,60),ROW()-1,FALSE))</f>
        <v>21.91</v>
      </c>
      <c r="K136">
        <f ca="1">IF(AND($B$183=1,LEN($K$236)&gt;0),$K$236*1000,HLOOKUP(INDIRECT(ADDRESS(2,COLUMN())),OFFSET($BN$2,0,0,ROW()-1,60),ROW()-1,FALSE))</f>
        <v>401.74700000000001</v>
      </c>
      <c r="L136">
        <f ca="1">IF(AND($B$183=1,LEN($L$236)&gt;0),$L$236*1000,HLOOKUP(INDIRECT(ADDRESS(2,COLUMN())),OFFSET($BN$2,0,0,ROW()-1,60),ROW()-1,FALSE))</f>
        <v>4844.7960000000003</v>
      </c>
      <c r="M136">
        <f ca="1">IF(AND($B$183=1,LEN($M$236)&gt;0),$M$236*1000,HLOOKUP(INDIRECT(ADDRESS(2,COLUMN())),OFFSET($BN$2,0,0,ROW()-1,60),ROW()-1,FALSE))</f>
        <v>459.74099999999999</v>
      </c>
      <c r="N136">
        <f ca="1">IF(AND($B$183=1,LEN($N$236)&gt;0),$N$236*1000,HLOOKUP(INDIRECT(ADDRESS(2,COLUMN())),OFFSET($BN$2,0,0,ROW()-1,60),ROW()-1,FALSE))</f>
        <v>183.51499999999999</v>
      </c>
      <c r="O136">
        <f ca="1">IF(AND($B$183=1,LEN($O$236)&gt;0),$O$236*1000,HLOOKUP(INDIRECT(ADDRESS(2,COLUMN())),OFFSET($BN$2,0,0,ROW()-1,60),ROW()-1,FALSE))</f>
        <v>0</v>
      </c>
      <c r="P136">
        <f ca="1">IF(AND($B$183=1,LEN($P$236)&gt;0),$P$236*1000,HLOOKUP(INDIRECT(ADDRESS(2,COLUMN())),OFFSET($BN$2,0,0,ROW()-1,60),ROW()-1,FALSE))</f>
        <v>0</v>
      </c>
      <c r="Q136">
        <f ca="1">IF(AND($B$183=1,LEN($Q$236)&gt;0),$Q$236*1000,HLOOKUP(INDIRECT(ADDRESS(2,COLUMN())),OFFSET($BN$2,0,0,ROW()-1,60),ROW()-1,FALSE))</f>
        <v>0</v>
      </c>
      <c r="R136">
        <f ca="1">IF(AND($B$183=1,LEN($R$236)&gt;0),$R$236*1000,HLOOKUP(INDIRECT(ADDRESS(2,COLUMN())),OFFSET($BN$2,0,0,ROW()-1,60),ROW()-1,FALSE))</f>
        <v>0</v>
      </c>
      <c r="S136">
        <f ca="1">IF(AND($B$183=1,LEN($S$236)&gt;0),$S$236*1000,HLOOKUP(INDIRECT(ADDRESS(2,COLUMN())),OFFSET($BN$2,0,0,ROW()-1,60),ROW()-1,FALSE))</f>
        <v>0</v>
      </c>
      <c r="T136">
        <f ca="1">IF(AND($B$183=1,LEN($T$236)&gt;0),$T$236*1000,HLOOKUP(INDIRECT(ADDRESS(2,COLUMN())),OFFSET($BN$2,0,0,ROW()-1,60),ROW()-1,FALSE))</f>
        <v>0</v>
      </c>
      <c r="U136">
        <f ca="1">IF(AND($B$183=1,LEN($U$236)&gt;0),$U$236*1000,HLOOKUP(INDIRECT(ADDRESS(2,COLUMN())),OFFSET($BN$2,0,0,ROW()-1,60),ROW()-1,FALSE))</f>
        <v>0</v>
      </c>
      <c r="V136">
        <f ca="1">IF(AND($B$183=1,LEN($V$236)&gt;0),$V$236*1000,HLOOKUP(INDIRECT(ADDRESS(2,COLUMN())),OFFSET($BN$2,0,0,ROW()-1,60),ROW()-1,FALSE))</f>
        <v>0</v>
      </c>
      <c r="W136">
        <f ca="1">IF(AND($B$183=1,LEN($W$236)&gt;0),$W$236*1000,HLOOKUP(INDIRECT(ADDRESS(2,COLUMN())),OFFSET($BN$2,0,0,ROW()-1,60),ROW()-1,FALSE))</f>
        <v>0</v>
      </c>
      <c r="X136">
        <f ca="1">IF(AND($B$183=1,LEN($X$236)&gt;0),$X$236*1000,HLOOKUP(INDIRECT(ADDRESS(2,COLUMN())),OFFSET($BN$2,0,0,ROW()-1,60),ROW()-1,FALSE))</f>
        <v>0</v>
      </c>
      <c r="Y136">
        <f ca="1">IF(AND($B$183=1,LEN($Y$236)&gt;0),$Y$236*1000,HLOOKUP(INDIRECT(ADDRESS(2,COLUMN())),OFFSET($BN$2,0,0,ROW()-1,60),ROW()-1,FALSE))</f>
        <v>0</v>
      </c>
      <c r="Z136">
        <f ca="1">IF(AND($B$183=1,LEN($Z$236)&gt;0),$Z$236*1000,HLOOKUP(INDIRECT(ADDRESS(2,COLUMN())),OFFSET($BN$2,0,0,ROW()-1,60),ROW()-1,FALSE))</f>
        <v>0</v>
      </c>
      <c r="AA136">
        <f ca="1">IF(AND($B$183=1,LEN($AA$236)&gt;0),$AA$236*1000,HLOOKUP(INDIRECT(ADDRESS(2,COLUMN())),OFFSET($BN$2,0,0,ROW()-1,60),ROW()-1,FALSE))</f>
        <v>0</v>
      </c>
      <c r="AB136">
        <f ca="1">IF(AND($B$183=1,LEN($AB$236)&gt;0),$AB$236*1000,HLOOKUP(INDIRECT(ADDRESS(2,COLUMN())),OFFSET($BN$2,0,0,ROW()-1,60),ROW()-1,FALSE))</f>
        <v>0</v>
      </c>
      <c r="AC136">
        <f ca="1">IF(AND($B$183=1,LEN($AC$236)&gt;0),$AC$236*1000,HLOOKUP(INDIRECT(ADDRESS(2,COLUMN())),OFFSET($BN$2,0,0,ROW()-1,60),ROW()-1,FALSE))</f>
        <v>0</v>
      </c>
      <c r="AD136">
        <f ca="1">IF(AND($B$183=1,LEN($AD$236)&gt;0),$AD$236*1000,HLOOKUP(INDIRECT(ADDRESS(2,COLUMN())),OFFSET($BN$2,0,0,ROW()-1,60),ROW()-1,FALSE))</f>
        <v>0</v>
      </c>
      <c r="AE136">
        <f ca="1">IF(AND($B$183=1,LEN($AE$236)&gt;0),$AE$236*1000,HLOOKUP(INDIRECT(ADDRESS(2,COLUMN())),OFFSET($BN$2,0,0,ROW()-1,60),ROW()-1,FALSE))</f>
        <v>0</v>
      </c>
      <c r="AF136">
        <f ca="1">IF(AND($B$183=1,LEN($AF$236)&gt;0),$AF$236*1000,HLOOKUP(INDIRECT(ADDRESS(2,COLUMN())),OFFSET($BN$2,0,0,ROW()-1,60),ROW()-1,FALSE))</f>
        <v>0</v>
      </c>
      <c r="AG136">
        <f ca="1">IF(AND($B$183=1,LEN($AG$236)&gt;0),$AG$236*1000,HLOOKUP(INDIRECT(ADDRESS(2,COLUMN())),OFFSET($BN$2,0,0,ROW()-1,60),ROW()-1,FALSE))</f>
        <v>0</v>
      </c>
      <c r="AH136">
        <f ca="1">IF(AND($B$183=1,LEN($AH$236)&gt;0),$AH$236*1000,HLOOKUP(INDIRECT(ADDRESS(2,COLUMN())),OFFSET($BN$2,0,0,ROW()-1,60),ROW()-1,FALSE))</f>
        <v>0</v>
      </c>
      <c r="AI136">
        <f ca="1">IF(AND($B$183=1,LEN($AI$236)&gt;0),$AI$236*1000,HLOOKUP(INDIRECT(ADDRESS(2,COLUMN())),OFFSET($BN$2,0,0,ROW()-1,60),ROW()-1,FALSE))</f>
        <v>-1.155</v>
      </c>
      <c r="AJ136">
        <f ca="1">IF(AND($B$183=1,LEN($AJ$236)&gt;0),$AJ$236*1000,HLOOKUP(INDIRECT(ADDRESS(2,COLUMN())),OFFSET($BN$2,0,0,ROW()-1,60),ROW()-1,FALSE))</f>
        <v>117.93600000000001</v>
      </c>
      <c r="AK136">
        <f ca="1">IF(AND($B$183=1,LEN($AK$236)&gt;0),$AK$236*1000,HLOOKUP(INDIRECT(ADDRESS(2,COLUMN())),OFFSET($BN$2,0,0,ROW()-1,60),ROW()-1,FALSE))</f>
        <v>155.82499999999999</v>
      </c>
      <c r="AL136">
        <f ca="1">IF(AND($B$183=1,LEN($AL$236)&gt;0),$AL$236*1000,HLOOKUP(INDIRECT(ADDRESS(2,COLUMN())),OFFSET($BN$2,0,0,ROW()-1,60),ROW()-1,FALSE))</f>
        <v>130</v>
      </c>
      <c r="AM136">
        <f ca="1">IF(AND($B$183=1,LEN($AM$236)&gt;0),$AM$236*1000,HLOOKUP(INDIRECT(ADDRESS(2,COLUMN())),OFFSET($BN$2,0,0,ROW()-1,60),ROW()-1,FALSE))</f>
        <v>0</v>
      </c>
      <c r="AN136">
        <f ca="1">IF(AND($B$183=1,LEN($AN$236)&gt;0),$AN$236*1000,HLOOKUP(INDIRECT(ADDRESS(2,COLUMN())),OFFSET($BN$2,0,0,ROW()-1,60),ROW()-1,FALSE))</f>
        <v>0</v>
      </c>
      <c r="AO136">
        <f ca="1">IF(AND($B$183=1,LEN($AO$236)&gt;0),$AO$236*1000,HLOOKUP(INDIRECT(ADDRESS(2,COLUMN())),OFFSET($BN$2,0,0,ROW()-1,60),ROW()-1,FALSE))</f>
        <v>0</v>
      </c>
      <c r="AP136">
        <f ca="1">IF(AND($B$183=1,LEN($AP$236)&gt;0),$AP$236*1000,HLOOKUP(INDIRECT(ADDRESS(2,COLUMN())),OFFSET($BN$2,0,0,ROW()-1,60),ROW()-1,FALSE))</f>
        <v>0</v>
      </c>
      <c r="AQ136">
        <f ca="1">IF(AND($B$183=1,LEN($AQ$236)&gt;0),$AQ$236*1000,HLOOKUP(INDIRECT(ADDRESS(2,COLUMN())),OFFSET($BN$2,0,0,ROW()-1,60),ROW()-1,FALSE))</f>
        <v>0</v>
      </c>
      <c r="AR136">
        <f ca="1">IF(AND($B$183=1,LEN($AR$236)&gt;0),$AR$236*1000,HLOOKUP(INDIRECT(ADDRESS(2,COLUMN())),OFFSET($BN$2,0,0,ROW()-1,60),ROW()-1,FALSE))</f>
        <v>238.3</v>
      </c>
      <c r="AS136">
        <f ca="1">IF(AND($B$183=1,LEN($AS$236)&gt;0),$AS$236*1000,HLOOKUP(INDIRECT(ADDRESS(2,COLUMN())),OFFSET($BN$2,0,0,ROW()-1,60),ROW()-1,FALSE))</f>
        <v>0</v>
      </c>
      <c r="AT136">
        <f ca="1">IF(AND($B$183=1,LEN($AT$236)&gt;0),$AT$236*1000,HLOOKUP(INDIRECT(ADDRESS(2,COLUMN())),OFFSET($BN$2,0,0,ROW()-1,60),ROW()-1,FALSE))</f>
        <v>39.5</v>
      </c>
      <c r="AU136">
        <f ca="1">IF(AND($B$183=1,LEN($AU$236)&gt;0),$AU$236*1000,HLOOKUP(INDIRECT(ADDRESS(2,COLUMN())),OFFSET($BN$2,0,0,ROW()-1,60),ROW()-1,FALSE))</f>
        <v>41.5</v>
      </c>
      <c r="AV136">
        <f ca="1">IF(AND($B$183=1,LEN($AV$236)&gt;0),$AV$236*1000,HLOOKUP(INDIRECT(ADDRESS(2,COLUMN())),OFFSET($BN$2,0,0,ROW()-1,60),ROW()-1,FALSE))</f>
        <v>170.3</v>
      </c>
      <c r="AW136">
        <f ca="1">IF(AND($B$183=1,LEN($AW$236)&gt;0),$AW$236*1000,HLOOKUP(INDIRECT(ADDRESS(2,COLUMN())),OFFSET($BN$2,0,0,ROW()-1,60),ROW()-1,FALSE))</f>
        <v>0</v>
      </c>
      <c r="AX136">
        <f ca="1">IF(AND($B$183=1,LEN($AX$236)&gt;0),$AX$236*1000,HLOOKUP(INDIRECT(ADDRESS(2,COLUMN())),OFFSET($BN$2,0,0,ROW()-1,60),ROW()-1,FALSE))</f>
        <v>27.4</v>
      </c>
      <c r="AY136">
        <f ca="1">IF(AND($B$183=1,LEN($AY$236)&gt;0),$AY$236*1000,HLOOKUP(INDIRECT(ADDRESS(2,COLUMN())),OFFSET($BN$2,0,0,ROW()-1,60),ROW()-1,FALSE))</f>
        <v>18.3</v>
      </c>
      <c r="AZ136">
        <f ca="1">IF(AND($B$183=1,LEN($AZ$236)&gt;0),$AZ$236*1000,HLOOKUP(INDIRECT(ADDRESS(2,COLUMN())),OFFSET($BN$2,0,0,ROW()-1,60),ROW()-1,FALSE))</f>
        <v>0</v>
      </c>
      <c r="BA136">
        <f ca="1">IF(AND($B$183=1,LEN($BA$236)&gt;0),$BA$236*1000,HLOOKUP(INDIRECT(ADDRESS(2,COLUMN())),OFFSET($BN$2,0,0,ROW()-1,60),ROW()-1,FALSE))</f>
        <v>35</v>
      </c>
      <c r="BB136">
        <f ca="1">IF(AND($B$183=1,LEN($BB$236)&gt;0),$BB$236*1000,HLOOKUP(INDIRECT(ADDRESS(2,COLUMN())),OFFSET($BN$2,0,0,ROW()-1,60),ROW()-1,FALSE))</f>
        <v>44.4</v>
      </c>
      <c r="BC136">
        <f ca="1">IF(AND($B$183=1,LEN($BC$236)&gt;0),$BC$236*1000,HLOOKUP(INDIRECT(ADDRESS(2,COLUMN())),OFFSET($BN$2,0,0,ROW()-1,60),ROW()-1,FALSE))</f>
        <v>-2</v>
      </c>
      <c r="BD136">
        <f ca="1">IF(AND($B$183=1,LEN($BD$236)&gt;0),$BD$236*1000,HLOOKUP(INDIRECT(ADDRESS(2,COLUMN())),OFFSET($BN$2,0,0,ROW()-1,60),ROW()-1,FALSE))</f>
        <v>29.2</v>
      </c>
      <c r="BE136">
        <f ca="1">IF(AND($B$183=1,LEN($BE$236)&gt;0),$BE$236*1000,HLOOKUP(INDIRECT(ADDRESS(2,COLUMN())),OFFSET($BN$2,0,0,ROW()-1,60),ROW()-1,FALSE))</f>
        <v>232.49199999999999</v>
      </c>
      <c r="BF136">
        <f ca="1">IF(AND($B$183=1,LEN($BF$236)&gt;0),$BF$236*1000,HLOOKUP(INDIRECT(ADDRESS(2,COLUMN())),OFFSET($BN$2,0,0,ROW()-1,60),ROW()-1,FALSE))</f>
        <v>806.02099999999996</v>
      </c>
      <c r="BG136">
        <f ca="1">IF(AND($B$183=1,LEN($BG$236)&gt;0),$BG$236*1000,HLOOKUP(INDIRECT(ADDRESS(2,COLUMN())),OFFSET($BN$2,0,0,ROW()-1,60),ROW()-1,FALSE))</f>
        <v>610.49599999999998</v>
      </c>
      <c r="BH136">
        <f ca="1">IF(AND($B$183=1,LEN($BH$236)&gt;0),$BH$236*1000,HLOOKUP(INDIRECT(ADDRESS(2,COLUMN())),OFFSET($BN$2,0,0,ROW()-1,60),ROW()-1,FALSE))</f>
        <v>83.984999999999999</v>
      </c>
      <c r="BI136">
        <f ca="1">IF(AND($B$183=1,LEN($BI$236)&gt;0),$BI$236*1000,HLOOKUP(INDIRECT(ADDRESS(2,COLUMN())),OFFSET($BN$2,0,0,ROW()-1,60),ROW()-1,FALSE))</f>
        <v>832.27700000000004</v>
      </c>
      <c r="BJ136">
        <f ca="1">IF(AND($B$183=1,LEN($BJ$236)&gt;0),$BJ$236*1000,HLOOKUP(INDIRECT(ADDRESS(2,COLUMN())),OFFSET($BN$2,0,0,ROW()-1,60),ROW()-1,FALSE))</f>
        <v>133</v>
      </c>
      <c r="BK136">
        <f ca="1">IF(AND($B$183=1,LEN($BK$236)&gt;0),$BK$236*1000,HLOOKUP(INDIRECT(ADDRESS(2,COLUMN())),OFFSET($BN$2,0,0,ROW()-1,60),ROW()-1,FALSE))</f>
        <v>0</v>
      </c>
      <c r="BL136">
        <f ca="1">IF(AND($B$183=1,LEN($BL$236)&gt;0),$BL$236*1000,HLOOKUP(INDIRECT(ADDRESS(2,COLUMN())),OFFSET($BN$2,0,0,ROW()-1,60),ROW()-1,FALSE))</f>
        <v>61</v>
      </c>
      <c r="BM136">
        <f ca="1">IF(AND($B$183=1,LEN($BM$236)&gt;0),$BM$236*1000,HLOOKUP(INDIRECT(ADDRESS(2,COLUMN())),OFFSET($BN$2,0,0,ROW()-1,60),ROW()-1,FALSE))</f>
        <v>10.5</v>
      </c>
      <c r="BN136">
        <f>-17.693</f>
        <v>-17.693000000000001</v>
      </c>
      <c r="BO136">
        <f>451.256</f>
        <v>451.25599999999997</v>
      </c>
      <c r="BP136">
        <f>1452.205</f>
        <v>1452.2049999999999</v>
      </c>
      <c r="BQ136">
        <f>476.082</f>
        <v>476.08199999999999</v>
      </c>
      <c r="BR136">
        <f>21.91</f>
        <v>21.91</v>
      </c>
      <c r="BS136">
        <f>401.747</f>
        <v>401.74700000000001</v>
      </c>
      <c r="BT136">
        <f>4844.796</f>
        <v>4844.7960000000003</v>
      </c>
      <c r="BU136">
        <f>459.741</f>
        <v>459.74099999999999</v>
      </c>
      <c r="BV136">
        <f>183.515</f>
        <v>183.51499999999999</v>
      </c>
      <c r="BW136">
        <f>0</f>
        <v>0</v>
      </c>
      <c r="BX136">
        <f>0</f>
        <v>0</v>
      </c>
      <c r="BY136">
        <f>0</f>
        <v>0</v>
      </c>
      <c r="BZ136">
        <f>0</f>
        <v>0</v>
      </c>
      <c r="CA136">
        <f>0</f>
        <v>0</v>
      </c>
      <c r="CB136">
        <f>0</f>
        <v>0</v>
      </c>
      <c r="CC136">
        <f>0</f>
        <v>0</v>
      </c>
      <c r="CD136">
        <f>0</f>
        <v>0</v>
      </c>
      <c r="CE136">
        <f>0</f>
        <v>0</v>
      </c>
      <c r="CF136">
        <f>0</f>
        <v>0</v>
      </c>
      <c r="CG136">
        <f>0</f>
        <v>0</v>
      </c>
      <c r="CH136">
        <f>0</f>
        <v>0</v>
      </c>
      <c r="CI136">
        <f>0</f>
        <v>0</v>
      </c>
      <c r="CJ136">
        <f>0</f>
        <v>0</v>
      </c>
      <c r="CK136">
        <f>0</f>
        <v>0</v>
      </c>
      <c r="CL136">
        <f>0</f>
        <v>0</v>
      </c>
      <c r="CM136">
        <f>0</f>
        <v>0</v>
      </c>
      <c r="CN136">
        <f>0</f>
        <v>0</v>
      </c>
      <c r="CO136">
        <f>0</f>
        <v>0</v>
      </c>
      <c r="CP136">
        <f>0</f>
        <v>0</v>
      </c>
      <c r="CQ136">
        <f>-1.155</f>
        <v>-1.155</v>
      </c>
      <c r="CR136">
        <f>117.936</f>
        <v>117.93600000000001</v>
      </c>
      <c r="CS136">
        <f>155.825</f>
        <v>155.82499999999999</v>
      </c>
      <c r="CT136">
        <f>130</f>
        <v>130</v>
      </c>
      <c r="CU136">
        <f>0</f>
        <v>0</v>
      </c>
      <c r="CV136">
        <f>0</f>
        <v>0</v>
      </c>
      <c r="CW136">
        <f>0</f>
        <v>0</v>
      </c>
      <c r="CX136">
        <f>0</f>
        <v>0</v>
      </c>
      <c r="CY136">
        <f>0</f>
        <v>0</v>
      </c>
      <c r="CZ136">
        <f>238.3</f>
        <v>238.3</v>
      </c>
      <c r="DA136">
        <f>0</f>
        <v>0</v>
      </c>
      <c r="DB136">
        <f>39.5</f>
        <v>39.5</v>
      </c>
      <c r="DC136">
        <f>41.5</f>
        <v>41.5</v>
      </c>
      <c r="DD136">
        <f>170.3</f>
        <v>170.3</v>
      </c>
      <c r="DE136">
        <f>0</f>
        <v>0</v>
      </c>
      <c r="DF136">
        <f>27.4</f>
        <v>27.4</v>
      </c>
      <c r="DG136">
        <f>18.3</f>
        <v>18.3</v>
      </c>
      <c r="DH136">
        <f>0</f>
        <v>0</v>
      </c>
      <c r="DI136">
        <f>35</f>
        <v>35</v>
      </c>
      <c r="DJ136">
        <f>44.4</f>
        <v>44.4</v>
      </c>
      <c r="DK136">
        <f>-2</f>
        <v>-2</v>
      </c>
      <c r="DL136">
        <f>29.2</f>
        <v>29.2</v>
      </c>
      <c r="DM136">
        <f>232.492</f>
        <v>232.49199999999999</v>
      </c>
      <c r="DN136">
        <f>806.021</f>
        <v>806.02099999999996</v>
      </c>
      <c r="DO136">
        <f>610.496</f>
        <v>610.49599999999998</v>
      </c>
      <c r="DP136">
        <f>83.985</f>
        <v>83.984999999999999</v>
      </c>
      <c r="DQ136">
        <f>832.277</f>
        <v>832.27700000000004</v>
      </c>
      <c r="DR136">
        <f>133</f>
        <v>133</v>
      </c>
      <c r="DS136">
        <f>0</f>
        <v>0</v>
      </c>
      <c r="DT136">
        <f>61</f>
        <v>61</v>
      </c>
      <c r="DU136">
        <f>10.5</f>
        <v>10.5</v>
      </c>
    </row>
    <row r="137" spans="1:125">
      <c r="A137" t="str">
        <f>"    "</f>
        <v xml:space="preserve">    </v>
      </c>
      <c r="B137" t="str">
        <f>""</f>
        <v/>
      </c>
      <c r="E137" t="str">
        <f>"静态"</f>
        <v>静态</v>
      </c>
      <c r="F137" t="str">
        <f t="shared" ref="F137:AK137" ca="1" si="28">HLOOKUP(INDIRECT(ADDRESS(2,COLUMN())),OFFSET($BN$2,0,0,ROW()-1,60),ROW()-1,FALSE)</f>
        <v/>
      </c>
      <c r="G137" t="str">
        <f t="shared" ca="1" si="28"/>
        <v/>
      </c>
      <c r="H137" t="str">
        <f t="shared" ca="1" si="28"/>
        <v/>
      </c>
      <c r="I137" t="str">
        <f t="shared" ca="1" si="28"/>
        <v/>
      </c>
      <c r="J137" t="str">
        <f t="shared" ca="1" si="28"/>
        <v/>
      </c>
      <c r="K137" t="str">
        <f t="shared" ca="1" si="28"/>
        <v/>
      </c>
      <c r="L137" t="str">
        <f t="shared" ca="1" si="28"/>
        <v/>
      </c>
      <c r="M137" t="str">
        <f t="shared" ca="1" si="28"/>
        <v/>
      </c>
      <c r="N137" t="str">
        <f t="shared" ca="1" si="28"/>
        <v/>
      </c>
      <c r="O137" t="str">
        <f t="shared" ca="1" si="28"/>
        <v/>
      </c>
      <c r="P137" t="str">
        <f t="shared" ca="1" si="28"/>
        <v/>
      </c>
      <c r="Q137" t="str">
        <f t="shared" ca="1" si="28"/>
        <v/>
      </c>
      <c r="R137" t="str">
        <f t="shared" ca="1" si="28"/>
        <v/>
      </c>
      <c r="S137" t="str">
        <f t="shared" ca="1" si="28"/>
        <v/>
      </c>
      <c r="T137" t="str">
        <f t="shared" ca="1" si="28"/>
        <v/>
      </c>
      <c r="U137" t="str">
        <f t="shared" ca="1" si="28"/>
        <v/>
      </c>
      <c r="V137" t="str">
        <f t="shared" ca="1" si="28"/>
        <v/>
      </c>
      <c r="W137" t="str">
        <f t="shared" ca="1" si="28"/>
        <v/>
      </c>
      <c r="X137" t="str">
        <f t="shared" ca="1" si="28"/>
        <v/>
      </c>
      <c r="Y137" t="str">
        <f t="shared" ca="1" si="28"/>
        <v/>
      </c>
      <c r="Z137" t="str">
        <f t="shared" ca="1" si="28"/>
        <v/>
      </c>
      <c r="AA137" t="str">
        <f t="shared" ca="1" si="28"/>
        <v/>
      </c>
      <c r="AB137" t="str">
        <f t="shared" ca="1" si="28"/>
        <v/>
      </c>
      <c r="AC137" t="str">
        <f t="shared" ca="1" si="28"/>
        <v/>
      </c>
      <c r="AD137" t="str">
        <f t="shared" ca="1" si="28"/>
        <v/>
      </c>
      <c r="AE137" t="str">
        <f t="shared" ca="1" si="28"/>
        <v/>
      </c>
      <c r="AF137" t="str">
        <f t="shared" ca="1" si="28"/>
        <v/>
      </c>
      <c r="AG137" t="str">
        <f t="shared" ca="1" si="28"/>
        <v/>
      </c>
      <c r="AH137" t="str">
        <f t="shared" ca="1" si="28"/>
        <v/>
      </c>
      <c r="AI137" t="str">
        <f t="shared" ca="1" si="28"/>
        <v/>
      </c>
      <c r="AJ137" t="str">
        <f t="shared" ca="1" si="28"/>
        <v/>
      </c>
      <c r="AK137" t="str">
        <f t="shared" ca="1" si="28"/>
        <v/>
      </c>
      <c r="AL137" t="str">
        <f t="shared" ref="AL137:BM137" ca="1" si="29">HLOOKUP(INDIRECT(ADDRESS(2,COLUMN())),OFFSET($BN$2,0,0,ROW()-1,60),ROW()-1,FALSE)</f>
        <v/>
      </c>
      <c r="AM137" t="str">
        <f t="shared" ca="1" si="29"/>
        <v/>
      </c>
      <c r="AN137" t="str">
        <f t="shared" ca="1" si="29"/>
        <v/>
      </c>
      <c r="AO137" t="str">
        <f t="shared" ca="1" si="29"/>
        <v/>
      </c>
      <c r="AP137" t="str">
        <f t="shared" ca="1" si="29"/>
        <v/>
      </c>
      <c r="AQ137" t="str">
        <f t="shared" ca="1" si="29"/>
        <v/>
      </c>
      <c r="AR137" t="str">
        <f t="shared" ca="1" si="29"/>
        <v/>
      </c>
      <c r="AS137" t="str">
        <f t="shared" ca="1" si="29"/>
        <v/>
      </c>
      <c r="AT137" t="str">
        <f t="shared" ca="1" si="29"/>
        <v/>
      </c>
      <c r="AU137" t="str">
        <f t="shared" ca="1" si="29"/>
        <v/>
      </c>
      <c r="AV137" t="str">
        <f t="shared" ca="1" si="29"/>
        <v/>
      </c>
      <c r="AW137" t="str">
        <f t="shared" ca="1" si="29"/>
        <v/>
      </c>
      <c r="AX137" t="str">
        <f t="shared" ca="1" si="29"/>
        <v/>
      </c>
      <c r="AY137" t="str">
        <f t="shared" ca="1" si="29"/>
        <v/>
      </c>
      <c r="AZ137" t="str">
        <f t="shared" ca="1" si="29"/>
        <v/>
      </c>
      <c r="BA137" t="str">
        <f t="shared" ca="1" si="29"/>
        <v/>
      </c>
      <c r="BB137" t="str">
        <f t="shared" ca="1" si="29"/>
        <v/>
      </c>
      <c r="BC137" t="str">
        <f t="shared" ca="1" si="29"/>
        <v/>
      </c>
      <c r="BD137" t="str">
        <f t="shared" ca="1" si="29"/>
        <v/>
      </c>
      <c r="BE137" t="str">
        <f t="shared" ca="1" si="29"/>
        <v/>
      </c>
      <c r="BF137" t="str">
        <f t="shared" ca="1" si="29"/>
        <v/>
      </c>
      <c r="BG137" t="str">
        <f t="shared" ca="1" si="29"/>
        <v/>
      </c>
      <c r="BH137" t="str">
        <f t="shared" ca="1" si="29"/>
        <v/>
      </c>
      <c r="BI137" t="str">
        <f t="shared" ca="1" si="29"/>
        <v/>
      </c>
      <c r="BJ137" t="str">
        <f t="shared" ca="1" si="29"/>
        <v/>
      </c>
      <c r="BK137" t="str">
        <f t="shared" ca="1" si="29"/>
        <v/>
      </c>
      <c r="BL137" t="str">
        <f t="shared" ca="1" si="29"/>
        <v/>
      </c>
      <c r="BM137" t="str">
        <f t="shared" ca="1" si="29"/>
        <v/>
      </c>
      <c r="BN137" t="str">
        <f>""</f>
        <v/>
      </c>
      <c r="BO137" t="str">
        <f>""</f>
        <v/>
      </c>
      <c r="BP137" t="str">
        <f>""</f>
        <v/>
      </c>
      <c r="BQ137" t="str">
        <f>""</f>
        <v/>
      </c>
      <c r="BR137" t="str">
        <f>""</f>
        <v/>
      </c>
      <c r="BS137" t="str">
        <f>""</f>
        <v/>
      </c>
      <c r="BT137" t="str">
        <f>""</f>
        <v/>
      </c>
      <c r="BU137" t="str">
        <f>""</f>
        <v/>
      </c>
      <c r="BV137" t="str">
        <f>""</f>
        <v/>
      </c>
      <c r="BW137" t="str">
        <f>""</f>
        <v/>
      </c>
      <c r="BX137" t="str">
        <f>""</f>
        <v/>
      </c>
      <c r="BY137" t="str">
        <f>""</f>
        <v/>
      </c>
      <c r="BZ137" t="str">
        <f>""</f>
        <v/>
      </c>
      <c r="CA137" t="str">
        <f>""</f>
        <v/>
      </c>
      <c r="CB137" t="str">
        <f>""</f>
        <v/>
      </c>
      <c r="CC137" t="str">
        <f>""</f>
        <v/>
      </c>
      <c r="CD137" t="str">
        <f>""</f>
        <v/>
      </c>
      <c r="CE137" t="str">
        <f>""</f>
        <v/>
      </c>
      <c r="CF137" t="str">
        <f>""</f>
        <v/>
      </c>
      <c r="CG137" t="str">
        <f>""</f>
        <v/>
      </c>
      <c r="CH137" t="str">
        <f>""</f>
        <v/>
      </c>
      <c r="CI137" t="str">
        <f>""</f>
        <v/>
      </c>
      <c r="CJ137" t="str">
        <f>""</f>
        <v/>
      </c>
      <c r="CK137" t="str">
        <f>""</f>
        <v/>
      </c>
      <c r="CL137" t="str">
        <f>""</f>
        <v/>
      </c>
      <c r="CM137" t="str">
        <f>""</f>
        <v/>
      </c>
      <c r="CN137" t="str">
        <f>""</f>
        <v/>
      </c>
      <c r="CO137" t="str">
        <f>""</f>
        <v/>
      </c>
      <c r="CP137" t="str">
        <f>""</f>
        <v/>
      </c>
      <c r="CQ137" t="str">
        <f>""</f>
        <v/>
      </c>
      <c r="CR137" t="str">
        <f>""</f>
        <v/>
      </c>
      <c r="CS137" t="str">
        <f>""</f>
        <v/>
      </c>
      <c r="CT137" t="str">
        <f>""</f>
        <v/>
      </c>
      <c r="CU137" t="str">
        <f>""</f>
        <v/>
      </c>
      <c r="CV137" t="str">
        <f>""</f>
        <v/>
      </c>
      <c r="CW137" t="str">
        <f>""</f>
        <v/>
      </c>
      <c r="CX137" t="str">
        <f>""</f>
        <v/>
      </c>
      <c r="CY137" t="str">
        <f>""</f>
        <v/>
      </c>
      <c r="CZ137" t="str">
        <f>""</f>
        <v/>
      </c>
      <c r="DA137" t="str">
        <f>""</f>
        <v/>
      </c>
      <c r="DB137" t="str">
        <f>""</f>
        <v/>
      </c>
      <c r="DC137" t="str">
        <f>""</f>
        <v/>
      </c>
      <c r="DD137" t="str">
        <f>""</f>
        <v/>
      </c>
      <c r="DE137" t="str">
        <f>""</f>
        <v/>
      </c>
      <c r="DF137" t="str">
        <f>""</f>
        <v/>
      </c>
      <c r="DG137" t="str">
        <f>""</f>
        <v/>
      </c>
      <c r="DH137" t="str">
        <f>""</f>
        <v/>
      </c>
      <c r="DI137" t="str">
        <f>""</f>
        <v/>
      </c>
      <c r="DJ137" t="str">
        <f>""</f>
        <v/>
      </c>
      <c r="DK137" t="str">
        <f>""</f>
        <v/>
      </c>
      <c r="DL137" t="str">
        <f>""</f>
        <v/>
      </c>
      <c r="DM137" t="str">
        <f>""</f>
        <v/>
      </c>
      <c r="DN137" t="str">
        <f>""</f>
        <v/>
      </c>
      <c r="DO137" t="str">
        <f>""</f>
        <v/>
      </c>
      <c r="DP137" t="str">
        <f>""</f>
        <v/>
      </c>
      <c r="DQ137" t="str">
        <f>""</f>
        <v/>
      </c>
      <c r="DR137" t="str">
        <f>""</f>
        <v/>
      </c>
      <c r="DS137" t="str">
        <f>""</f>
        <v/>
      </c>
      <c r="DT137" t="str">
        <f>""</f>
        <v/>
      </c>
      <c r="DU137" t="str">
        <f>""</f>
        <v/>
      </c>
    </row>
    <row r="138" spans="1:125">
      <c r="A138" t="str">
        <f>"总开发渠道-所有房地产投资信托"</f>
        <v>总开发渠道-所有房地产投资信托</v>
      </c>
      <c r="B138" t="str">
        <f>"RECFDVEQ Index"</f>
        <v>RECFDVEQ Index</v>
      </c>
      <c r="C138" t="str">
        <f t="shared" ref="C138:C148" si="30">"PR005"</f>
        <v>PR005</v>
      </c>
      <c r="D138" t="str">
        <f t="shared" ref="D138:D148" si="31">"PX_LAST"</f>
        <v>PX_LAST</v>
      </c>
      <c r="E138" t="str">
        <f t="shared" ref="E138:E148" si="32">"动态"</f>
        <v>动态</v>
      </c>
      <c r="F138">
        <f ca="1">IF(AND(ISNUMBER($F$310),$B$183=1),$F$310,HLOOKUP(INDIRECT(ADDRESS(2,COLUMN())),OFFSET($BN$2,0,0,ROW()-1,60),ROW()-1,FALSE))</f>
        <v>43048.366000000002</v>
      </c>
      <c r="G138">
        <f ca="1">IF(AND(ISNUMBER($G$310),$B$183=1),$G$310,HLOOKUP(INDIRECT(ADDRESS(2,COLUMN())),OFFSET($BN$2,0,0,ROW()-1,60),ROW()-1,FALSE))</f>
        <v>43156.733999999997</v>
      </c>
      <c r="H138">
        <f ca="1">IF(AND(ISNUMBER($H$310),$B$183=1),$H$310,HLOOKUP(INDIRECT(ADDRESS(2,COLUMN())),OFFSET($BN$2,0,0,ROW()-1,60),ROW()-1,FALSE))</f>
        <v>41902.256000000001</v>
      </c>
      <c r="I138">
        <f ca="1">IF(AND(ISNUMBER($I$310),$B$183=1),$I$310,HLOOKUP(INDIRECT(ADDRESS(2,COLUMN())),OFFSET($BN$2,0,0,ROW()-1,60),ROW()-1,FALSE))</f>
        <v>42681.874000000003</v>
      </c>
      <c r="J138">
        <f ca="1">IF(AND(ISNUMBER($J$310),$B$183=1),$J$310,HLOOKUP(INDIRECT(ADDRESS(2,COLUMN())),OFFSET($BN$2,0,0,ROW()-1,60),ROW()-1,FALSE))</f>
        <v>41803.703999999998</v>
      </c>
      <c r="K138">
        <f ca="1">IF(AND(ISNUMBER($K$310),$B$183=1),$K$310,HLOOKUP(INDIRECT(ADDRESS(2,COLUMN())),OFFSET($BN$2,0,0,ROW()-1,60),ROW()-1,FALSE))</f>
        <v>38393.377</v>
      </c>
      <c r="L138">
        <f ca="1">IF(AND(ISNUMBER($L$310),$B$183=1),$L$310,HLOOKUP(INDIRECT(ADDRESS(2,COLUMN())),OFFSET($BN$2,0,0,ROW()-1,60),ROW()-1,FALSE))</f>
        <v>39504.817000000003</v>
      </c>
      <c r="M138">
        <f ca="1">IF(AND(ISNUMBER($M$310),$B$183=1),$M$310,HLOOKUP(INDIRECT(ADDRESS(2,COLUMN())),OFFSET($BN$2,0,0,ROW()-1,60),ROW()-1,FALSE))</f>
        <v>40487.165999999997</v>
      </c>
      <c r="N138">
        <f ca="1">IF(AND(ISNUMBER($N$310),$B$183=1),$N$310,HLOOKUP(INDIRECT(ADDRESS(2,COLUMN())),OFFSET($BN$2,0,0,ROW()-1,60),ROW()-1,FALSE))</f>
        <v>39653.860999999997</v>
      </c>
      <c r="O138">
        <f ca="1">IF(AND(ISNUMBER($O$310),$B$183=1),$O$310,HLOOKUP(INDIRECT(ADDRESS(2,COLUMN())),OFFSET($BN$2,0,0,ROW()-1,60),ROW()-1,FALSE))</f>
        <v>40413.970999999998</v>
      </c>
      <c r="P138">
        <f ca="1">IF(AND(ISNUMBER($P$310),$B$183=1),$P$310,HLOOKUP(INDIRECT(ADDRESS(2,COLUMN())),OFFSET($BN$2,0,0,ROW()-1,60),ROW()-1,FALSE))</f>
        <v>41134.211000000003</v>
      </c>
      <c r="Q138">
        <f ca="1">IF(AND(ISNUMBER($Q$310),$B$183=1),$Q$310,HLOOKUP(INDIRECT(ADDRESS(2,COLUMN())),OFFSET($BN$2,0,0,ROW()-1,60),ROW()-1,FALSE))</f>
        <v>38584.58</v>
      </c>
      <c r="R138">
        <f ca="1">IF(AND(ISNUMBER($R$310),$B$183=1),$R$310,HLOOKUP(INDIRECT(ADDRESS(2,COLUMN())),OFFSET($BN$2,0,0,ROW()-1,60),ROW()-1,FALSE))</f>
        <v>38023.807999999997</v>
      </c>
      <c r="S138">
        <f ca="1">IF(AND(ISNUMBER($S$310),$B$183=1),$S$310,HLOOKUP(INDIRECT(ADDRESS(2,COLUMN())),OFFSET($BN$2,0,0,ROW()-1,60),ROW()-1,FALSE))</f>
        <v>35356.305</v>
      </c>
      <c r="T138">
        <f ca="1">IF(AND(ISNUMBER($T$310),$B$183=1),$T$310,HLOOKUP(INDIRECT(ADDRESS(2,COLUMN())),OFFSET($BN$2,0,0,ROW()-1,60),ROW()-1,FALSE))</f>
        <v>35245.959000000003</v>
      </c>
      <c r="U138">
        <f ca="1">IF(AND(ISNUMBER($U$310),$B$183=1),$U$310,HLOOKUP(INDIRECT(ADDRESS(2,COLUMN())),OFFSET($BN$2,0,0,ROW()-1,60),ROW()-1,FALSE))</f>
        <v>32617.214</v>
      </c>
      <c r="V138">
        <f ca="1">IF(AND(ISNUMBER($V$310),$B$183=1),$V$310,HLOOKUP(INDIRECT(ADDRESS(2,COLUMN())),OFFSET($BN$2,0,0,ROW()-1,60),ROW()-1,FALSE))</f>
        <v>31568.885999999999</v>
      </c>
      <c r="W138">
        <f ca="1">IF(AND(ISNUMBER($W$310),$B$183=1),$W$310,HLOOKUP(INDIRECT(ADDRESS(2,COLUMN())),OFFSET($BN$2,0,0,ROW()-1,60),ROW()-1,FALSE))</f>
        <v>26866.968000000001</v>
      </c>
      <c r="X138">
        <f ca="1">IF(AND(ISNUMBER($X$310),$B$183=1),$X$310,HLOOKUP(INDIRECT(ADDRESS(2,COLUMN())),OFFSET($BN$2,0,0,ROW()-1,60),ROW()-1,FALSE))</f>
        <v>24860.155999999999</v>
      </c>
      <c r="Y138">
        <f ca="1">IF(AND(ISNUMBER($Y$310),$B$183=1),$Y$310,HLOOKUP(INDIRECT(ADDRESS(2,COLUMN())),OFFSET($BN$2,0,0,ROW()-1,60),ROW()-1,FALSE))</f>
        <v>22246.026000000002</v>
      </c>
      <c r="Z138">
        <f ca="1">IF(AND(ISNUMBER($Z$310),$B$183=1),$Z$310,HLOOKUP(INDIRECT(ADDRESS(2,COLUMN())),OFFSET($BN$2,0,0,ROW()-1,60),ROW()-1,FALSE))</f>
        <v>19787.899000000001</v>
      </c>
      <c r="AA138">
        <f ca="1">IF(AND(ISNUMBER($AA$310),$B$183=1),$AA$310,HLOOKUP(INDIRECT(ADDRESS(2,COLUMN())),OFFSET($BN$2,0,0,ROW()-1,60),ROW()-1,FALSE))</f>
        <v>17120.573</v>
      </c>
      <c r="AB138">
        <f ca="1">IF(AND(ISNUMBER($AB$310),$B$183=1),$AB$310,HLOOKUP(INDIRECT(ADDRESS(2,COLUMN())),OFFSET($BN$2,0,0,ROW()-1,60),ROW()-1,FALSE))</f>
        <v>16470.727999999999</v>
      </c>
      <c r="AC138">
        <f ca="1">IF(AND(ISNUMBER($AC$310),$B$183=1),$AC$310,HLOOKUP(INDIRECT(ADDRESS(2,COLUMN())),OFFSET($BN$2,0,0,ROW()-1,60),ROW()-1,FALSE))</f>
        <v>15321.111999999999</v>
      </c>
      <c r="AD138">
        <f ca="1">IF(AND(ISNUMBER($AD$310),$B$183=1),$AD$310,HLOOKUP(INDIRECT(ADDRESS(2,COLUMN())),OFFSET($BN$2,0,0,ROW()-1,60),ROW()-1,FALSE))</f>
        <v>14342.204</v>
      </c>
      <c r="AE138">
        <f ca="1">IF(AND(ISNUMBER($AE$310),$B$183=1),$AE$310,HLOOKUP(INDIRECT(ADDRESS(2,COLUMN())),OFFSET($BN$2,0,0,ROW()-1,60),ROW()-1,FALSE))</f>
        <v>13025.221</v>
      </c>
      <c r="AF138">
        <f ca="1">IF(AND(ISNUMBER($AF$310),$B$183=1),$AF$310,HLOOKUP(INDIRECT(ADDRESS(2,COLUMN())),OFFSET($BN$2,0,0,ROW()-1,60),ROW()-1,FALSE))</f>
        <v>12798.088</v>
      </c>
      <c r="AG138">
        <f ca="1">IF(AND(ISNUMBER($AG$310),$B$183=1),$AG$310,HLOOKUP(INDIRECT(ADDRESS(2,COLUMN())),OFFSET($BN$2,0,0,ROW()-1,60),ROW()-1,FALSE))</f>
        <v>10496.259</v>
      </c>
      <c r="AH138">
        <f ca="1">IF(AND(ISNUMBER($AH$310),$B$183=1),$AH$310,HLOOKUP(INDIRECT(ADDRESS(2,COLUMN())),OFFSET($BN$2,0,0,ROW()-1,60),ROW()-1,FALSE))</f>
        <v>10587.669</v>
      </c>
      <c r="AI138">
        <f ca="1">IF(AND(ISNUMBER($AI$310),$B$183=1),$AI$310,HLOOKUP(INDIRECT(ADDRESS(2,COLUMN())),OFFSET($BN$2,0,0,ROW()-1,60),ROW()-1,FALSE))</f>
        <v>11330.49</v>
      </c>
      <c r="AJ138">
        <f ca="1">IF(AND(ISNUMBER($AJ$310),$B$183=1),$AJ$310,HLOOKUP(INDIRECT(ADDRESS(2,COLUMN())),OFFSET($BN$2,0,0,ROW()-1,60),ROW()-1,FALSE))</f>
        <v>11126.0015</v>
      </c>
      <c r="AK138">
        <f ca="1">IF(AND(ISNUMBER($AK$310),$B$183=1),$AK$310,HLOOKUP(INDIRECT(ADDRESS(2,COLUMN())),OFFSET($BN$2,0,0,ROW()-1,60),ROW()-1,FALSE))</f>
        <v>10995.035</v>
      </c>
      <c r="AL138">
        <f ca="1">IF(AND(ISNUMBER($AL$310),$B$183=1),$AL$310,HLOOKUP(INDIRECT(ADDRESS(2,COLUMN())),OFFSET($BN$2,0,0,ROW()-1,60),ROW()-1,FALSE))</f>
        <v>12809.324000000001</v>
      </c>
      <c r="AM138">
        <f ca="1">IF(AND(ISNUMBER($AM$310),$B$183=1),$AM$310,HLOOKUP(INDIRECT(ADDRESS(2,COLUMN())),OFFSET($BN$2,0,0,ROW()-1,60),ROW()-1,FALSE))</f>
        <v>15811.498</v>
      </c>
      <c r="AN138">
        <f ca="1">IF(AND(ISNUMBER($AN$310),$B$183=1),$AN$310,HLOOKUP(INDIRECT(ADDRESS(2,COLUMN())),OFFSET($BN$2,0,0,ROW()-1,60),ROW()-1,FALSE))</f>
        <v>18691.939999999999</v>
      </c>
      <c r="AO138">
        <f ca="1">IF(AND(ISNUMBER($AO$310),$B$183=1),$AO$310,HLOOKUP(INDIRECT(ADDRESS(2,COLUMN())),OFFSET($BN$2,0,0,ROW()-1,60),ROW()-1,FALSE))</f>
        <v>21237.611000000001</v>
      </c>
      <c r="AP138">
        <f ca="1">IF(AND(ISNUMBER($AP$310),$B$183=1),$AP$310,HLOOKUP(INDIRECT(ADDRESS(2,COLUMN())),OFFSET($BN$2,0,0,ROW()-1,60),ROW()-1,FALSE))</f>
        <v>26703.727999999999</v>
      </c>
      <c r="AQ138">
        <f ca="1">IF(AND(ISNUMBER($AQ$310),$B$183=1),$AQ$310,HLOOKUP(INDIRECT(ADDRESS(2,COLUMN())),OFFSET($BN$2,0,0,ROW()-1,60),ROW()-1,FALSE))</f>
        <v>32505.64</v>
      </c>
      <c r="AR138">
        <f ca="1">IF(AND(ISNUMBER($AR$310),$B$183=1),$AR$310,HLOOKUP(INDIRECT(ADDRESS(2,COLUMN())),OFFSET($BN$2,0,0,ROW()-1,60),ROW()-1,FALSE))</f>
        <v>38234.972999999998</v>
      </c>
      <c r="AS138">
        <f ca="1">IF(AND(ISNUMBER($AS$310),$B$183=1),$AS$310,HLOOKUP(INDIRECT(ADDRESS(2,COLUMN())),OFFSET($BN$2,0,0,ROW()-1,60),ROW()-1,FALSE))</f>
        <v>37600.302000000003</v>
      </c>
      <c r="AT138">
        <f ca="1">IF(AND(ISNUMBER($AT$310),$B$183=1),$AT$310,HLOOKUP(INDIRECT(ADDRESS(2,COLUMN())),OFFSET($BN$2,0,0,ROW()-1,60),ROW()-1,FALSE))</f>
        <v>38566.606</v>
      </c>
      <c r="AU138">
        <f ca="1">IF(AND(ISNUMBER($AU$310),$B$183=1),$AU$310,HLOOKUP(INDIRECT(ADDRESS(2,COLUMN())),OFFSET($BN$2,0,0,ROW()-1,60),ROW()-1,FALSE))</f>
        <v>36266.845999999998</v>
      </c>
      <c r="AV138">
        <f ca="1">IF(AND(ISNUMBER($AV$310),$B$183=1),$AV$310,HLOOKUP(INDIRECT(ADDRESS(2,COLUMN())),OFFSET($BN$2,0,0,ROW()-1,60),ROW()-1,FALSE))</f>
        <v>33802.955690000003</v>
      </c>
      <c r="AW138">
        <f ca="1">IF(AND(ISNUMBER($AW$310),$B$183=1),$AW$310,HLOOKUP(INDIRECT(ADDRESS(2,COLUMN())),OFFSET($BN$2,0,0,ROW()-1,60),ROW()-1,FALSE))</f>
        <v>30468.269</v>
      </c>
      <c r="AX138">
        <f ca="1">IF(AND(ISNUMBER($AX$310),$B$183=1),$AX$310,HLOOKUP(INDIRECT(ADDRESS(2,COLUMN())),OFFSET($BN$2,0,0,ROW()-1,60),ROW()-1,FALSE))</f>
        <v>31657.995999999999</v>
      </c>
      <c r="AY138">
        <f ca="1">IF(AND(ISNUMBER($AY$310),$B$183=1),$AY$310,HLOOKUP(INDIRECT(ADDRESS(2,COLUMN())),OFFSET($BN$2,0,0,ROW()-1,60),ROW()-1,FALSE))</f>
        <v>29340.325000000001</v>
      </c>
      <c r="AZ138">
        <f ca="1">IF(AND(ISNUMBER($AZ$310),$B$183=1),$AZ$310,HLOOKUP(INDIRECT(ADDRESS(2,COLUMN())),OFFSET($BN$2,0,0,ROW()-1,60),ROW()-1,FALSE))</f>
        <v>25870.751</v>
      </c>
      <c r="BA138">
        <f ca="1">IF(AND(ISNUMBER($BA$310),$B$183=1),$BA$310,HLOOKUP(INDIRECT(ADDRESS(2,COLUMN())),OFFSET($BN$2,0,0,ROW()-1,60),ROW()-1,FALSE))</f>
        <v>24521.087</v>
      </c>
      <c r="BB138">
        <f ca="1">IF(AND(ISNUMBER($BB$310),$B$183=1),$BB$310,HLOOKUP(INDIRECT(ADDRESS(2,COLUMN())),OFFSET($BN$2,0,0,ROW()-1,60),ROW()-1,FALSE))</f>
        <v>22308.68</v>
      </c>
      <c r="BC138">
        <f ca="1">IF(AND(ISNUMBER($BC$310),$B$183=1),$BC$310,HLOOKUP(INDIRECT(ADDRESS(2,COLUMN())),OFFSET($BN$2,0,0,ROW()-1,60),ROW()-1,FALSE))</f>
        <v>20255.11</v>
      </c>
      <c r="BD138">
        <f ca="1">IF(AND(ISNUMBER($BD$310),$B$183=1),$BD$310,HLOOKUP(INDIRECT(ADDRESS(2,COLUMN())),OFFSET($BN$2,0,0,ROW()-1,60),ROW()-1,FALSE))</f>
        <v>17825.755000000001</v>
      </c>
      <c r="BE138">
        <f ca="1">IF(AND(ISNUMBER($BE$310),$B$183=1),$BE$310,HLOOKUP(INDIRECT(ADDRESS(2,COLUMN())),OFFSET($BN$2,0,0,ROW()-1,60),ROW()-1,FALSE))</f>
        <v>15934.9275</v>
      </c>
      <c r="BF138">
        <f ca="1">IF(AND(ISNUMBER($BF$310),$B$183=1),$BF$310,HLOOKUP(INDIRECT(ADDRESS(2,COLUMN())),OFFSET($BN$2,0,0,ROW()-1,60),ROW()-1,FALSE))</f>
        <v>14616.081</v>
      </c>
      <c r="BG138">
        <f ca="1">IF(AND(ISNUMBER($BG$310),$B$183=1),$BG$310,HLOOKUP(INDIRECT(ADDRESS(2,COLUMN())),OFFSET($BN$2,0,0,ROW()-1,60),ROW()-1,FALSE))</f>
        <v>11403.983</v>
      </c>
      <c r="BH138">
        <f ca="1">IF(AND(ISNUMBER($BH$310),$B$183=1),$BH$310,HLOOKUP(INDIRECT(ADDRESS(2,COLUMN())),OFFSET($BN$2,0,0,ROW()-1,60),ROW()-1,FALSE))</f>
        <v>11753.722</v>
      </c>
      <c r="BI138">
        <f ca="1">IF(AND(ISNUMBER($BI$310),$B$183=1),$BI$310,HLOOKUP(INDIRECT(ADDRESS(2,COLUMN())),OFFSET($BN$2,0,0,ROW()-1,60),ROW()-1,FALSE))</f>
        <v>11305.066500000001</v>
      </c>
      <c r="BJ138">
        <f ca="1">IF(AND(ISNUMBER($BJ$310),$B$183=1),$BJ$310,HLOOKUP(INDIRECT(ADDRESS(2,COLUMN())),OFFSET($BN$2,0,0,ROW()-1,60),ROW()-1,FALSE))</f>
        <v>10657.159</v>
      </c>
      <c r="BK138">
        <f ca="1">IF(AND(ISNUMBER($BK$310),$B$183=1),$BK$310,HLOOKUP(INDIRECT(ADDRESS(2,COLUMN())),OFFSET($BN$2,0,0,ROW()-1,60),ROW()-1,FALSE))</f>
        <v>3451.7635</v>
      </c>
      <c r="BL138">
        <f ca="1">IF(AND(ISNUMBER($BL$310),$B$183=1),$BL$310,HLOOKUP(INDIRECT(ADDRESS(2,COLUMN())),OFFSET($BN$2,0,0,ROW()-1,60),ROW()-1,FALSE))</f>
        <v>2835.0129999999999</v>
      </c>
      <c r="BM138">
        <f ca="1">IF(AND(ISNUMBER($BM$310),$B$183=1),$BM$310,HLOOKUP(INDIRECT(ADDRESS(2,COLUMN())),OFFSET($BN$2,0,0,ROW()-1,60),ROW()-1,FALSE))</f>
        <v>2823.145</v>
      </c>
      <c r="BN138">
        <f>43048.366</f>
        <v>43048.366000000002</v>
      </c>
      <c r="BO138">
        <f>43156.734</f>
        <v>43156.733999999997</v>
      </c>
      <c r="BP138">
        <f>41902.256</f>
        <v>41902.256000000001</v>
      </c>
      <c r="BQ138">
        <f>42681.874</f>
        <v>42681.874000000003</v>
      </c>
      <c r="BR138">
        <f>41803.704</f>
        <v>41803.703999999998</v>
      </c>
      <c r="BS138">
        <f>38393.377</f>
        <v>38393.377</v>
      </c>
      <c r="BT138">
        <f>39504.817</f>
        <v>39504.817000000003</v>
      </c>
      <c r="BU138">
        <f>40487.166</f>
        <v>40487.165999999997</v>
      </c>
      <c r="BV138">
        <f>39653.861</f>
        <v>39653.860999999997</v>
      </c>
      <c r="BW138">
        <f>40413.971</f>
        <v>40413.970999999998</v>
      </c>
      <c r="BX138">
        <f>41134.211</f>
        <v>41134.211000000003</v>
      </c>
      <c r="BY138">
        <f>38584.58</f>
        <v>38584.58</v>
      </c>
      <c r="BZ138">
        <f>38023.808</f>
        <v>38023.807999999997</v>
      </c>
      <c r="CA138">
        <f>35356.305</f>
        <v>35356.305</v>
      </c>
      <c r="CB138">
        <f>35245.959</f>
        <v>35245.959000000003</v>
      </c>
      <c r="CC138">
        <f>32617.214</f>
        <v>32617.214</v>
      </c>
      <c r="CD138">
        <f>31568.886</f>
        <v>31568.885999999999</v>
      </c>
      <c r="CE138">
        <f>26866.968</f>
        <v>26866.968000000001</v>
      </c>
      <c r="CF138">
        <f>24860.156</f>
        <v>24860.155999999999</v>
      </c>
      <c r="CG138">
        <f>22246.026</f>
        <v>22246.026000000002</v>
      </c>
      <c r="CH138">
        <f>19787.899</f>
        <v>19787.899000000001</v>
      </c>
      <c r="CI138">
        <f>17120.573</f>
        <v>17120.573</v>
      </c>
      <c r="CJ138">
        <f>16470.728</f>
        <v>16470.727999999999</v>
      </c>
      <c r="CK138">
        <f>15321.112</f>
        <v>15321.111999999999</v>
      </c>
      <c r="CL138">
        <f>14342.204</f>
        <v>14342.204</v>
      </c>
      <c r="CM138">
        <f>13025.221</f>
        <v>13025.221</v>
      </c>
      <c r="CN138">
        <f>12798.088</f>
        <v>12798.088</v>
      </c>
      <c r="CO138">
        <f>10496.259</f>
        <v>10496.259</v>
      </c>
      <c r="CP138">
        <f>10587.669</f>
        <v>10587.669</v>
      </c>
      <c r="CQ138">
        <f>11330.49</f>
        <v>11330.49</v>
      </c>
      <c r="CR138">
        <f>11126.0015</f>
        <v>11126.0015</v>
      </c>
      <c r="CS138">
        <f>10995.035</f>
        <v>10995.035</v>
      </c>
      <c r="CT138">
        <f>12809.324</f>
        <v>12809.324000000001</v>
      </c>
      <c r="CU138">
        <f>15811.498</f>
        <v>15811.498</v>
      </c>
      <c r="CV138">
        <f>18691.94</f>
        <v>18691.939999999999</v>
      </c>
      <c r="CW138">
        <f>21237.611</f>
        <v>21237.611000000001</v>
      </c>
      <c r="CX138">
        <f>26703.728</f>
        <v>26703.727999999999</v>
      </c>
      <c r="CY138">
        <f>32505.64</f>
        <v>32505.64</v>
      </c>
      <c r="CZ138">
        <f>38234.9729999999</f>
        <v>38234.972999999998</v>
      </c>
      <c r="DA138">
        <f>37600.302</f>
        <v>37600.302000000003</v>
      </c>
      <c r="DB138">
        <f>38566.606</f>
        <v>38566.606</v>
      </c>
      <c r="DC138">
        <f>36266.846</f>
        <v>36266.845999999998</v>
      </c>
      <c r="DD138">
        <f>33802.95569</f>
        <v>33802.955690000003</v>
      </c>
      <c r="DE138">
        <f>30468.269</f>
        <v>30468.269</v>
      </c>
      <c r="DF138">
        <f>31657.996</f>
        <v>31657.995999999999</v>
      </c>
      <c r="DG138">
        <f>29340.325</f>
        <v>29340.325000000001</v>
      </c>
      <c r="DH138">
        <f>25870.751</f>
        <v>25870.751</v>
      </c>
      <c r="DI138">
        <f>24521.087</f>
        <v>24521.087</v>
      </c>
      <c r="DJ138">
        <f>22308.68</f>
        <v>22308.68</v>
      </c>
      <c r="DK138">
        <f>20255.11</f>
        <v>20255.11</v>
      </c>
      <c r="DL138">
        <f>17825.755</f>
        <v>17825.755000000001</v>
      </c>
      <c r="DM138">
        <f>15934.9275</f>
        <v>15934.9275</v>
      </c>
      <c r="DN138">
        <f>14616.081</f>
        <v>14616.081</v>
      </c>
      <c r="DO138">
        <f>11403.983</f>
        <v>11403.983</v>
      </c>
      <c r="DP138">
        <f>11753.722</f>
        <v>11753.722</v>
      </c>
      <c r="DQ138">
        <f>11305.0665</f>
        <v>11305.066500000001</v>
      </c>
      <c r="DR138">
        <f>10657.159</f>
        <v>10657.159</v>
      </c>
      <c r="DS138">
        <f>3451.7635</f>
        <v>3451.7635</v>
      </c>
      <c r="DT138">
        <f>2835.013</f>
        <v>2835.0129999999999</v>
      </c>
      <c r="DU138">
        <f>2823.145</f>
        <v>2823.145</v>
      </c>
    </row>
    <row r="139" spans="1:125">
      <c r="A139" t="str">
        <f>"    Total Office REITs"</f>
        <v xml:space="preserve">    Total Office REITs</v>
      </c>
      <c r="B139" t="str">
        <f>"RECFDVOF Index"</f>
        <v>RECFDVOF Index</v>
      </c>
      <c r="C139" t="str">
        <f t="shared" si="30"/>
        <v>PR005</v>
      </c>
      <c r="D139" t="str">
        <f t="shared" si="31"/>
        <v>PX_LAST</v>
      </c>
      <c r="E139" t="str">
        <f t="shared" si="32"/>
        <v>动态</v>
      </c>
      <c r="F139">
        <f ca="1">IF(AND(ISNUMBER($F$311),$B$183=1),$F$311,HLOOKUP(INDIRECT(ADDRESS(2,COLUMN())),OFFSET($BN$2,0,0,ROW()-1,60),ROW()-1,FALSE))</f>
        <v>12031.406999999999</v>
      </c>
      <c r="G139">
        <f ca="1">IF(AND(ISNUMBER($G$311),$B$183=1),$G$311,HLOOKUP(INDIRECT(ADDRESS(2,COLUMN())),OFFSET($BN$2,0,0,ROW()-1,60),ROW()-1,FALSE))</f>
        <v>11582.31</v>
      </c>
      <c r="H139">
        <f ca="1">IF(AND(ISNUMBER($H$311),$B$183=1),$H$311,HLOOKUP(INDIRECT(ADDRESS(2,COLUMN())),OFFSET($BN$2,0,0,ROW()-1,60),ROW()-1,FALSE))</f>
        <v>11122.46</v>
      </c>
      <c r="I139">
        <f ca="1">IF(AND(ISNUMBER($I$311),$B$183=1),$I$311,HLOOKUP(INDIRECT(ADDRESS(2,COLUMN())),OFFSET($BN$2,0,0,ROW()-1,60),ROW()-1,FALSE))</f>
        <v>10850.764999999999</v>
      </c>
      <c r="J139">
        <f ca="1">IF(AND(ISNUMBER($J$311),$B$183=1),$J$311,HLOOKUP(INDIRECT(ADDRESS(2,COLUMN())),OFFSET($BN$2,0,0,ROW()-1,60),ROW()-1,FALSE))</f>
        <v>8728.15</v>
      </c>
      <c r="K139">
        <f ca="1">IF(AND(ISNUMBER($K$311),$B$183=1),$K$311,HLOOKUP(INDIRECT(ADDRESS(2,COLUMN())),OFFSET($BN$2,0,0,ROW()-1,60),ROW()-1,FALSE))</f>
        <v>7866.8379999999997</v>
      </c>
      <c r="L139">
        <f ca="1">IF(AND(ISNUMBER($L$311),$B$183=1),$L$311,HLOOKUP(INDIRECT(ADDRESS(2,COLUMN())),OFFSET($BN$2,0,0,ROW()-1,60),ROW()-1,FALSE))</f>
        <v>6932.9849999999997</v>
      </c>
      <c r="M139">
        <f ca="1">IF(AND(ISNUMBER($M$311),$B$183=1),$M$311,HLOOKUP(INDIRECT(ADDRESS(2,COLUMN())),OFFSET($BN$2,0,0,ROW()-1,60),ROW()-1,FALSE))</f>
        <v>7766.7020000000002</v>
      </c>
      <c r="N139">
        <f ca="1">IF(AND(ISNUMBER($N$311),$B$183=1),$N$311,HLOOKUP(INDIRECT(ADDRESS(2,COLUMN())),OFFSET($BN$2,0,0,ROW()-1,60),ROW()-1,FALSE))</f>
        <v>8234.2569999999996</v>
      </c>
      <c r="O139">
        <f ca="1">IF(AND(ISNUMBER($O$311),$B$183=1),$O$311,HLOOKUP(INDIRECT(ADDRESS(2,COLUMN())),OFFSET($BN$2,0,0,ROW()-1,60),ROW()-1,FALSE))</f>
        <v>9182.2139999999999</v>
      </c>
      <c r="P139">
        <f ca="1">IF(AND(ISNUMBER($P$311),$B$183=1),$P$311,HLOOKUP(INDIRECT(ADDRESS(2,COLUMN())),OFFSET($BN$2,0,0,ROW()-1,60),ROW()-1,FALSE))</f>
        <v>8892.6749999999993</v>
      </c>
      <c r="Q139">
        <f ca="1">IF(AND(ISNUMBER($Q$311),$B$183=1),$Q$311,HLOOKUP(INDIRECT(ADDRESS(2,COLUMN())),OFFSET($BN$2,0,0,ROW()-1,60),ROW()-1,FALSE))</f>
        <v>7309.7330000000002</v>
      </c>
      <c r="R139">
        <f ca="1">IF(AND(ISNUMBER($R$311),$B$183=1),$R$311,HLOOKUP(INDIRECT(ADDRESS(2,COLUMN())),OFFSET($BN$2,0,0,ROW()-1,60),ROW()-1,FALSE))</f>
        <v>7492.1419999999998</v>
      </c>
      <c r="S139">
        <f ca="1">IF(AND(ISNUMBER($S$311),$B$183=1),$S$311,HLOOKUP(INDIRECT(ADDRESS(2,COLUMN())),OFFSET($BN$2,0,0,ROW()-1,60),ROW()-1,FALSE))</f>
        <v>7346.7460000000001</v>
      </c>
      <c r="T139">
        <f ca="1">IF(AND(ISNUMBER($T$311),$B$183=1),$T$311,HLOOKUP(INDIRECT(ADDRESS(2,COLUMN())),OFFSET($BN$2,0,0,ROW()-1,60),ROW()-1,FALSE))</f>
        <v>8759.5149999999994</v>
      </c>
      <c r="U139">
        <f ca="1">IF(AND(ISNUMBER($U$311),$B$183=1),$U$311,HLOOKUP(INDIRECT(ADDRESS(2,COLUMN())),OFFSET($BN$2,0,0,ROW()-1,60),ROW()-1,FALSE))</f>
        <v>7233.9669999999996</v>
      </c>
      <c r="V139">
        <f ca="1">IF(AND(ISNUMBER($V$311),$B$183=1),$V$311,HLOOKUP(INDIRECT(ADDRESS(2,COLUMN())),OFFSET($BN$2,0,0,ROW()-1,60),ROW()-1,FALSE))</f>
        <v>6286.5690000000004</v>
      </c>
      <c r="W139">
        <f ca="1">IF(AND(ISNUMBER($W$311),$B$183=1),$W$311,HLOOKUP(INDIRECT(ADDRESS(2,COLUMN())),OFFSET($BN$2,0,0,ROW()-1,60),ROW()-1,FALSE))</f>
        <v>5283.4129999999996</v>
      </c>
      <c r="X139">
        <f ca="1">IF(AND(ISNUMBER($X$311),$B$183=1),$X$311,HLOOKUP(INDIRECT(ADDRESS(2,COLUMN())),OFFSET($BN$2,0,0,ROW()-1,60),ROW()-1,FALSE))</f>
        <v>5210.9430000000002</v>
      </c>
      <c r="Y139">
        <f ca="1">IF(AND(ISNUMBER($Y$311),$B$183=1),$Y$311,HLOOKUP(INDIRECT(ADDRESS(2,COLUMN())),OFFSET($BN$2,0,0,ROW()-1,60),ROW()-1,FALSE))</f>
        <v>4022.085</v>
      </c>
      <c r="Z139">
        <f ca="1">IF(AND(ISNUMBER($Z$311),$B$183=1),$Z$311,HLOOKUP(INDIRECT(ADDRESS(2,COLUMN())),OFFSET($BN$2,0,0,ROW()-1,60),ROW()-1,FALSE))</f>
        <v>4179.1170000000002</v>
      </c>
      <c r="AA139">
        <f ca="1">IF(AND(ISNUMBER($AA$311),$B$183=1),$AA$311,HLOOKUP(INDIRECT(ADDRESS(2,COLUMN())),OFFSET($BN$2,0,0,ROW()-1,60),ROW()-1,FALSE))</f>
        <v>2806.34</v>
      </c>
      <c r="AB139">
        <f ca="1">IF(AND(ISNUMBER($AB$311),$B$183=1),$AB$311,HLOOKUP(INDIRECT(ADDRESS(2,COLUMN())),OFFSET($BN$2,0,0,ROW()-1,60),ROW()-1,FALSE))</f>
        <v>2334.0239999999999</v>
      </c>
      <c r="AC139">
        <f ca="1">IF(AND(ISNUMBER($AC$311),$B$183=1),$AC$311,HLOOKUP(INDIRECT(ADDRESS(2,COLUMN())),OFFSET($BN$2,0,0,ROW()-1,60),ROW()-1,FALSE))</f>
        <v>2430.7260000000001</v>
      </c>
      <c r="AD139">
        <f ca="1">IF(AND(ISNUMBER($AD$311),$B$183=1),$AD$311,HLOOKUP(INDIRECT(ADDRESS(2,COLUMN())),OFFSET($BN$2,0,0,ROW()-1,60),ROW()-1,FALSE))</f>
        <v>2365.2620000000002</v>
      </c>
      <c r="AE139">
        <f ca="1">IF(AND(ISNUMBER($AE$311),$B$183=1),$AE$311,HLOOKUP(INDIRECT(ADDRESS(2,COLUMN())),OFFSET($BN$2,0,0,ROW()-1,60),ROW()-1,FALSE))</f>
        <v>2806.3310000000001</v>
      </c>
      <c r="AF139">
        <f ca="1">IF(AND(ISNUMBER($AF$311),$B$183=1),$AF$311,HLOOKUP(INDIRECT(ADDRESS(2,COLUMN())),OFFSET($BN$2,0,0,ROW()-1,60),ROW()-1,FALSE))</f>
        <v>3291.49</v>
      </c>
      <c r="AG139">
        <f ca="1">IF(AND(ISNUMBER($AG$311),$B$183=1),$AG$311,HLOOKUP(INDIRECT(ADDRESS(2,COLUMN())),OFFSET($BN$2,0,0,ROW()-1,60),ROW()-1,FALSE))</f>
        <v>2353.7359999999999</v>
      </c>
      <c r="AH139">
        <f ca="1">IF(AND(ISNUMBER($AH$311),$B$183=1),$AH$311,HLOOKUP(INDIRECT(ADDRESS(2,COLUMN())),OFFSET($BN$2,0,0,ROW()-1,60),ROW()-1,FALSE))</f>
        <v>2361.482</v>
      </c>
      <c r="AI139">
        <f ca="1">IF(AND(ISNUMBER($AI$311),$B$183=1),$AI$311,HLOOKUP(INDIRECT(ADDRESS(2,COLUMN())),OFFSET($BN$2,0,0,ROW()-1,60),ROW()-1,FALSE))</f>
        <v>2331.587</v>
      </c>
      <c r="AJ139">
        <f ca="1">IF(AND(ISNUMBER($AJ$311),$B$183=1),$AJ$311,HLOOKUP(INDIRECT(ADDRESS(2,COLUMN())),OFFSET($BN$2,0,0,ROW()-1,60),ROW()-1,FALSE))</f>
        <v>2171.9054999999998</v>
      </c>
      <c r="AK139">
        <f ca="1">IF(AND(ISNUMBER($AK$311),$B$183=1),$AK$311,HLOOKUP(INDIRECT(ADDRESS(2,COLUMN())),OFFSET($BN$2,0,0,ROW()-1,60),ROW()-1,FALSE))</f>
        <v>2208.6770000000001</v>
      </c>
      <c r="AL139">
        <f ca="1">IF(AND(ISNUMBER($AL$311),$B$183=1),$AL$311,HLOOKUP(INDIRECT(ADDRESS(2,COLUMN())),OFFSET($BN$2,0,0,ROW()-1,60),ROW()-1,FALSE))</f>
        <v>2008.88</v>
      </c>
      <c r="AM139">
        <f ca="1">IF(AND(ISNUMBER($AM$311),$B$183=1),$AM$311,HLOOKUP(INDIRECT(ADDRESS(2,COLUMN())),OFFSET($BN$2,0,0,ROW()-1,60),ROW()-1,FALSE))</f>
        <v>2117.6869999999999</v>
      </c>
      <c r="AN139">
        <f ca="1">IF(AND(ISNUMBER($AN$311),$B$183=1),$AN$311,HLOOKUP(INDIRECT(ADDRESS(2,COLUMN())),OFFSET($BN$2,0,0,ROW()-1,60),ROW()-1,FALSE))</f>
        <v>2355.221</v>
      </c>
      <c r="AO139">
        <f ca="1">IF(AND(ISNUMBER($AO$311),$B$183=1),$AO$311,HLOOKUP(INDIRECT(ADDRESS(2,COLUMN())),OFFSET($BN$2,0,0,ROW()-1,60),ROW()-1,FALSE))</f>
        <v>2526.8029999999999</v>
      </c>
      <c r="AP139">
        <f ca="1">IF(AND(ISNUMBER($AP$311),$B$183=1),$AP$311,HLOOKUP(INDIRECT(ADDRESS(2,COLUMN())),OFFSET($BN$2,0,0,ROW()-1,60),ROW()-1,FALSE))</f>
        <v>4334.5360000000001</v>
      </c>
      <c r="AQ139">
        <f ca="1">IF(AND(ISNUMBER($AQ$311),$B$183=1),$AQ$311,HLOOKUP(INDIRECT(ADDRESS(2,COLUMN())),OFFSET($BN$2,0,0,ROW()-1,60),ROW()-1,FALSE))</f>
        <v>5673.4719999999998</v>
      </c>
      <c r="AR139">
        <f ca="1">IF(AND(ISNUMBER($AR$311),$B$183=1),$AR$311,HLOOKUP(INDIRECT(ADDRESS(2,COLUMN())),OFFSET($BN$2,0,0,ROW()-1,60),ROW()-1,FALSE))</f>
        <v>5739.1239999999998</v>
      </c>
      <c r="AS139">
        <f ca="1">IF(AND(ISNUMBER($AS$311),$B$183=1),$AS$311,HLOOKUP(INDIRECT(ADDRESS(2,COLUMN())),OFFSET($BN$2,0,0,ROW()-1,60),ROW()-1,FALSE))</f>
        <v>5377.4260000000004</v>
      </c>
      <c r="AT139">
        <f ca="1">IF(AND(ISNUMBER($AT$311),$B$183=1),$AT$311,HLOOKUP(INDIRECT(ADDRESS(2,COLUMN())),OFFSET($BN$2,0,0,ROW()-1,60),ROW()-1,FALSE))</f>
        <v>5475.4769999999999</v>
      </c>
      <c r="AU139">
        <f ca="1">IF(AND(ISNUMBER($AU$311),$B$183=1),$AU$311,HLOOKUP(INDIRECT(ADDRESS(2,COLUMN())),OFFSET($BN$2,0,0,ROW()-1,60),ROW()-1,FALSE))</f>
        <v>5632.2709999999997</v>
      </c>
      <c r="AV139">
        <f ca="1">IF(AND(ISNUMBER($AV$311),$B$183=1),$AV$311,HLOOKUP(INDIRECT(ADDRESS(2,COLUMN())),OFFSET($BN$2,0,0,ROW()-1,60),ROW()-1,FALSE))</f>
        <v>3982.527</v>
      </c>
      <c r="AW139">
        <f ca="1">IF(AND(ISNUMBER($AW$311),$B$183=1),$AW$311,HLOOKUP(INDIRECT(ADDRESS(2,COLUMN())),OFFSET($BN$2,0,0,ROW()-1,60),ROW()-1,FALSE))</f>
        <v>4551.9539999999997</v>
      </c>
      <c r="AX139">
        <f ca="1">IF(AND(ISNUMBER($AX$311),$B$183=1),$AX$311,HLOOKUP(INDIRECT(ADDRESS(2,COLUMN())),OFFSET($BN$2,0,0,ROW()-1,60),ROW()-1,FALSE))</f>
        <v>5189.8599999999997</v>
      </c>
      <c r="AY139">
        <f ca="1">IF(AND(ISNUMBER($AY$311),$B$183=1),$AY$311,HLOOKUP(INDIRECT(ADDRESS(2,COLUMN())),OFFSET($BN$2,0,0,ROW()-1,60),ROW()-1,FALSE))</f>
        <v>3807.8879999999999</v>
      </c>
      <c r="AZ139">
        <f ca="1">IF(AND(ISNUMBER($AZ$311),$B$183=1),$AZ$311,HLOOKUP(INDIRECT(ADDRESS(2,COLUMN())),OFFSET($BN$2,0,0,ROW()-1,60),ROW()-1,FALSE))</f>
        <v>3571.9140000000002</v>
      </c>
      <c r="BA139">
        <f ca="1">IF(AND(ISNUMBER($BA$311),$B$183=1),$BA$311,HLOOKUP(INDIRECT(ADDRESS(2,COLUMN())),OFFSET($BN$2,0,0,ROW()-1,60),ROW()-1,FALSE))</f>
        <v>2863.027</v>
      </c>
      <c r="BB139">
        <f ca="1">IF(AND(ISNUMBER($BB$311),$B$183=1),$BB$311,HLOOKUP(INDIRECT(ADDRESS(2,COLUMN())),OFFSET($BN$2,0,0,ROW()-1,60),ROW()-1,FALSE))</f>
        <v>2882.38</v>
      </c>
      <c r="BC139">
        <f ca="1">IF(AND(ISNUMBER($BC$311),$B$183=1),$BC$311,HLOOKUP(INDIRECT(ADDRESS(2,COLUMN())),OFFSET($BN$2,0,0,ROW()-1,60),ROW()-1,FALSE))</f>
        <v>2410.009</v>
      </c>
      <c r="BD139">
        <f ca="1">IF(AND(ISNUMBER($BD$311),$B$183=1),$BD$311,HLOOKUP(INDIRECT(ADDRESS(2,COLUMN())),OFFSET($BN$2,0,0,ROW()-1,60),ROW()-1,FALSE))</f>
        <v>1616.5260000000001</v>
      </c>
      <c r="BE139">
        <f ca="1">IF(AND(ISNUMBER($BE$311),$B$183=1),$BE$311,HLOOKUP(INDIRECT(ADDRESS(2,COLUMN())),OFFSET($BN$2,0,0,ROW()-1,60),ROW()-1,FALSE))</f>
        <v>1334.5255</v>
      </c>
      <c r="BF139">
        <f ca="1">IF(AND(ISNUMBER($BF$311),$B$183=1),$BF$311,HLOOKUP(INDIRECT(ADDRESS(2,COLUMN())),OFFSET($BN$2,0,0,ROW()-1,60),ROW()-1,FALSE))</f>
        <v>1492.1980000000001</v>
      </c>
      <c r="BG139">
        <f ca="1">IF(AND(ISNUMBER($BG$311),$B$183=1),$BG$311,HLOOKUP(INDIRECT(ADDRESS(2,COLUMN())),OFFSET($BN$2,0,0,ROW()-1,60),ROW()-1,FALSE))</f>
        <v>1353.558</v>
      </c>
      <c r="BH139">
        <f ca="1">IF(AND(ISNUMBER($BH$311),$B$183=1),$BH$311,HLOOKUP(INDIRECT(ADDRESS(2,COLUMN())),OFFSET($BN$2,0,0,ROW()-1,60),ROW()-1,FALSE))</f>
        <v>1957.664</v>
      </c>
      <c r="BI139">
        <f ca="1">IF(AND(ISNUMBER($BI$311),$B$183=1),$BI$311,HLOOKUP(INDIRECT(ADDRESS(2,COLUMN())),OFFSET($BN$2,0,0,ROW()-1,60),ROW()-1,FALSE))</f>
        <v>1894.8689999999999</v>
      </c>
      <c r="BJ139">
        <f ca="1">IF(AND(ISNUMBER($BJ$311),$B$183=1),$BJ$311,HLOOKUP(INDIRECT(ADDRESS(2,COLUMN())),OFFSET($BN$2,0,0,ROW()-1,60),ROW()-1,FALSE))</f>
        <v>1587.941</v>
      </c>
      <c r="BK139">
        <f ca="1">IF(AND(ISNUMBER($BK$311),$B$183=1),$BK$311,HLOOKUP(INDIRECT(ADDRESS(2,COLUMN())),OFFSET($BN$2,0,0,ROW()-1,60),ROW()-1,FALSE))</f>
        <v>61.357999999999997</v>
      </c>
      <c r="BL139">
        <f ca="1">IF(AND(ISNUMBER($BL$311),$B$183=1),$BL$311,HLOOKUP(INDIRECT(ADDRESS(2,COLUMN())),OFFSET($BN$2,0,0,ROW()-1,60),ROW()-1,FALSE))</f>
        <v>34.85</v>
      </c>
      <c r="BM139">
        <f ca="1">IF(AND(ISNUMBER($BM$311),$B$183=1),$BM$311,HLOOKUP(INDIRECT(ADDRESS(2,COLUMN())),OFFSET($BN$2,0,0,ROW()-1,60),ROW()-1,FALSE))</f>
        <v>34.5</v>
      </c>
      <c r="BN139">
        <f>12031.407</f>
        <v>12031.406999999999</v>
      </c>
      <c r="BO139">
        <f>11582.31</f>
        <v>11582.31</v>
      </c>
      <c r="BP139">
        <f>11122.46</f>
        <v>11122.46</v>
      </c>
      <c r="BQ139">
        <f>10850.765</f>
        <v>10850.764999999999</v>
      </c>
      <c r="BR139">
        <f>8728.15</f>
        <v>8728.15</v>
      </c>
      <c r="BS139">
        <f>7866.838</f>
        <v>7866.8379999999997</v>
      </c>
      <c r="BT139">
        <f>6932.985</f>
        <v>6932.9849999999997</v>
      </c>
      <c r="BU139">
        <f>7766.702</f>
        <v>7766.7020000000002</v>
      </c>
      <c r="BV139">
        <f>8234.257</f>
        <v>8234.2569999999996</v>
      </c>
      <c r="BW139">
        <f>9182.214</f>
        <v>9182.2139999999999</v>
      </c>
      <c r="BX139">
        <f>8892.675</f>
        <v>8892.6749999999993</v>
      </c>
      <c r="BY139">
        <f>7309.733</f>
        <v>7309.7330000000002</v>
      </c>
      <c r="BZ139">
        <f>7492.142</f>
        <v>7492.1419999999998</v>
      </c>
      <c r="CA139">
        <f>7346.746</f>
        <v>7346.7460000000001</v>
      </c>
      <c r="CB139">
        <f>8759.515</f>
        <v>8759.5149999999994</v>
      </c>
      <c r="CC139">
        <f>7233.967</f>
        <v>7233.9669999999996</v>
      </c>
      <c r="CD139">
        <f>6286.569</f>
        <v>6286.5690000000004</v>
      </c>
      <c r="CE139">
        <f>5283.413</f>
        <v>5283.4129999999996</v>
      </c>
      <c r="CF139">
        <f>5210.943</f>
        <v>5210.9430000000002</v>
      </c>
      <c r="CG139">
        <f>4022.085</f>
        <v>4022.085</v>
      </c>
      <c r="CH139">
        <f>4179.117</f>
        <v>4179.1170000000002</v>
      </c>
      <c r="CI139">
        <f>2806.34</f>
        <v>2806.34</v>
      </c>
      <c r="CJ139">
        <f>2334.024</f>
        <v>2334.0239999999999</v>
      </c>
      <c r="CK139">
        <f>2430.726</f>
        <v>2430.7260000000001</v>
      </c>
      <c r="CL139">
        <f>2365.262</f>
        <v>2365.2620000000002</v>
      </c>
      <c r="CM139">
        <f>2806.331</f>
        <v>2806.3310000000001</v>
      </c>
      <c r="CN139">
        <f>3291.49</f>
        <v>3291.49</v>
      </c>
      <c r="CO139">
        <f>2353.736</f>
        <v>2353.7359999999999</v>
      </c>
      <c r="CP139">
        <f>2361.482</f>
        <v>2361.482</v>
      </c>
      <c r="CQ139">
        <f>2331.587</f>
        <v>2331.587</v>
      </c>
      <c r="CR139">
        <f>2171.9055</f>
        <v>2171.9054999999998</v>
      </c>
      <c r="CS139">
        <f>2208.677</f>
        <v>2208.6770000000001</v>
      </c>
      <c r="CT139">
        <f>2008.88</f>
        <v>2008.88</v>
      </c>
      <c r="CU139">
        <f>2117.687</f>
        <v>2117.6869999999999</v>
      </c>
      <c r="CV139">
        <f>2355.221</f>
        <v>2355.221</v>
      </c>
      <c r="CW139">
        <f>2526.803</f>
        <v>2526.8029999999999</v>
      </c>
      <c r="CX139">
        <f>4334.536</f>
        <v>4334.5360000000001</v>
      </c>
      <c r="CY139">
        <f>5673.472</f>
        <v>5673.4719999999998</v>
      </c>
      <c r="CZ139">
        <f>5739.124</f>
        <v>5739.1239999999998</v>
      </c>
      <c r="DA139">
        <f>5377.426</f>
        <v>5377.4260000000004</v>
      </c>
      <c r="DB139">
        <f>5475.477</f>
        <v>5475.4769999999999</v>
      </c>
      <c r="DC139">
        <f>5632.271</f>
        <v>5632.2709999999997</v>
      </c>
      <c r="DD139">
        <f>3982.527</f>
        <v>3982.527</v>
      </c>
      <c r="DE139">
        <f>4551.954</f>
        <v>4551.9539999999997</v>
      </c>
      <c r="DF139">
        <f>5189.86</f>
        <v>5189.8599999999997</v>
      </c>
      <c r="DG139">
        <f>3807.888</f>
        <v>3807.8879999999999</v>
      </c>
      <c r="DH139">
        <f>3571.914</f>
        <v>3571.9140000000002</v>
      </c>
      <c r="DI139">
        <f>2863.027</f>
        <v>2863.027</v>
      </c>
      <c r="DJ139">
        <f>2882.38</f>
        <v>2882.38</v>
      </c>
      <c r="DK139">
        <f>2410.009</f>
        <v>2410.009</v>
      </c>
      <c r="DL139">
        <f>1616.526</f>
        <v>1616.5260000000001</v>
      </c>
      <c r="DM139">
        <f>1334.5255</f>
        <v>1334.5255</v>
      </c>
      <c r="DN139">
        <f>1492.198</f>
        <v>1492.1980000000001</v>
      </c>
      <c r="DO139">
        <f>1353.558</f>
        <v>1353.558</v>
      </c>
      <c r="DP139">
        <f>1957.664</f>
        <v>1957.664</v>
      </c>
      <c r="DQ139">
        <f>1894.869</f>
        <v>1894.8689999999999</v>
      </c>
      <c r="DR139">
        <f>1587.941</f>
        <v>1587.941</v>
      </c>
      <c r="DS139">
        <f>61.358</f>
        <v>61.357999999999997</v>
      </c>
      <c r="DT139">
        <f>34.85</f>
        <v>34.85</v>
      </c>
      <c r="DU139">
        <f>34.5</f>
        <v>34.5</v>
      </c>
    </row>
    <row r="140" spans="1:125">
      <c r="A140" t="str">
        <f>"    Total Industrial REITs"</f>
        <v xml:space="preserve">    Total Industrial REITs</v>
      </c>
      <c r="B140" t="str">
        <f>"RECFDVIN Index"</f>
        <v>RECFDVIN Index</v>
      </c>
      <c r="C140" t="str">
        <f t="shared" si="30"/>
        <v>PR005</v>
      </c>
      <c r="D140" t="str">
        <f t="shared" si="31"/>
        <v>PX_LAST</v>
      </c>
      <c r="E140" t="str">
        <f t="shared" si="32"/>
        <v>动态</v>
      </c>
      <c r="F140">
        <f ca="1">IF(AND(ISNUMBER($F$312),$B$183=1),$F$312,HLOOKUP(INDIRECT(ADDRESS(2,COLUMN())),OFFSET($BN$2,0,0,ROW()-1,60),ROW()-1,FALSE))</f>
        <v>6557.3559999999998</v>
      </c>
      <c r="G140">
        <f ca="1">IF(AND(ISNUMBER($G$312),$B$183=1),$G$312,HLOOKUP(INDIRECT(ADDRESS(2,COLUMN())),OFFSET($BN$2,0,0,ROW()-1,60),ROW()-1,FALSE))</f>
        <v>6655.0969999999998</v>
      </c>
      <c r="H140">
        <f ca="1">IF(AND(ISNUMBER($H$312),$B$183=1),$H$312,HLOOKUP(INDIRECT(ADDRESS(2,COLUMN())),OFFSET($BN$2,0,0,ROW()-1,60),ROW()-1,FALSE))</f>
        <v>6686.6620000000003</v>
      </c>
      <c r="I140">
        <f ca="1">IF(AND(ISNUMBER($I$312),$B$183=1),$I$312,HLOOKUP(INDIRECT(ADDRESS(2,COLUMN())),OFFSET($BN$2,0,0,ROW()-1,60),ROW()-1,FALSE))</f>
        <v>6306.3860000000004</v>
      </c>
      <c r="J140">
        <f ca="1">IF(AND(ISNUMBER($J$312),$B$183=1),$J$312,HLOOKUP(INDIRECT(ADDRESS(2,COLUMN())),OFFSET($BN$2,0,0,ROW()-1,60),ROW()-1,FALSE))</f>
        <v>6225.6019999999999</v>
      </c>
      <c r="K140">
        <f ca="1">IF(AND(ISNUMBER($K$312),$B$183=1),$K$312,HLOOKUP(INDIRECT(ADDRESS(2,COLUMN())),OFFSET($BN$2,0,0,ROW()-1,60),ROW()-1,FALSE))</f>
        <v>6107.5460000000003</v>
      </c>
      <c r="L140">
        <f ca="1">IF(AND(ISNUMBER($L$312),$B$183=1),$L$312,HLOOKUP(INDIRECT(ADDRESS(2,COLUMN())),OFFSET($BN$2,0,0,ROW()-1,60),ROW()-1,FALSE))</f>
        <v>5939.6980000000003</v>
      </c>
      <c r="M140">
        <f ca="1">IF(AND(ISNUMBER($M$312),$B$183=1),$M$312,HLOOKUP(INDIRECT(ADDRESS(2,COLUMN())),OFFSET($BN$2,0,0,ROW()-1,60),ROW()-1,FALSE))</f>
        <v>6456.6049999999996</v>
      </c>
      <c r="N140">
        <f ca="1">IF(AND(ISNUMBER($N$312),$B$183=1),$N$312,HLOOKUP(INDIRECT(ADDRESS(2,COLUMN())),OFFSET($BN$2,0,0,ROW()-1,60),ROW()-1,FALSE))</f>
        <v>6732.7190000000001</v>
      </c>
      <c r="O140">
        <f ca="1">IF(AND(ISNUMBER($O$312),$B$183=1),$O$312,HLOOKUP(INDIRECT(ADDRESS(2,COLUMN())),OFFSET($BN$2,0,0,ROW()-1,60),ROW()-1,FALSE))</f>
        <v>6427.3729999999996</v>
      </c>
      <c r="P140">
        <f ca="1">IF(AND(ISNUMBER($P$312),$B$183=1),$P$312,HLOOKUP(INDIRECT(ADDRESS(2,COLUMN())),OFFSET($BN$2,0,0,ROW()-1,60),ROW()-1,FALSE))</f>
        <v>6096.6189999999997</v>
      </c>
      <c r="Q140">
        <f ca="1">IF(AND(ISNUMBER($Q$312),$B$183=1),$Q$312,HLOOKUP(INDIRECT(ADDRESS(2,COLUMN())),OFFSET($BN$2,0,0,ROW()-1,60),ROW()-1,FALSE))</f>
        <v>5313.116</v>
      </c>
      <c r="R140">
        <f ca="1">IF(AND(ISNUMBER($R$312),$B$183=1),$R$312,HLOOKUP(INDIRECT(ADDRESS(2,COLUMN())),OFFSET($BN$2,0,0,ROW()-1,60),ROW()-1,FALSE))</f>
        <v>5561.7659999999996</v>
      </c>
      <c r="S140">
        <f ca="1">IF(AND(ISNUMBER($S$312),$B$183=1),$S$312,HLOOKUP(INDIRECT(ADDRESS(2,COLUMN())),OFFSET($BN$2,0,0,ROW()-1,60),ROW()-1,FALSE))</f>
        <v>5283.9690000000001</v>
      </c>
      <c r="T140">
        <f ca="1">IF(AND(ISNUMBER($T$312),$B$183=1),$T$312,HLOOKUP(INDIRECT(ADDRESS(2,COLUMN())),OFFSET($BN$2,0,0,ROW()-1,60),ROW()-1,FALSE))</f>
        <v>4049.527</v>
      </c>
      <c r="U140">
        <f ca="1">IF(AND(ISNUMBER($U$312),$B$183=1),$U$312,HLOOKUP(INDIRECT(ADDRESS(2,COLUMN())),OFFSET($BN$2,0,0,ROW()-1,60),ROW()-1,FALSE))</f>
        <v>3765.3359999999998</v>
      </c>
      <c r="V140">
        <f ca="1">IF(AND(ISNUMBER($V$312),$B$183=1),$V$312,HLOOKUP(INDIRECT(ADDRESS(2,COLUMN())),OFFSET($BN$2,0,0,ROW()-1,60),ROW()-1,FALSE))</f>
        <v>3380.65</v>
      </c>
      <c r="W140">
        <f ca="1">IF(AND(ISNUMBER($W$312),$B$183=1),$W$312,HLOOKUP(INDIRECT(ADDRESS(2,COLUMN())),OFFSET($BN$2,0,0,ROW()-1,60),ROW()-1,FALSE))</f>
        <v>2952.922</v>
      </c>
      <c r="X140">
        <f ca="1">IF(AND(ISNUMBER($X$312),$B$183=1),$X$312,HLOOKUP(INDIRECT(ADDRESS(2,COLUMN())),OFFSET($BN$2,0,0,ROW()-1,60),ROW()-1,FALSE))</f>
        <v>3117.4430000000002</v>
      </c>
      <c r="Y140">
        <f ca="1">IF(AND(ISNUMBER($Y$312),$B$183=1),$Y$312,HLOOKUP(INDIRECT(ADDRESS(2,COLUMN())),OFFSET($BN$2,0,0,ROW()-1,60),ROW()-1,FALSE))</f>
        <v>3013.1770000000001</v>
      </c>
      <c r="Z140">
        <f ca="1">IF(AND(ISNUMBER($Z$312),$B$183=1),$Z$312,HLOOKUP(INDIRECT(ADDRESS(2,COLUMN())),OFFSET($BN$2,0,0,ROW()-1,60),ROW()-1,FALSE))</f>
        <v>2725.95</v>
      </c>
      <c r="AA140">
        <f ca="1">IF(AND(ISNUMBER($AA$312),$B$183=1),$AA$312,HLOOKUP(INDIRECT(ADDRESS(2,COLUMN())),OFFSET($BN$2,0,0,ROW()-1,60),ROW()-1,FALSE))</f>
        <v>1994.097</v>
      </c>
      <c r="AB140">
        <f ca="1">IF(AND(ISNUMBER($AB$312),$B$183=1),$AB$312,HLOOKUP(INDIRECT(ADDRESS(2,COLUMN())),OFFSET($BN$2,0,0,ROW()-1,60),ROW()-1,FALSE))</f>
        <v>1860.375</v>
      </c>
      <c r="AC140">
        <f ca="1">IF(AND(ISNUMBER($AC$312),$B$183=1),$AC$312,HLOOKUP(INDIRECT(ADDRESS(2,COLUMN())),OFFSET($BN$2,0,0,ROW()-1,60),ROW()-1,FALSE))</f>
        <v>1740.682</v>
      </c>
      <c r="AD140">
        <f ca="1">IF(AND(ISNUMBER($AD$312),$B$183=1),$AD$312,HLOOKUP(INDIRECT(ADDRESS(2,COLUMN())),OFFSET($BN$2,0,0,ROW()-1,60),ROW()-1,FALSE))</f>
        <v>1722.069</v>
      </c>
      <c r="AE140">
        <f ca="1">IF(AND(ISNUMBER($AE$312),$B$183=1),$AE$312,HLOOKUP(INDIRECT(ADDRESS(2,COLUMN())),OFFSET($BN$2,0,0,ROW()-1,60),ROW()-1,FALSE))</f>
        <v>1470.412</v>
      </c>
      <c r="AF140">
        <f ca="1">IF(AND(ISNUMBER($AF$312),$B$183=1),$AF$312,HLOOKUP(INDIRECT(ADDRESS(2,COLUMN())),OFFSET($BN$2,0,0,ROW()-1,60),ROW()-1,FALSE))</f>
        <v>1457.7059999999999</v>
      </c>
      <c r="AG140">
        <f ca="1">IF(AND(ISNUMBER($AG$312),$B$183=1),$AG$312,HLOOKUP(INDIRECT(ADDRESS(2,COLUMN())),OFFSET($BN$2,0,0,ROW()-1,60),ROW()-1,FALSE))</f>
        <v>1395.634</v>
      </c>
      <c r="AH140">
        <f ca="1">IF(AND(ISNUMBER($AH$312),$B$183=1),$AH$312,HLOOKUP(INDIRECT(ADDRESS(2,COLUMN())),OFFSET($BN$2,0,0,ROW()-1,60),ROW()-1,FALSE))</f>
        <v>1439.5150000000001</v>
      </c>
      <c r="AI140">
        <f ca="1">IF(AND(ISNUMBER($AI$312),$B$183=1),$AI$312,HLOOKUP(INDIRECT(ADDRESS(2,COLUMN())),OFFSET($BN$2,0,0,ROW()-1,60),ROW()-1,FALSE))</f>
        <v>1377.9159999999999</v>
      </c>
      <c r="AJ140">
        <f ca="1">IF(AND(ISNUMBER($AJ$312),$B$183=1),$AJ$312,HLOOKUP(INDIRECT(ADDRESS(2,COLUMN())),OFFSET($BN$2,0,0,ROW()-1,60),ROW()-1,FALSE))</f>
        <v>1766.1510000000001</v>
      </c>
      <c r="AK140">
        <f ca="1">IF(AND(ISNUMBER($AK$312),$B$183=1),$AK$312,HLOOKUP(INDIRECT(ADDRESS(2,COLUMN())),OFFSET($BN$2,0,0,ROW()-1,60),ROW()-1,FALSE))</f>
        <v>2028.441</v>
      </c>
      <c r="AL140">
        <f ca="1">IF(AND(ISNUMBER($AL$312),$B$183=1),$AL$312,HLOOKUP(INDIRECT(ADDRESS(2,COLUMN())),OFFSET($BN$2,0,0,ROW()-1,60),ROW()-1,FALSE))</f>
        <v>1901.0340000000001</v>
      </c>
      <c r="AM140">
        <f ca="1">IF(AND(ISNUMBER($AM$312),$B$183=1),$AM$312,HLOOKUP(INDIRECT(ADDRESS(2,COLUMN())),OFFSET($BN$2,0,0,ROW()-1,60),ROW()-1,FALSE))</f>
        <v>2752.1370000000002</v>
      </c>
      <c r="AN140">
        <f ca="1">IF(AND(ISNUMBER($AN$312),$B$183=1),$AN$312,HLOOKUP(INDIRECT(ADDRESS(2,COLUMN())),OFFSET($BN$2,0,0,ROW()-1,60),ROW()-1,FALSE))</f>
        <v>3034.6469999999999</v>
      </c>
      <c r="AO140">
        <f ca="1">IF(AND(ISNUMBER($AO$312),$B$183=1),$AO$312,HLOOKUP(INDIRECT(ADDRESS(2,COLUMN())),OFFSET($BN$2,0,0,ROW()-1,60),ROW()-1,FALSE))</f>
        <v>4295.8130000000001</v>
      </c>
      <c r="AP140">
        <f ca="1">IF(AND(ISNUMBER($AP$312),$B$183=1),$AP$312,HLOOKUP(INDIRECT(ADDRESS(2,COLUMN())),OFFSET($BN$2,0,0,ROW()-1,60),ROW()-1,FALSE))</f>
        <v>5459.78</v>
      </c>
      <c r="AQ140">
        <f ca="1">IF(AND(ISNUMBER($AQ$312),$B$183=1),$AQ$312,HLOOKUP(INDIRECT(ADDRESS(2,COLUMN())),OFFSET($BN$2,0,0,ROW()-1,60),ROW()-1,FALSE))</f>
        <v>8020.8220000000001</v>
      </c>
      <c r="AR140">
        <f ca="1">IF(AND(ISNUMBER($AR$312),$B$183=1),$AR$312,HLOOKUP(INDIRECT(ADDRESS(2,COLUMN())),OFFSET($BN$2,0,0,ROW()-1,60),ROW()-1,FALSE))</f>
        <v>8965.1149999999998</v>
      </c>
      <c r="AS140">
        <f ca="1">IF(AND(ISNUMBER($AS$312),$B$183=1),$AS$312,HLOOKUP(INDIRECT(ADDRESS(2,COLUMN())),OFFSET($BN$2,0,0,ROW()-1,60),ROW()-1,FALSE))</f>
        <v>9109.0040000000008</v>
      </c>
      <c r="AT140">
        <f ca="1">IF(AND(ISNUMBER($AT$312),$B$183=1),$AT$312,HLOOKUP(INDIRECT(ADDRESS(2,COLUMN())),OFFSET($BN$2,0,0,ROW()-1,60),ROW()-1,FALSE))</f>
        <v>8918.3449999999993</v>
      </c>
      <c r="AU140">
        <f ca="1">IF(AND(ISNUMBER($AU$312),$B$183=1),$AU$312,HLOOKUP(INDIRECT(ADDRESS(2,COLUMN())),OFFSET($BN$2,0,0,ROW()-1,60),ROW()-1,FALSE))</f>
        <v>7529.4179999999997</v>
      </c>
      <c r="AV140">
        <f ca="1">IF(AND(ISNUMBER($AV$312),$B$183=1),$AV$312,HLOOKUP(INDIRECT(ADDRESS(2,COLUMN())),OFFSET($BN$2,0,0,ROW()-1,60),ROW()-1,FALSE))</f>
        <v>6814.6620000000003</v>
      </c>
      <c r="AW140">
        <f ca="1">IF(AND(ISNUMBER($AW$312),$B$183=1),$AW$312,HLOOKUP(INDIRECT(ADDRESS(2,COLUMN())),OFFSET($BN$2,0,0,ROW()-1,60),ROW()-1,FALSE))</f>
        <v>6591.3850000000002</v>
      </c>
      <c r="AX140">
        <f ca="1">IF(AND(ISNUMBER($AX$312),$B$183=1),$AX$312,HLOOKUP(INDIRECT(ADDRESS(2,COLUMN())),OFFSET($BN$2,0,0,ROW()-1,60),ROW()-1,FALSE))</f>
        <v>6008.6540000000005</v>
      </c>
      <c r="AY140">
        <f ca="1">IF(AND(ISNUMBER($AY$312),$B$183=1),$AY$312,HLOOKUP(INDIRECT(ADDRESS(2,COLUMN())),OFFSET($BN$2,0,0,ROW()-1,60),ROW()-1,FALSE))</f>
        <v>5501.5339999999997</v>
      </c>
      <c r="AZ140">
        <f ca="1">IF(AND(ISNUMBER($AZ$312),$B$183=1),$AZ$312,HLOOKUP(INDIRECT(ADDRESS(2,COLUMN())),OFFSET($BN$2,0,0,ROW()-1,60),ROW()-1,FALSE))</f>
        <v>5275.7830000000004</v>
      </c>
      <c r="BA140">
        <f ca="1">IF(AND(ISNUMBER($BA$312),$B$183=1),$BA$312,HLOOKUP(INDIRECT(ADDRESS(2,COLUMN())),OFFSET($BN$2,0,0,ROW()-1,60),ROW()-1,FALSE))</f>
        <v>5013.076</v>
      </c>
      <c r="BB140">
        <f ca="1">IF(AND(ISNUMBER($BB$312),$B$183=1),$BB$312,HLOOKUP(INDIRECT(ADDRESS(2,COLUMN())),OFFSET($BN$2,0,0,ROW()-1,60),ROW()-1,FALSE))</f>
        <v>4747.1959999999999</v>
      </c>
      <c r="BC140">
        <f ca="1">IF(AND(ISNUMBER($BC$312),$B$183=1),$BC$312,HLOOKUP(INDIRECT(ADDRESS(2,COLUMN())),OFFSET($BN$2,0,0,ROW()-1,60),ROW()-1,FALSE))</f>
        <v>4740.951</v>
      </c>
      <c r="BD140">
        <f ca="1">IF(AND(ISNUMBER($BD$312),$B$183=1),$BD$312,HLOOKUP(INDIRECT(ADDRESS(2,COLUMN())),OFFSET($BN$2,0,0,ROW()-1,60),ROW()-1,FALSE))</f>
        <v>4311.692</v>
      </c>
      <c r="BE140">
        <f ca="1">IF(AND(ISNUMBER($BE$312),$B$183=1),$BE$312,HLOOKUP(INDIRECT(ADDRESS(2,COLUMN())),OFFSET($BN$2,0,0,ROW()-1,60),ROW()-1,FALSE))</f>
        <v>3973.9560000000001</v>
      </c>
      <c r="BF140">
        <f ca="1">IF(AND(ISNUMBER($BF$312),$B$183=1),$BF$312,HLOOKUP(INDIRECT(ADDRESS(2,COLUMN())),OFFSET($BN$2,0,0,ROW()-1,60),ROW()-1,FALSE))</f>
        <v>2146.7640000000001</v>
      </c>
      <c r="BG140">
        <f ca="1">IF(AND(ISNUMBER($BG$312),$B$183=1),$BG$312,HLOOKUP(INDIRECT(ADDRESS(2,COLUMN())),OFFSET($BN$2,0,0,ROW()-1,60),ROW()-1,FALSE))</f>
        <v>1807.2260000000001</v>
      </c>
      <c r="BH140">
        <f ca="1">IF(AND(ISNUMBER($BH$312),$B$183=1),$BH$312,HLOOKUP(INDIRECT(ADDRESS(2,COLUMN())),OFFSET($BN$2,0,0,ROW()-1,60),ROW()-1,FALSE))</f>
        <v>1533.8789999999999</v>
      </c>
      <c r="BI140">
        <f ca="1">IF(AND(ISNUMBER($BI$312),$B$183=1),$BI$312,HLOOKUP(INDIRECT(ADDRESS(2,COLUMN())),OFFSET($BN$2,0,0,ROW()-1,60),ROW()-1,FALSE))</f>
        <v>1518.5029999999999</v>
      </c>
      <c r="BJ140">
        <f ca="1">IF(AND(ISNUMBER($BJ$312),$B$183=1),$BJ$312,HLOOKUP(INDIRECT(ADDRESS(2,COLUMN())),OFFSET($BN$2,0,0,ROW()-1,60),ROW()-1,FALSE))</f>
        <v>1241.5239999999999</v>
      </c>
      <c r="BK140">
        <f ca="1">IF(AND(ISNUMBER($BK$312),$B$183=1),$BK$312,HLOOKUP(INDIRECT(ADDRESS(2,COLUMN())),OFFSET($BN$2,0,0,ROW()-1,60),ROW()-1,FALSE))</f>
        <v>811.55399999999997</v>
      </c>
      <c r="BL140">
        <f ca="1">IF(AND(ISNUMBER($BL$312),$B$183=1),$BL$312,HLOOKUP(INDIRECT(ADDRESS(2,COLUMN())),OFFSET($BN$2,0,0,ROW()-1,60),ROW()-1,FALSE))</f>
        <v>711.92</v>
      </c>
      <c r="BM140">
        <f ca="1">IF(AND(ISNUMBER($BM$312),$B$183=1),$BM$312,HLOOKUP(INDIRECT(ADDRESS(2,COLUMN())),OFFSET($BN$2,0,0,ROW()-1,60),ROW()-1,FALSE))</f>
        <v>688.33399999999995</v>
      </c>
      <c r="BN140">
        <f>6557.356</f>
        <v>6557.3559999999998</v>
      </c>
      <c r="BO140">
        <f>6655.097</f>
        <v>6655.0969999999998</v>
      </c>
      <c r="BP140">
        <f>6686.662</f>
        <v>6686.6620000000003</v>
      </c>
      <c r="BQ140">
        <f>6306.386</f>
        <v>6306.3860000000004</v>
      </c>
      <c r="BR140">
        <f>6225.602</f>
        <v>6225.6019999999999</v>
      </c>
      <c r="BS140">
        <f>6107.546</f>
        <v>6107.5460000000003</v>
      </c>
      <c r="BT140">
        <f>5939.698</f>
        <v>5939.6980000000003</v>
      </c>
      <c r="BU140">
        <f>6456.605</f>
        <v>6456.6049999999996</v>
      </c>
      <c r="BV140">
        <f>6732.719</f>
        <v>6732.7190000000001</v>
      </c>
      <c r="BW140">
        <f>6427.373</f>
        <v>6427.3729999999996</v>
      </c>
      <c r="BX140">
        <f>6096.619</f>
        <v>6096.6189999999997</v>
      </c>
      <c r="BY140">
        <f>5313.116</f>
        <v>5313.116</v>
      </c>
      <c r="BZ140">
        <f>5561.766</f>
        <v>5561.7659999999996</v>
      </c>
      <c r="CA140">
        <f>5283.969</f>
        <v>5283.9690000000001</v>
      </c>
      <c r="CB140">
        <f>4049.527</f>
        <v>4049.527</v>
      </c>
      <c r="CC140">
        <f>3765.336</f>
        <v>3765.3359999999998</v>
      </c>
      <c r="CD140">
        <f>3380.65</f>
        <v>3380.65</v>
      </c>
      <c r="CE140">
        <f>2952.922</f>
        <v>2952.922</v>
      </c>
      <c r="CF140">
        <f>3117.443</f>
        <v>3117.4430000000002</v>
      </c>
      <c r="CG140">
        <f>3013.177</f>
        <v>3013.1770000000001</v>
      </c>
      <c r="CH140">
        <f>2725.95</f>
        <v>2725.95</v>
      </c>
      <c r="CI140">
        <f>1994.097</f>
        <v>1994.097</v>
      </c>
      <c r="CJ140">
        <f>1860.375</f>
        <v>1860.375</v>
      </c>
      <c r="CK140">
        <f>1740.682</f>
        <v>1740.682</v>
      </c>
      <c r="CL140">
        <f>1722.069</f>
        <v>1722.069</v>
      </c>
      <c r="CM140">
        <f>1470.412</f>
        <v>1470.412</v>
      </c>
      <c r="CN140">
        <f>1457.706</f>
        <v>1457.7059999999999</v>
      </c>
      <c r="CO140">
        <f>1395.634</f>
        <v>1395.634</v>
      </c>
      <c r="CP140">
        <f>1439.515</f>
        <v>1439.5150000000001</v>
      </c>
      <c r="CQ140">
        <f>1377.916</f>
        <v>1377.9159999999999</v>
      </c>
      <c r="CR140">
        <f>1766.151</f>
        <v>1766.1510000000001</v>
      </c>
      <c r="CS140">
        <f>2028.441</f>
        <v>2028.441</v>
      </c>
      <c r="CT140">
        <f>1901.034</f>
        <v>1901.0340000000001</v>
      </c>
      <c r="CU140">
        <f>2752.137</f>
        <v>2752.1370000000002</v>
      </c>
      <c r="CV140">
        <f>3034.647</f>
        <v>3034.6469999999999</v>
      </c>
      <c r="CW140">
        <f>4295.813</f>
        <v>4295.8130000000001</v>
      </c>
      <c r="CX140">
        <f>5459.78</f>
        <v>5459.78</v>
      </c>
      <c r="CY140">
        <f>8020.822</f>
        <v>8020.8220000000001</v>
      </c>
      <c r="CZ140">
        <f>8965.115</f>
        <v>8965.1149999999998</v>
      </c>
      <c r="DA140">
        <f>9109.004</f>
        <v>9109.0040000000008</v>
      </c>
      <c r="DB140">
        <f>8918.345</f>
        <v>8918.3449999999993</v>
      </c>
      <c r="DC140">
        <f>7529.418</f>
        <v>7529.4179999999997</v>
      </c>
      <c r="DD140">
        <f>6814.662</f>
        <v>6814.6620000000003</v>
      </c>
      <c r="DE140">
        <f>6591.385</f>
        <v>6591.3850000000002</v>
      </c>
      <c r="DF140">
        <f>6008.654</f>
        <v>6008.6540000000005</v>
      </c>
      <c r="DG140">
        <f>5501.534</f>
        <v>5501.5339999999997</v>
      </c>
      <c r="DH140">
        <f>5275.783</f>
        <v>5275.7830000000004</v>
      </c>
      <c r="DI140">
        <f>5013.076</f>
        <v>5013.076</v>
      </c>
      <c r="DJ140">
        <f>4747.196</f>
        <v>4747.1959999999999</v>
      </c>
      <c r="DK140">
        <f>4740.951</f>
        <v>4740.951</v>
      </c>
      <c r="DL140">
        <f>4311.692</f>
        <v>4311.692</v>
      </c>
      <c r="DM140">
        <f>3973.956</f>
        <v>3973.9560000000001</v>
      </c>
      <c r="DN140">
        <f>2146.764</f>
        <v>2146.7640000000001</v>
      </c>
      <c r="DO140">
        <f>1807.226</f>
        <v>1807.2260000000001</v>
      </c>
      <c r="DP140">
        <f>1533.879</f>
        <v>1533.8789999999999</v>
      </c>
      <c r="DQ140">
        <f>1518.503</f>
        <v>1518.5029999999999</v>
      </c>
      <c r="DR140">
        <f>1241.524</f>
        <v>1241.5239999999999</v>
      </c>
      <c r="DS140">
        <f>811.554</f>
        <v>811.55399999999997</v>
      </c>
      <c r="DT140">
        <f>711.92</f>
        <v>711.92</v>
      </c>
      <c r="DU140">
        <f>688.334</f>
        <v>688.33399999999995</v>
      </c>
    </row>
    <row r="141" spans="1:125">
      <c r="A141" t="str">
        <f>"    Total Retail REITs"</f>
        <v xml:space="preserve">    Total Retail REITs</v>
      </c>
      <c r="B141" t="str">
        <f>"RECFDVRT Index"</f>
        <v>RECFDVRT Index</v>
      </c>
      <c r="C141" t="str">
        <f t="shared" si="30"/>
        <v>PR005</v>
      </c>
      <c r="D141" t="str">
        <f t="shared" si="31"/>
        <v>PX_LAST</v>
      </c>
      <c r="E141" t="str">
        <f t="shared" si="32"/>
        <v>动态</v>
      </c>
      <c r="F141">
        <f ca="1">IF(AND(ISNUMBER($F$313),$B$183=1),$F$313,HLOOKUP(INDIRECT(ADDRESS(2,COLUMN())),OFFSET($BN$2,0,0,ROW()-1,60),ROW()-1,FALSE))</f>
        <v>3122.0259999999998</v>
      </c>
      <c r="G141">
        <f ca="1">IF(AND(ISNUMBER($G$313),$B$183=1),$G$313,HLOOKUP(INDIRECT(ADDRESS(2,COLUMN())),OFFSET($BN$2,0,0,ROW()-1,60),ROW()-1,FALSE))</f>
        <v>3223.982</v>
      </c>
      <c r="H141">
        <f ca="1">IF(AND(ISNUMBER($H$313),$B$183=1),$H$313,HLOOKUP(INDIRECT(ADDRESS(2,COLUMN())),OFFSET($BN$2,0,0,ROW()-1,60),ROW()-1,FALSE))</f>
        <v>3509.5770000000002</v>
      </c>
      <c r="I141">
        <f ca="1">IF(AND(ISNUMBER($I$313),$B$183=1),$I$313,HLOOKUP(INDIRECT(ADDRESS(2,COLUMN())),OFFSET($BN$2,0,0,ROW()-1,60),ROW()-1,FALSE))</f>
        <v>4139.1080000000002</v>
      </c>
      <c r="J141">
        <f ca="1">IF(AND(ISNUMBER($J$313),$B$183=1),$J$313,HLOOKUP(INDIRECT(ADDRESS(2,COLUMN())),OFFSET($BN$2,0,0,ROW()-1,60),ROW()-1,FALSE))</f>
        <v>4191.7759999999998</v>
      </c>
      <c r="K141">
        <f ca="1">IF(AND(ISNUMBER($K$313),$B$183=1),$K$313,HLOOKUP(INDIRECT(ADDRESS(2,COLUMN())),OFFSET($BN$2,0,0,ROW()-1,60),ROW()-1,FALSE))</f>
        <v>4447.4520000000002</v>
      </c>
      <c r="L141">
        <f ca="1">IF(AND(ISNUMBER($L$313),$B$183=1),$L$313,HLOOKUP(INDIRECT(ADDRESS(2,COLUMN())),OFFSET($BN$2,0,0,ROW()-1,60),ROW()-1,FALSE))</f>
        <v>5759.125</v>
      </c>
      <c r="M141">
        <f ca="1">IF(AND(ISNUMBER($M$313),$B$183=1),$M$313,HLOOKUP(INDIRECT(ADDRESS(2,COLUMN())),OFFSET($BN$2,0,0,ROW()-1,60),ROW()-1,FALSE))</f>
        <v>6350.79</v>
      </c>
      <c r="N141">
        <f ca="1">IF(AND(ISNUMBER($N$313),$B$183=1),$N$313,HLOOKUP(INDIRECT(ADDRESS(2,COLUMN())),OFFSET($BN$2,0,0,ROW()-1,60),ROW()-1,FALSE))</f>
        <v>6624.8280000000004</v>
      </c>
      <c r="O141">
        <f ca="1">IF(AND(ISNUMBER($O$313),$B$183=1),$O$313,HLOOKUP(INDIRECT(ADDRESS(2,COLUMN())),OFFSET($BN$2,0,0,ROW()-1,60),ROW()-1,FALSE))</f>
        <v>6538.5290000000005</v>
      </c>
      <c r="P141">
        <f ca="1">IF(AND(ISNUMBER($P$313),$B$183=1),$P$313,HLOOKUP(INDIRECT(ADDRESS(2,COLUMN())),OFFSET($BN$2,0,0,ROW()-1,60),ROW()-1,FALSE))</f>
        <v>6607.8580000000002</v>
      </c>
      <c r="Q141">
        <f ca="1">IF(AND(ISNUMBER($Q$313),$B$183=1),$Q$313,HLOOKUP(INDIRECT(ADDRESS(2,COLUMN())),OFFSET($BN$2,0,0,ROW()-1,60),ROW()-1,FALSE))</f>
        <v>6519.4290000000001</v>
      </c>
      <c r="R141">
        <f ca="1">IF(AND(ISNUMBER($R$313),$B$183=1),$R$313,HLOOKUP(INDIRECT(ADDRESS(2,COLUMN())),OFFSET($BN$2,0,0,ROW()-1,60),ROW()-1,FALSE))</f>
        <v>6777.1769999999997</v>
      </c>
      <c r="S141">
        <f ca="1">IF(AND(ISNUMBER($S$313),$B$183=1),$S$313,HLOOKUP(INDIRECT(ADDRESS(2,COLUMN())),OFFSET($BN$2,0,0,ROW()-1,60),ROW()-1,FALSE))</f>
        <v>7010.2960000000003</v>
      </c>
      <c r="T141">
        <f ca="1">IF(AND(ISNUMBER($T$313),$B$183=1),$T$313,HLOOKUP(INDIRECT(ADDRESS(2,COLUMN())),OFFSET($BN$2,0,0,ROW()-1,60),ROW()-1,FALSE))</f>
        <v>6741.5919999999996</v>
      </c>
      <c r="U141">
        <f ca="1">IF(AND(ISNUMBER($U$313),$B$183=1),$U$313,HLOOKUP(INDIRECT(ADDRESS(2,COLUMN())),OFFSET($BN$2,0,0,ROW()-1,60),ROW()-1,FALSE))</f>
        <v>6020.4530000000004</v>
      </c>
      <c r="V141">
        <f ca="1">IF(AND(ISNUMBER($V$313),$B$183=1),$V$313,HLOOKUP(INDIRECT(ADDRESS(2,COLUMN())),OFFSET($BN$2,0,0,ROW()-1,60),ROW()-1,FALSE))</f>
        <v>6297.5789999999997</v>
      </c>
      <c r="W141">
        <f ca="1">IF(AND(ISNUMBER($W$313),$B$183=1),$W$313,HLOOKUP(INDIRECT(ADDRESS(2,COLUMN())),OFFSET($BN$2,0,0,ROW()-1,60),ROW()-1,FALSE))</f>
        <v>6187.9620000000004</v>
      </c>
      <c r="X141">
        <f ca="1">IF(AND(ISNUMBER($X$313),$B$183=1),$X$313,HLOOKUP(INDIRECT(ADDRESS(2,COLUMN())),OFFSET($BN$2,0,0,ROW()-1,60),ROW()-1,FALSE))</f>
        <v>4543.1189999999997</v>
      </c>
      <c r="Y141">
        <f ca="1">IF(AND(ISNUMBER($Y$313),$B$183=1),$Y$313,HLOOKUP(INDIRECT(ADDRESS(2,COLUMN())),OFFSET($BN$2,0,0,ROW()-1,60),ROW()-1,FALSE))</f>
        <v>4499.8249999999998</v>
      </c>
      <c r="Z141">
        <f ca="1">IF(AND(ISNUMBER($Z$313),$B$183=1),$Z$313,HLOOKUP(INDIRECT(ADDRESS(2,COLUMN())),OFFSET($BN$2,0,0,ROW()-1,60),ROW()-1,FALSE))</f>
        <v>4026.6819999999998</v>
      </c>
      <c r="AA141">
        <f ca="1">IF(AND(ISNUMBER($AA$313),$B$183=1),$AA$313,HLOOKUP(INDIRECT(ADDRESS(2,COLUMN())),OFFSET($BN$2,0,0,ROW()-1,60),ROW()-1,FALSE))</f>
        <v>4391.9120000000003</v>
      </c>
      <c r="AB141">
        <f ca="1">IF(AND(ISNUMBER($AB$313),$B$183=1),$AB$313,HLOOKUP(INDIRECT(ADDRESS(2,COLUMN())),OFFSET($BN$2,0,0,ROW()-1,60),ROW()-1,FALSE))</f>
        <v>4009.288</v>
      </c>
      <c r="AC141">
        <f ca="1">IF(AND(ISNUMBER($AC$313),$B$183=1),$AC$313,HLOOKUP(INDIRECT(ADDRESS(2,COLUMN())),OFFSET($BN$2,0,0,ROW()-1,60),ROW()-1,FALSE))</f>
        <v>3892.3910000000001</v>
      </c>
      <c r="AD141">
        <f ca="1">IF(AND(ISNUMBER($AD$313),$B$183=1),$AD$313,HLOOKUP(INDIRECT(ADDRESS(2,COLUMN())),OFFSET($BN$2,0,0,ROW()-1,60),ROW()-1,FALSE))</f>
        <v>3291.9079999999999</v>
      </c>
      <c r="AE141">
        <f ca="1">IF(AND(ISNUMBER($AE$313),$B$183=1),$AE$313,HLOOKUP(INDIRECT(ADDRESS(2,COLUMN())),OFFSET($BN$2,0,0,ROW()-1,60),ROW()-1,FALSE))</f>
        <v>3027.627</v>
      </c>
      <c r="AF141">
        <f ca="1">IF(AND(ISNUMBER($AF$313),$B$183=1),$AF$313,HLOOKUP(INDIRECT(ADDRESS(2,COLUMN())),OFFSET($BN$2,0,0,ROW()-1,60),ROW()-1,FALSE))</f>
        <v>2798.7959999999998</v>
      </c>
      <c r="AG141">
        <f ca="1">IF(AND(ISNUMBER($AG$313),$B$183=1),$AG$313,HLOOKUP(INDIRECT(ADDRESS(2,COLUMN())),OFFSET($BN$2,0,0,ROW()-1,60),ROW()-1,FALSE))</f>
        <v>2629.7759999999998</v>
      </c>
      <c r="AH141">
        <f ca="1">IF(AND(ISNUMBER($AH$313),$B$183=1),$AH$313,HLOOKUP(INDIRECT(ADDRESS(2,COLUMN())),OFFSET($BN$2,0,0,ROW()-1,60),ROW()-1,FALSE))</f>
        <v>2630.3440000000001</v>
      </c>
      <c r="AI141">
        <f ca="1">IF(AND(ISNUMBER($AI$313),$B$183=1),$AI$313,HLOOKUP(INDIRECT(ADDRESS(2,COLUMN())),OFFSET($BN$2,0,0,ROW()-1,60),ROW()-1,FALSE))</f>
        <v>2985.9119999999998</v>
      </c>
      <c r="AJ141">
        <f ca="1">IF(AND(ISNUMBER($AJ$313),$B$183=1),$AJ$313,HLOOKUP(INDIRECT(ADDRESS(2,COLUMN())),OFFSET($BN$2,0,0,ROW()-1,60),ROW()-1,FALSE))</f>
        <v>2719.06</v>
      </c>
      <c r="AK141">
        <f ca="1">IF(AND(ISNUMBER($AK$313),$B$183=1),$AK$313,HLOOKUP(INDIRECT(ADDRESS(2,COLUMN())),OFFSET($BN$2,0,0,ROW()-1,60),ROW()-1,FALSE))</f>
        <v>2805.7820000000002</v>
      </c>
      <c r="AL141">
        <f ca="1">IF(AND(ISNUMBER($AL$313),$B$183=1),$AL$313,HLOOKUP(INDIRECT(ADDRESS(2,COLUMN())),OFFSET($BN$2,0,0,ROW()-1,60),ROW()-1,FALSE))</f>
        <v>4016.3330000000001</v>
      </c>
      <c r="AM141">
        <f ca="1">IF(AND(ISNUMBER($AM$313),$B$183=1),$AM$313,HLOOKUP(INDIRECT(ADDRESS(2,COLUMN())),OFFSET($BN$2,0,0,ROW()-1,60),ROW()-1,FALSE))</f>
        <v>5266.4629999999997</v>
      </c>
      <c r="AN141">
        <f ca="1">IF(AND(ISNUMBER($AN$313),$B$183=1),$AN$313,HLOOKUP(INDIRECT(ADDRESS(2,COLUMN())),OFFSET($BN$2,0,0,ROW()-1,60),ROW()-1,FALSE))</f>
        <v>6576.8469999999998</v>
      </c>
      <c r="AO141">
        <f ca="1">IF(AND(ISNUMBER($AO$313),$B$183=1),$AO$313,HLOOKUP(INDIRECT(ADDRESS(2,COLUMN())),OFFSET($BN$2,0,0,ROW()-1,60),ROW()-1,FALSE))</f>
        <v>6900.8680000000004</v>
      </c>
      <c r="AP141">
        <f ca="1">IF(AND(ISNUMBER($AP$313),$B$183=1),$AP$313,HLOOKUP(INDIRECT(ADDRESS(2,COLUMN())),OFFSET($BN$2,0,0,ROW()-1,60),ROW()-1,FALSE))</f>
        <v>7651.8010000000004</v>
      </c>
      <c r="AQ141">
        <f ca="1">IF(AND(ISNUMBER($AQ$313),$B$183=1),$AQ$313,HLOOKUP(INDIRECT(ADDRESS(2,COLUMN())),OFFSET($BN$2,0,0,ROW()-1,60),ROW()-1,FALSE))</f>
        <v>8281.9259999999995</v>
      </c>
      <c r="AR141">
        <f ca="1">IF(AND(ISNUMBER($AR$313),$B$183=1),$AR$313,HLOOKUP(INDIRECT(ADDRESS(2,COLUMN())),OFFSET($BN$2,0,0,ROW()-1,60),ROW()-1,FALSE))</f>
        <v>11156.143</v>
      </c>
      <c r="AS141">
        <f ca="1">IF(AND(ISNUMBER($AS$313),$B$183=1),$AS$313,HLOOKUP(INDIRECT(ADDRESS(2,COLUMN())),OFFSET($BN$2,0,0,ROW()-1,60),ROW()-1,FALSE))</f>
        <v>9705.8690000000006</v>
      </c>
      <c r="AT141">
        <f ca="1">IF(AND(ISNUMBER($AT$313),$B$183=1),$AT$313,HLOOKUP(INDIRECT(ADDRESS(2,COLUMN())),OFFSET($BN$2,0,0,ROW()-1,60),ROW()-1,FALSE))</f>
        <v>10624.098</v>
      </c>
      <c r="AU141">
        <f ca="1">IF(AND(ISNUMBER($AU$313),$B$183=1),$AU$313,HLOOKUP(INDIRECT(ADDRESS(2,COLUMN())),OFFSET($BN$2,0,0,ROW()-1,60),ROW()-1,FALSE))</f>
        <v>11400.891</v>
      </c>
      <c r="AV141">
        <f ca="1">IF(AND(ISNUMBER($AV$313),$B$183=1),$AV$313,HLOOKUP(INDIRECT(ADDRESS(2,COLUMN())),OFFSET($BN$2,0,0,ROW()-1,60),ROW()-1,FALSE))</f>
        <v>10819.849</v>
      </c>
      <c r="AW141">
        <f ca="1">IF(AND(ISNUMBER($AW$313),$B$183=1),$AW$313,HLOOKUP(INDIRECT(ADDRESS(2,COLUMN())),OFFSET($BN$2,0,0,ROW()-1,60),ROW()-1,FALSE))</f>
        <v>8834.0689999999995</v>
      </c>
      <c r="AX141">
        <f ca="1">IF(AND(ISNUMBER($AX$313),$B$183=1),$AX$313,HLOOKUP(INDIRECT(ADDRESS(2,COLUMN())),OFFSET($BN$2,0,0,ROW()-1,60),ROW()-1,FALSE))</f>
        <v>8564.7029999999995</v>
      </c>
      <c r="AY141">
        <f ca="1">IF(AND(ISNUMBER($AY$313),$B$183=1),$AY$313,HLOOKUP(INDIRECT(ADDRESS(2,COLUMN())),OFFSET($BN$2,0,0,ROW()-1,60),ROW()-1,FALSE))</f>
        <v>8034.9279999999999</v>
      </c>
      <c r="AZ141">
        <f ca="1">IF(AND(ISNUMBER($AZ$313),$B$183=1),$AZ$313,HLOOKUP(INDIRECT(ADDRESS(2,COLUMN())),OFFSET($BN$2,0,0,ROW()-1,60),ROW()-1,FALSE))</f>
        <v>6495.43</v>
      </c>
      <c r="BA141">
        <f ca="1">IF(AND(ISNUMBER($BA$313),$B$183=1),$BA$313,HLOOKUP(INDIRECT(ADDRESS(2,COLUMN())),OFFSET($BN$2,0,0,ROW()-1,60),ROW()-1,FALSE))</f>
        <v>6713.1779999999999</v>
      </c>
      <c r="BB141">
        <f ca="1">IF(AND(ISNUMBER($BB$313),$B$183=1),$BB$313,HLOOKUP(INDIRECT(ADDRESS(2,COLUMN())),OFFSET($BN$2,0,0,ROW()-1,60),ROW()-1,FALSE))</f>
        <v>6119.4660000000003</v>
      </c>
      <c r="BC141">
        <f ca="1">IF(AND(ISNUMBER($BC$313),$B$183=1),$BC$313,HLOOKUP(INDIRECT(ADDRESS(2,COLUMN())),OFFSET($BN$2,0,0,ROW()-1,60),ROW()-1,FALSE))</f>
        <v>4967.2299999999996</v>
      </c>
      <c r="BD141">
        <f ca="1">IF(AND(ISNUMBER($BD$313),$B$183=1),$BD$313,HLOOKUP(INDIRECT(ADDRESS(2,COLUMN())),OFFSET($BN$2,0,0,ROW()-1,60),ROW()-1,FALSE))</f>
        <v>3665.6909999999998</v>
      </c>
      <c r="BE141">
        <f ca="1">IF(AND(ISNUMBER($BE$313),$B$183=1),$BE$313,HLOOKUP(INDIRECT(ADDRESS(2,COLUMN())),OFFSET($BN$2,0,0,ROW()-1,60),ROW()-1,FALSE))</f>
        <v>3424.4789999999998</v>
      </c>
      <c r="BF141">
        <f ca="1">IF(AND(ISNUMBER($BF$313),$B$183=1),$BF$313,HLOOKUP(INDIRECT(ADDRESS(2,COLUMN())),OFFSET($BN$2,0,0,ROW()-1,60),ROW()-1,FALSE))</f>
        <v>4131.9589999999998</v>
      </c>
      <c r="BG141">
        <f ca="1">IF(AND(ISNUMBER($BG$313),$B$183=1),$BG$313,HLOOKUP(INDIRECT(ADDRESS(2,COLUMN())),OFFSET($BN$2,0,0,ROW()-1,60),ROW()-1,FALSE))</f>
        <v>3847.2730000000001</v>
      </c>
      <c r="BH141">
        <f ca="1">IF(AND(ISNUMBER($BH$313),$B$183=1),$BH$313,HLOOKUP(INDIRECT(ADDRESS(2,COLUMN())),OFFSET($BN$2,0,0,ROW()-1,60),ROW()-1,FALSE))</f>
        <v>3843.6320000000001</v>
      </c>
      <c r="BI141">
        <f ca="1">IF(AND(ISNUMBER($BI$313),$B$183=1),$BI$313,HLOOKUP(INDIRECT(ADDRESS(2,COLUMN())),OFFSET($BN$2,0,0,ROW()-1,60),ROW()-1,FALSE))</f>
        <v>3570.3180000000002</v>
      </c>
      <c r="BJ141">
        <f ca="1">IF(AND(ISNUMBER($BJ$313),$B$183=1),$BJ$313,HLOOKUP(INDIRECT(ADDRESS(2,COLUMN())),OFFSET($BN$2,0,0,ROW()-1,60),ROW()-1,FALSE))</f>
        <v>3107.0079999999998</v>
      </c>
      <c r="BK141">
        <f ca="1">IF(AND(ISNUMBER($BK$313),$B$183=1),$BK$313,HLOOKUP(INDIRECT(ADDRESS(2,COLUMN())),OFFSET($BN$2,0,0,ROW()-1,60),ROW()-1,FALSE))</f>
        <v>1323.9514999999999</v>
      </c>
      <c r="BL141">
        <f ca="1">IF(AND(ISNUMBER($BL$313),$B$183=1),$BL$313,HLOOKUP(INDIRECT(ADDRESS(2,COLUMN())),OFFSET($BN$2,0,0,ROW()-1,60),ROW()-1,FALSE))</f>
        <v>750.14300000000003</v>
      </c>
      <c r="BM141">
        <f ca="1">IF(AND(ISNUMBER($BM$313),$B$183=1),$BM$313,HLOOKUP(INDIRECT(ADDRESS(2,COLUMN())),OFFSET($BN$2,0,0,ROW()-1,60),ROW()-1,FALSE))</f>
        <v>734.51099999999997</v>
      </c>
      <c r="BN141">
        <f>3122.026</f>
        <v>3122.0259999999998</v>
      </c>
      <c r="BO141">
        <f>3223.982</f>
        <v>3223.982</v>
      </c>
      <c r="BP141">
        <f>3509.577</f>
        <v>3509.5770000000002</v>
      </c>
      <c r="BQ141">
        <f>4139.108</f>
        <v>4139.1080000000002</v>
      </c>
      <c r="BR141">
        <f>4191.776</f>
        <v>4191.7759999999998</v>
      </c>
      <c r="BS141">
        <f>4447.452</f>
        <v>4447.4520000000002</v>
      </c>
      <c r="BT141">
        <f>5759.125</f>
        <v>5759.125</v>
      </c>
      <c r="BU141">
        <f>6350.79</f>
        <v>6350.79</v>
      </c>
      <c r="BV141">
        <f>6624.828</f>
        <v>6624.8280000000004</v>
      </c>
      <c r="BW141">
        <f>6538.529</f>
        <v>6538.5290000000005</v>
      </c>
      <c r="BX141">
        <f>6607.858</f>
        <v>6607.8580000000002</v>
      </c>
      <c r="BY141">
        <f>6519.429</f>
        <v>6519.4290000000001</v>
      </c>
      <c r="BZ141">
        <f>6777.177</f>
        <v>6777.1769999999997</v>
      </c>
      <c r="CA141">
        <f>7010.296</f>
        <v>7010.2960000000003</v>
      </c>
      <c r="CB141">
        <f>6741.592</f>
        <v>6741.5919999999996</v>
      </c>
      <c r="CC141">
        <f>6020.453</f>
        <v>6020.4530000000004</v>
      </c>
      <c r="CD141">
        <f>6297.579</f>
        <v>6297.5789999999997</v>
      </c>
      <c r="CE141">
        <f>6187.962</f>
        <v>6187.9620000000004</v>
      </c>
      <c r="CF141">
        <f>4543.119</f>
        <v>4543.1189999999997</v>
      </c>
      <c r="CG141">
        <f>4499.825</f>
        <v>4499.8249999999998</v>
      </c>
      <c r="CH141">
        <f>4026.682</f>
        <v>4026.6819999999998</v>
      </c>
      <c r="CI141">
        <f>4391.912</f>
        <v>4391.9120000000003</v>
      </c>
      <c r="CJ141">
        <f>4009.288</f>
        <v>4009.288</v>
      </c>
      <c r="CK141">
        <f>3892.391</f>
        <v>3892.3910000000001</v>
      </c>
      <c r="CL141">
        <f>3291.908</f>
        <v>3291.9079999999999</v>
      </c>
      <c r="CM141">
        <f>3027.627</f>
        <v>3027.627</v>
      </c>
      <c r="CN141">
        <f>2798.796</f>
        <v>2798.7959999999998</v>
      </c>
      <c r="CO141">
        <f>2629.776</f>
        <v>2629.7759999999998</v>
      </c>
      <c r="CP141">
        <f>2630.344</f>
        <v>2630.3440000000001</v>
      </c>
      <c r="CQ141">
        <f>2985.912</f>
        <v>2985.9119999999998</v>
      </c>
      <c r="CR141">
        <f>2719.06</f>
        <v>2719.06</v>
      </c>
      <c r="CS141">
        <f>2805.782</f>
        <v>2805.7820000000002</v>
      </c>
      <c r="CT141">
        <f>4016.333</f>
        <v>4016.3330000000001</v>
      </c>
      <c r="CU141">
        <f>5266.463</f>
        <v>5266.4629999999997</v>
      </c>
      <c r="CV141">
        <f>6576.847</f>
        <v>6576.8469999999998</v>
      </c>
      <c r="CW141">
        <f>6900.868</f>
        <v>6900.8680000000004</v>
      </c>
      <c r="CX141">
        <f>7651.801</f>
        <v>7651.8010000000004</v>
      </c>
      <c r="CY141">
        <f>8281.926</f>
        <v>8281.9259999999995</v>
      </c>
      <c r="CZ141">
        <f>11156.143</f>
        <v>11156.143</v>
      </c>
      <c r="DA141">
        <f>9705.869</f>
        <v>9705.8690000000006</v>
      </c>
      <c r="DB141">
        <f>10624.098</f>
        <v>10624.098</v>
      </c>
      <c r="DC141">
        <f>11400.891</f>
        <v>11400.891</v>
      </c>
      <c r="DD141">
        <f>10819.849</f>
        <v>10819.849</v>
      </c>
      <c r="DE141">
        <f>8834.069</f>
        <v>8834.0689999999995</v>
      </c>
      <c r="DF141">
        <f>8564.703</f>
        <v>8564.7029999999995</v>
      </c>
      <c r="DG141">
        <f>8034.928</f>
        <v>8034.9279999999999</v>
      </c>
      <c r="DH141">
        <f>6495.43</f>
        <v>6495.43</v>
      </c>
      <c r="DI141">
        <f>6713.178</f>
        <v>6713.1779999999999</v>
      </c>
      <c r="DJ141">
        <f>6119.466</f>
        <v>6119.4660000000003</v>
      </c>
      <c r="DK141">
        <f>4967.23</f>
        <v>4967.2299999999996</v>
      </c>
      <c r="DL141">
        <f>3665.691</f>
        <v>3665.6909999999998</v>
      </c>
      <c r="DM141">
        <f>3424.479</f>
        <v>3424.4789999999998</v>
      </c>
      <c r="DN141">
        <f>4131.959</f>
        <v>4131.9589999999998</v>
      </c>
      <c r="DO141">
        <f>3847.273</f>
        <v>3847.2730000000001</v>
      </c>
      <c r="DP141">
        <f>3843.632</f>
        <v>3843.6320000000001</v>
      </c>
      <c r="DQ141">
        <f>3570.318</f>
        <v>3570.3180000000002</v>
      </c>
      <c r="DR141">
        <f>3107.008</f>
        <v>3107.0079999999998</v>
      </c>
      <c r="DS141">
        <f>1323.9515</f>
        <v>1323.9514999999999</v>
      </c>
      <c r="DT141">
        <f>750.143</f>
        <v>750.14300000000003</v>
      </c>
      <c r="DU141">
        <f>734.511</f>
        <v>734.51099999999997</v>
      </c>
    </row>
    <row r="142" spans="1:125">
      <c r="A142" t="str">
        <f>"    Total Residential REITs"</f>
        <v xml:space="preserve">    Total Residential REITs</v>
      </c>
      <c r="B142" t="str">
        <f>"RECFDVRS Index"</f>
        <v>RECFDVRS Index</v>
      </c>
      <c r="C142" t="str">
        <f t="shared" si="30"/>
        <v>PR005</v>
      </c>
      <c r="D142" t="str">
        <f t="shared" si="31"/>
        <v>PX_LAST</v>
      </c>
      <c r="E142" t="str">
        <f t="shared" si="32"/>
        <v>动态</v>
      </c>
      <c r="F142">
        <f ca="1">IF(AND(ISNUMBER($F$314),$B$183=1),$F$314,HLOOKUP(INDIRECT(ADDRESS(2,COLUMN())),OFFSET($BN$2,0,0,ROW()-1,60),ROW()-1,FALSE))</f>
        <v>9201.7170000000006</v>
      </c>
      <c r="G142">
        <f ca="1">IF(AND(ISNUMBER($G$314),$B$183=1),$G$314,HLOOKUP(INDIRECT(ADDRESS(2,COLUMN())),OFFSET($BN$2,0,0,ROW()-1,60),ROW()-1,FALSE))</f>
        <v>9315.2880000000005</v>
      </c>
      <c r="H142">
        <f ca="1">IF(AND(ISNUMBER($H$314),$B$183=1),$H$314,HLOOKUP(INDIRECT(ADDRESS(2,COLUMN())),OFFSET($BN$2,0,0,ROW()-1,60),ROW()-1,FALSE))</f>
        <v>10603.96</v>
      </c>
      <c r="I142">
        <f ca="1">IF(AND(ISNUMBER($I$314),$B$183=1),$I$314,HLOOKUP(INDIRECT(ADDRESS(2,COLUMN())),OFFSET($BN$2,0,0,ROW()-1,60),ROW()-1,FALSE))</f>
        <v>10791.998</v>
      </c>
      <c r="J142">
        <f ca="1">IF(AND(ISNUMBER($J$314),$B$183=1),$J$314,HLOOKUP(INDIRECT(ADDRESS(2,COLUMN())),OFFSET($BN$2,0,0,ROW()-1,60),ROW()-1,FALSE))</f>
        <v>11402.929</v>
      </c>
      <c r="K142">
        <f ca="1">IF(AND(ISNUMBER($K$314),$B$183=1),$K$314,HLOOKUP(INDIRECT(ADDRESS(2,COLUMN())),OFFSET($BN$2,0,0,ROW()-1,60),ROW()-1,FALSE))</f>
        <v>9632.6720000000005</v>
      </c>
      <c r="L142">
        <f ca="1">IF(AND(ISNUMBER($L$314),$B$183=1),$L$314,HLOOKUP(INDIRECT(ADDRESS(2,COLUMN())),OFFSET($BN$2,0,0,ROW()-1,60),ROW()-1,FALSE))</f>
        <v>9983.1170000000002</v>
      </c>
      <c r="M142">
        <f ca="1">IF(AND(ISNUMBER($M$314),$B$183=1),$M$314,HLOOKUP(INDIRECT(ADDRESS(2,COLUMN())),OFFSET($BN$2,0,0,ROW()-1,60),ROW()-1,FALSE))</f>
        <v>10913.353999999999</v>
      </c>
      <c r="N142">
        <f ca="1">IF(AND(ISNUMBER($N$314),$B$183=1),$N$314,HLOOKUP(INDIRECT(ADDRESS(2,COLUMN())),OFFSET($BN$2,0,0,ROW()-1,60),ROW()-1,FALSE))</f>
        <v>10789.512000000001</v>
      </c>
      <c r="O142">
        <f ca="1">IF(AND(ISNUMBER($O$314),$B$183=1),$O$314,HLOOKUP(INDIRECT(ADDRESS(2,COLUMN())),OFFSET($BN$2,0,0,ROW()-1,60),ROW()-1,FALSE))</f>
        <v>11447.496999999999</v>
      </c>
      <c r="P142">
        <f ca="1">IF(AND(ISNUMBER($P$314),$B$183=1),$P$314,HLOOKUP(INDIRECT(ADDRESS(2,COLUMN())),OFFSET($BN$2,0,0,ROW()-1,60),ROW()-1,FALSE))</f>
        <v>12931.945</v>
      </c>
      <c r="Q142">
        <f ca="1">IF(AND(ISNUMBER($Q$314),$B$183=1),$Q$314,HLOOKUP(INDIRECT(ADDRESS(2,COLUMN())),OFFSET($BN$2,0,0,ROW()-1,60),ROW()-1,FALSE))</f>
        <v>12751.938</v>
      </c>
      <c r="R142">
        <f ca="1">IF(AND(ISNUMBER($R$314),$B$183=1),$R$314,HLOOKUP(INDIRECT(ADDRESS(2,COLUMN())),OFFSET($BN$2,0,0,ROW()-1,60),ROW()-1,FALSE))</f>
        <v>11814.862999999999</v>
      </c>
      <c r="S142">
        <f ca="1">IF(AND(ISNUMBER($S$314),$B$183=1),$S$314,HLOOKUP(INDIRECT(ADDRESS(2,COLUMN())),OFFSET($BN$2,0,0,ROW()-1,60),ROW()-1,FALSE))</f>
        <v>10451.9</v>
      </c>
      <c r="T142">
        <f ca="1">IF(AND(ISNUMBER($T$314),$B$183=1),$T$314,HLOOKUP(INDIRECT(ADDRESS(2,COLUMN())),OFFSET($BN$2,0,0,ROW()-1,60),ROW()-1,FALSE))</f>
        <v>10571.867</v>
      </c>
      <c r="U142">
        <f ca="1">IF(AND(ISNUMBER($U$314),$B$183=1),$U$314,HLOOKUP(INDIRECT(ADDRESS(2,COLUMN())),OFFSET($BN$2,0,0,ROW()-1,60),ROW()-1,FALSE))</f>
        <v>10697.297</v>
      </c>
      <c r="V142">
        <f ca="1">IF(AND(ISNUMBER($V$314),$B$183=1),$V$314,HLOOKUP(INDIRECT(ADDRESS(2,COLUMN())),OFFSET($BN$2,0,0,ROW()-1,60),ROW()-1,FALSE))</f>
        <v>10859.084000000001</v>
      </c>
      <c r="W142">
        <f ca="1">IF(AND(ISNUMBER($W$314),$B$183=1),$W$314,HLOOKUP(INDIRECT(ADDRESS(2,COLUMN())),OFFSET($BN$2,0,0,ROW()-1,60),ROW()-1,FALSE))</f>
        <v>10250.932000000001</v>
      </c>
      <c r="X142">
        <f ca="1">IF(AND(ISNUMBER($X$314),$B$183=1),$X$314,HLOOKUP(INDIRECT(ADDRESS(2,COLUMN())),OFFSET($BN$2,0,0,ROW()-1,60),ROW()-1,FALSE))</f>
        <v>9914.8709999999992</v>
      </c>
      <c r="Y142">
        <f ca="1">IF(AND(ISNUMBER($Y$314),$B$183=1),$Y$314,HLOOKUP(INDIRECT(ADDRESS(2,COLUMN())),OFFSET($BN$2,0,0,ROW()-1,60),ROW()-1,FALSE))</f>
        <v>9475.3770000000004</v>
      </c>
      <c r="Z142">
        <f ca="1">IF(AND(ISNUMBER($Z$314),$B$183=1),$Z$314,HLOOKUP(INDIRECT(ADDRESS(2,COLUMN())),OFFSET($BN$2,0,0,ROW()-1,60),ROW()-1,FALSE))</f>
        <v>7950.8119999999999</v>
      </c>
      <c r="AA142">
        <f ca="1">IF(AND(ISNUMBER($AA$314),$B$183=1),$AA$314,HLOOKUP(INDIRECT(ADDRESS(2,COLUMN())),OFFSET($BN$2,0,0,ROW()-1,60),ROW()-1,FALSE))</f>
        <v>6931.4210000000003</v>
      </c>
      <c r="AB142">
        <f ca="1">IF(AND(ISNUMBER($AB$314),$B$183=1),$AB$314,HLOOKUP(INDIRECT(ADDRESS(2,COLUMN())),OFFSET($BN$2,0,0,ROW()-1,60),ROW()-1,FALSE))</f>
        <v>7284.7790000000005</v>
      </c>
      <c r="AC142">
        <f ca="1">IF(AND(ISNUMBER($AC$314),$B$183=1),$AC$314,HLOOKUP(INDIRECT(ADDRESS(2,COLUMN())),OFFSET($BN$2,0,0,ROW()-1,60),ROW()-1,FALSE))</f>
        <v>6422.75</v>
      </c>
      <c r="AD142">
        <f ca="1">IF(AND(ISNUMBER($AD$314),$B$183=1),$AD$314,HLOOKUP(INDIRECT(ADDRESS(2,COLUMN())),OFFSET($BN$2,0,0,ROW()-1,60),ROW()-1,FALSE))</f>
        <v>5992.3950000000004</v>
      </c>
      <c r="AE142">
        <f ca="1">IF(AND(ISNUMBER($AE$314),$B$183=1),$AE$314,HLOOKUP(INDIRECT(ADDRESS(2,COLUMN())),OFFSET($BN$2,0,0,ROW()-1,60),ROW()-1,FALSE))</f>
        <v>4389.1779999999999</v>
      </c>
      <c r="AF142">
        <f ca="1">IF(AND(ISNUMBER($AF$314),$B$183=1),$AF$314,HLOOKUP(INDIRECT(ADDRESS(2,COLUMN())),OFFSET($BN$2,0,0,ROW()-1,60),ROW()-1,FALSE))</f>
        <v>4082.692</v>
      </c>
      <c r="AG142">
        <f ca="1">IF(AND(ISNUMBER($AG$314),$B$183=1),$AG$314,HLOOKUP(INDIRECT(ADDRESS(2,COLUMN())),OFFSET($BN$2,0,0,ROW()-1,60),ROW()-1,FALSE))</f>
        <v>2849.893</v>
      </c>
      <c r="AH142">
        <f ca="1">IF(AND(ISNUMBER($AH$314),$B$183=1),$AH$314,HLOOKUP(INDIRECT(ADDRESS(2,COLUMN())),OFFSET($BN$2,0,0,ROW()-1,60),ROW()-1,FALSE))</f>
        <v>2800.0740000000001</v>
      </c>
      <c r="AI142">
        <f ca="1">IF(AND(ISNUMBER($AI$314),$B$183=1),$AI$314,HLOOKUP(INDIRECT(ADDRESS(2,COLUMN())),OFFSET($BN$2,0,0,ROW()-1,60),ROW()-1,FALSE))</f>
        <v>3178.5259999999998</v>
      </c>
      <c r="AJ142">
        <f ca="1">IF(AND(ISNUMBER($AJ$314),$B$183=1),$AJ$314,HLOOKUP(INDIRECT(ADDRESS(2,COLUMN())),OFFSET($BN$2,0,0,ROW()-1,60),ROW()-1,FALSE))</f>
        <v>2967.5189999999998</v>
      </c>
      <c r="AK142">
        <f ca="1">IF(AND(ISNUMBER($AK$314),$B$183=1),$AK$314,HLOOKUP(INDIRECT(ADDRESS(2,COLUMN())),OFFSET($BN$2,0,0,ROW()-1,60),ROW()-1,FALSE))</f>
        <v>2869.6419999999998</v>
      </c>
      <c r="AL142">
        <f ca="1">IF(AND(ISNUMBER($AL$314),$B$183=1),$AL$314,HLOOKUP(INDIRECT(ADDRESS(2,COLUMN())),OFFSET($BN$2,0,0,ROW()-1,60),ROW()-1,FALSE))</f>
        <v>3237.7640000000001</v>
      </c>
      <c r="AM142">
        <f ca="1">IF(AND(ISNUMBER($AM$314),$B$183=1),$AM$314,HLOOKUP(INDIRECT(ADDRESS(2,COLUMN())),OFFSET($BN$2,0,0,ROW()-1,60),ROW()-1,FALSE))</f>
        <v>3788.1439999999998</v>
      </c>
      <c r="AN142">
        <f ca="1">IF(AND(ISNUMBER($AN$314),$B$183=1),$AN$314,HLOOKUP(INDIRECT(ADDRESS(2,COLUMN())),OFFSET($BN$2,0,0,ROW()-1,60),ROW()-1,FALSE))</f>
        <v>4414.37</v>
      </c>
      <c r="AO142">
        <f ca="1">IF(AND(ISNUMBER($AO$314),$B$183=1),$AO$314,HLOOKUP(INDIRECT(ADDRESS(2,COLUMN())),OFFSET($BN$2,0,0,ROW()-1,60),ROW()-1,FALSE))</f>
        <v>4931.3860000000004</v>
      </c>
      <c r="AP142">
        <f ca="1">IF(AND(ISNUMBER($AP$314),$B$183=1),$AP$314,HLOOKUP(INDIRECT(ADDRESS(2,COLUMN())),OFFSET($BN$2,0,0,ROW()-1,60),ROW()-1,FALSE))</f>
        <v>5821.3590000000004</v>
      </c>
      <c r="AQ142">
        <f ca="1">IF(AND(ISNUMBER($AQ$314),$B$183=1),$AQ$314,HLOOKUP(INDIRECT(ADDRESS(2,COLUMN())),OFFSET($BN$2,0,0,ROW()-1,60),ROW()-1,FALSE))</f>
        <v>6732.74</v>
      </c>
      <c r="AR142">
        <f ca="1">IF(AND(ISNUMBER($AR$314),$B$183=1),$AR$314,HLOOKUP(INDIRECT(ADDRESS(2,COLUMN())),OFFSET($BN$2,0,0,ROW()-1,60),ROW()-1,FALSE))</f>
        <v>8238.2270000000008</v>
      </c>
      <c r="AS142">
        <f ca="1">IF(AND(ISNUMBER($AS$314),$B$183=1),$AS$314,HLOOKUP(INDIRECT(ADDRESS(2,COLUMN())),OFFSET($BN$2,0,0,ROW()-1,60),ROW()-1,FALSE))</f>
        <v>9191.6270000000004</v>
      </c>
      <c r="AT142">
        <f ca="1">IF(AND(ISNUMBER($AT$314),$B$183=1),$AT$314,HLOOKUP(INDIRECT(ADDRESS(2,COLUMN())),OFFSET($BN$2,0,0,ROW()-1,60),ROW()-1,FALSE))</f>
        <v>9017.8369999999995</v>
      </c>
      <c r="AU142">
        <f ca="1">IF(AND(ISNUMBER($AU$314),$B$183=1),$AU$314,HLOOKUP(INDIRECT(ADDRESS(2,COLUMN())),OFFSET($BN$2,0,0,ROW()-1,60),ROW()-1,FALSE))</f>
        <v>8290.8960000000006</v>
      </c>
      <c r="AV142">
        <f ca="1">IF(AND(ISNUMBER($AV$314),$B$183=1),$AV$314,HLOOKUP(INDIRECT(ADDRESS(2,COLUMN())),OFFSET($BN$2,0,0,ROW()-1,60),ROW()-1,FALSE))</f>
        <v>8385.1826860000001</v>
      </c>
      <c r="AW142">
        <f ca="1">IF(AND(ISNUMBER($AW$314),$B$183=1),$AW$314,HLOOKUP(INDIRECT(ADDRESS(2,COLUMN())),OFFSET($BN$2,0,0,ROW()-1,60),ROW()-1,FALSE))</f>
        <v>7032.6120000000001</v>
      </c>
      <c r="AX142">
        <f ca="1">IF(AND(ISNUMBER($AX$314),$B$183=1),$AX$314,HLOOKUP(INDIRECT(ADDRESS(2,COLUMN())),OFFSET($BN$2,0,0,ROW()-1,60),ROW()-1,FALSE))</f>
        <v>8744.1319999999996</v>
      </c>
      <c r="AY142">
        <f ca="1">IF(AND(ISNUMBER($AY$314),$B$183=1),$AY$314,HLOOKUP(INDIRECT(ADDRESS(2,COLUMN())),OFFSET($BN$2,0,0,ROW()-1,60),ROW()-1,FALSE))</f>
        <v>8456.8860000000004</v>
      </c>
      <c r="AZ142">
        <f ca="1">IF(AND(ISNUMBER($AZ$314),$B$183=1),$AZ$314,HLOOKUP(INDIRECT(ADDRESS(2,COLUMN())),OFFSET($BN$2,0,0,ROW()-1,60),ROW()-1,FALSE))</f>
        <v>7331.125</v>
      </c>
      <c r="BA142">
        <f ca="1">IF(AND(ISNUMBER($BA$314),$B$183=1),$BA$314,HLOOKUP(INDIRECT(ADDRESS(2,COLUMN())),OFFSET($BN$2,0,0,ROW()-1,60),ROW()-1,FALSE))</f>
        <v>6940.3109999999997</v>
      </c>
      <c r="BB142">
        <f ca="1">IF(AND(ISNUMBER($BB$314),$B$183=1),$BB$314,HLOOKUP(INDIRECT(ADDRESS(2,COLUMN())),OFFSET($BN$2,0,0,ROW()-1,60),ROW()-1,FALSE))</f>
        <v>6109.4440000000004</v>
      </c>
      <c r="BC142">
        <f ca="1">IF(AND(ISNUMBER($BC$314),$B$183=1),$BC$314,HLOOKUP(INDIRECT(ADDRESS(2,COLUMN())),OFFSET($BN$2,0,0,ROW()-1,60),ROW()-1,FALSE))</f>
        <v>5788.1019999999999</v>
      </c>
      <c r="BD142">
        <f ca="1">IF(AND(ISNUMBER($BD$314),$B$183=1),$BD$314,HLOOKUP(INDIRECT(ADDRESS(2,COLUMN())),OFFSET($BN$2,0,0,ROW()-1,60),ROW()-1,FALSE))</f>
        <v>6312.4719999999998</v>
      </c>
      <c r="BE142">
        <f ca="1">IF(AND(ISNUMBER($BE$314),$B$183=1),$BE$314,HLOOKUP(INDIRECT(ADDRESS(2,COLUMN())),OFFSET($BN$2,0,0,ROW()-1,60),ROW()-1,FALSE))</f>
        <v>4143.7330000000002</v>
      </c>
      <c r="BF142">
        <f ca="1">IF(AND(ISNUMBER($BF$314),$B$183=1),$BF$314,HLOOKUP(INDIRECT(ADDRESS(2,COLUMN())),OFFSET($BN$2,0,0,ROW()-1,60),ROW()-1,FALSE))</f>
        <v>3747.2289999999998</v>
      </c>
      <c r="BG142">
        <f ca="1">IF(AND(ISNUMBER($BG$314),$B$183=1),$BG$314,HLOOKUP(INDIRECT(ADDRESS(2,COLUMN())),OFFSET($BN$2,0,0,ROW()-1,60),ROW()-1,FALSE))</f>
        <v>3364.6120000000001</v>
      </c>
      <c r="BH142">
        <f ca="1">IF(AND(ISNUMBER($BH$314),$B$183=1),$BH$314,HLOOKUP(INDIRECT(ADDRESS(2,COLUMN())),OFFSET($BN$2,0,0,ROW()-1,60),ROW()-1,FALSE))</f>
        <v>3516.268</v>
      </c>
      <c r="BI142">
        <f ca="1">IF(AND(ISNUMBER($BI$314),$B$183=1),$BI$314,HLOOKUP(INDIRECT(ADDRESS(2,COLUMN())),OFFSET($BN$2,0,0,ROW()-1,60),ROW()-1,FALSE))</f>
        <v>3542.6075000000001</v>
      </c>
      <c r="BJ142">
        <f ca="1">IF(AND(ISNUMBER($BJ$314),$B$183=1),$BJ$314,HLOOKUP(INDIRECT(ADDRESS(2,COLUMN())),OFFSET($BN$2,0,0,ROW()-1,60),ROW()-1,FALSE))</f>
        <v>3930.3380000000002</v>
      </c>
      <c r="BK142">
        <f ca="1">IF(AND(ISNUMBER($BK$314),$B$183=1),$BK$314,HLOOKUP(INDIRECT(ADDRESS(2,COLUMN())),OFFSET($BN$2,0,0,ROW()-1,60),ROW()-1,FALSE))</f>
        <v>1065.9000000000001</v>
      </c>
      <c r="BL142">
        <f ca="1">IF(AND(ISNUMBER($BL$314),$B$183=1),$BL$314,HLOOKUP(INDIRECT(ADDRESS(2,COLUMN())),OFFSET($BN$2,0,0,ROW()-1,60),ROW()-1,FALSE))</f>
        <v>1148.8</v>
      </c>
      <c r="BM142">
        <f ca="1">IF(AND(ISNUMBER($BM$314),$B$183=1),$BM$314,HLOOKUP(INDIRECT(ADDRESS(2,COLUMN())),OFFSET($BN$2,0,0,ROW()-1,60),ROW()-1,FALSE))</f>
        <v>1177.2</v>
      </c>
      <c r="BN142">
        <f>9201.717</f>
        <v>9201.7170000000006</v>
      </c>
      <c r="BO142">
        <f>9315.288</f>
        <v>9315.2880000000005</v>
      </c>
      <c r="BP142">
        <f>10603.96</f>
        <v>10603.96</v>
      </c>
      <c r="BQ142">
        <f>10791.998</f>
        <v>10791.998</v>
      </c>
      <c r="BR142">
        <f>11402.929</f>
        <v>11402.929</v>
      </c>
      <c r="BS142">
        <f>9632.672</f>
        <v>9632.6720000000005</v>
      </c>
      <c r="BT142">
        <f>9983.117</f>
        <v>9983.1170000000002</v>
      </c>
      <c r="BU142">
        <f>10913.354</f>
        <v>10913.353999999999</v>
      </c>
      <c r="BV142">
        <f>10789.512</f>
        <v>10789.512000000001</v>
      </c>
      <c r="BW142">
        <f>11447.497</f>
        <v>11447.496999999999</v>
      </c>
      <c r="BX142">
        <f>12931.945</f>
        <v>12931.945</v>
      </c>
      <c r="BY142">
        <f>12751.938</f>
        <v>12751.938</v>
      </c>
      <c r="BZ142">
        <f>11814.863</f>
        <v>11814.862999999999</v>
      </c>
      <c r="CA142">
        <f>10451.9</f>
        <v>10451.9</v>
      </c>
      <c r="CB142">
        <f>10571.867</f>
        <v>10571.867</v>
      </c>
      <c r="CC142">
        <f>10697.297</f>
        <v>10697.297</v>
      </c>
      <c r="CD142">
        <f>10859.084</f>
        <v>10859.084000000001</v>
      </c>
      <c r="CE142">
        <f>10250.932</f>
        <v>10250.932000000001</v>
      </c>
      <c r="CF142">
        <f>9914.871</f>
        <v>9914.8709999999992</v>
      </c>
      <c r="CG142">
        <f>9475.377</f>
        <v>9475.3770000000004</v>
      </c>
      <c r="CH142">
        <f>7950.812</f>
        <v>7950.8119999999999</v>
      </c>
      <c r="CI142">
        <f>6931.421</f>
        <v>6931.4210000000003</v>
      </c>
      <c r="CJ142">
        <f>7284.779</f>
        <v>7284.7790000000005</v>
      </c>
      <c r="CK142">
        <f>6422.75</f>
        <v>6422.75</v>
      </c>
      <c r="CL142">
        <f>5992.395</f>
        <v>5992.3950000000004</v>
      </c>
      <c r="CM142">
        <f>4389.178</f>
        <v>4389.1779999999999</v>
      </c>
      <c r="CN142">
        <f>4082.692</f>
        <v>4082.692</v>
      </c>
      <c r="CO142">
        <f>2849.893</f>
        <v>2849.893</v>
      </c>
      <c r="CP142">
        <f>2800.074</f>
        <v>2800.0740000000001</v>
      </c>
      <c r="CQ142">
        <f>3178.526</f>
        <v>3178.5259999999998</v>
      </c>
      <c r="CR142">
        <f>2967.519</f>
        <v>2967.5189999999998</v>
      </c>
      <c r="CS142">
        <f>2869.642</f>
        <v>2869.6419999999998</v>
      </c>
      <c r="CT142">
        <f>3237.764</f>
        <v>3237.7640000000001</v>
      </c>
      <c r="CU142">
        <f>3788.144</f>
        <v>3788.1439999999998</v>
      </c>
      <c r="CV142">
        <f>4414.37</f>
        <v>4414.37</v>
      </c>
      <c r="CW142">
        <f>4931.386</f>
        <v>4931.3860000000004</v>
      </c>
      <c r="CX142">
        <f>5821.359</f>
        <v>5821.3590000000004</v>
      </c>
      <c r="CY142">
        <f>6732.74</f>
        <v>6732.74</v>
      </c>
      <c r="CZ142">
        <f>8238.227</f>
        <v>8238.2270000000008</v>
      </c>
      <c r="DA142">
        <f>9191.627</f>
        <v>9191.6270000000004</v>
      </c>
      <c r="DB142">
        <f>9017.837</f>
        <v>9017.8369999999995</v>
      </c>
      <c r="DC142">
        <f>8290.896</f>
        <v>8290.8960000000006</v>
      </c>
      <c r="DD142">
        <f>8385.182686</f>
        <v>8385.1826860000001</v>
      </c>
      <c r="DE142">
        <f>7032.612</f>
        <v>7032.6120000000001</v>
      </c>
      <c r="DF142">
        <f>8744.132</f>
        <v>8744.1319999999996</v>
      </c>
      <c r="DG142">
        <f>8456.886</f>
        <v>8456.8860000000004</v>
      </c>
      <c r="DH142">
        <f>7331.125</f>
        <v>7331.125</v>
      </c>
      <c r="DI142">
        <f>6940.311</f>
        <v>6940.3109999999997</v>
      </c>
      <c r="DJ142">
        <f>6109.444</f>
        <v>6109.4440000000004</v>
      </c>
      <c r="DK142">
        <f>5788.102</f>
        <v>5788.1019999999999</v>
      </c>
      <c r="DL142">
        <f>6312.472</f>
        <v>6312.4719999999998</v>
      </c>
      <c r="DM142">
        <f>4143.733</f>
        <v>4143.7330000000002</v>
      </c>
      <c r="DN142">
        <f>3747.229</f>
        <v>3747.2289999999998</v>
      </c>
      <c r="DO142">
        <f>3364.612</f>
        <v>3364.6120000000001</v>
      </c>
      <c r="DP142">
        <f>3516.268</f>
        <v>3516.268</v>
      </c>
      <c r="DQ142">
        <f>3542.6075</f>
        <v>3542.6075000000001</v>
      </c>
      <c r="DR142">
        <f>3930.338</f>
        <v>3930.3380000000002</v>
      </c>
      <c r="DS142">
        <f>1065.9</f>
        <v>1065.9000000000001</v>
      </c>
      <c r="DT142">
        <f>1148.8</f>
        <v>1148.8</v>
      </c>
      <c r="DU142">
        <f>1177.2</f>
        <v>1177.2</v>
      </c>
    </row>
    <row r="143" spans="1:125">
      <c r="A143" t="str">
        <f>"    Total Diversified REITs"</f>
        <v xml:space="preserve">    Total Diversified REITs</v>
      </c>
      <c r="B143" t="str">
        <f>"RECFDVDV Index"</f>
        <v>RECFDVDV Index</v>
      </c>
      <c r="C143" t="str">
        <f t="shared" si="30"/>
        <v>PR005</v>
      </c>
      <c r="D143" t="str">
        <f t="shared" si="31"/>
        <v>PX_LAST</v>
      </c>
      <c r="E143" t="str">
        <f t="shared" si="32"/>
        <v>动态</v>
      </c>
      <c r="F143">
        <f ca="1">IF(AND(ISNUMBER($F$315),$B$183=1),$F$315,HLOOKUP(INDIRECT(ADDRESS(2,COLUMN())),OFFSET($BN$2,0,0,ROW()-1,60),ROW()-1,FALSE))</f>
        <v>5769.5770000000002</v>
      </c>
      <c r="G143">
        <f ca="1">IF(AND(ISNUMBER($G$315),$B$183=1),$G$315,HLOOKUP(INDIRECT(ADDRESS(2,COLUMN())),OFFSET($BN$2,0,0,ROW()-1,60),ROW()-1,FALSE))</f>
        <v>5813.8230000000003</v>
      </c>
      <c r="H143">
        <f ca="1">IF(AND(ISNUMBER($H$315),$B$183=1),$H$315,HLOOKUP(INDIRECT(ADDRESS(2,COLUMN())),OFFSET($BN$2,0,0,ROW()-1,60),ROW()-1,FALSE))</f>
        <v>3224.0239999999999</v>
      </c>
      <c r="I143">
        <f ca="1">IF(AND(ISNUMBER($I$315),$B$183=1),$I$315,HLOOKUP(INDIRECT(ADDRESS(2,COLUMN())),OFFSET($BN$2,0,0,ROW()-1,60),ROW()-1,FALSE))</f>
        <v>3427.4169999999999</v>
      </c>
      <c r="J143">
        <f ca="1">IF(AND(ISNUMBER($J$315),$B$183=1),$J$315,HLOOKUP(INDIRECT(ADDRESS(2,COLUMN())),OFFSET($BN$2,0,0,ROW()-1,60),ROW()-1,FALSE))</f>
        <v>4027.058</v>
      </c>
      <c r="K143">
        <f ca="1">IF(AND(ISNUMBER($K$315),$B$183=1),$K$315,HLOOKUP(INDIRECT(ADDRESS(2,COLUMN())),OFFSET($BN$2,0,0,ROW()-1,60),ROW()-1,FALSE))</f>
        <v>4197.58</v>
      </c>
      <c r="L143">
        <f ca="1">IF(AND(ISNUMBER($L$315),$B$183=1),$L$315,HLOOKUP(INDIRECT(ADDRESS(2,COLUMN())),OFFSET($BN$2,0,0,ROW()-1,60),ROW()-1,FALSE))</f>
        <v>4686.085</v>
      </c>
      <c r="M143">
        <f ca="1">IF(AND(ISNUMBER($M$315),$B$183=1),$M$315,HLOOKUP(INDIRECT(ADDRESS(2,COLUMN())),OFFSET($BN$2,0,0,ROW()-1,60),ROW()-1,FALSE))</f>
        <v>2585.306</v>
      </c>
      <c r="N143">
        <f ca="1">IF(AND(ISNUMBER($N$315),$B$183=1),$N$315,HLOOKUP(INDIRECT(ADDRESS(2,COLUMN())),OFFSET($BN$2,0,0,ROW()-1,60),ROW()-1,FALSE))</f>
        <v>2657.64</v>
      </c>
      <c r="O143">
        <f ca="1">IF(AND(ISNUMBER($O$315),$B$183=1),$O$315,HLOOKUP(INDIRECT(ADDRESS(2,COLUMN())),OFFSET($BN$2,0,0,ROW()-1,60),ROW()-1,FALSE))</f>
        <v>3309.8290000000002</v>
      </c>
      <c r="P143">
        <f ca="1">IF(AND(ISNUMBER($P$315),$B$183=1),$P$315,HLOOKUP(INDIRECT(ADDRESS(2,COLUMN())),OFFSET($BN$2,0,0,ROW()-1,60),ROW()-1,FALSE))</f>
        <v>3465.2139999999999</v>
      </c>
      <c r="Q143">
        <f ca="1">IF(AND(ISNUMBER($Q$315),$B$183=1),$Q$315,HLOOKUP(INDIRECT(ADDRESS(2,COLUMN())),OFFSET($BN$2,0,0,ROW()-1,60),ROW()-1,FALSE))</f>
        <v>3500.6509999999998</v>
      </c>
      <c r="R143">
        <f ca="1">IF(AND(ISNUMBER($R$315),$B$183=1),$R$315,HLOOKUP(INDIRECT(ADDRESS(2,COLUMN())),OFFSET($BN$2,0,0,ROW()-1,60),ROW()-1,FALSE))</f>
        <v>3460.6460000000002</v>
      </c>
      <c r="S143">
        <f ca="1">IF(AND(ISNUMBER($S$315),$B$183=1),$S$315,HLOOKUP(INDIRECT(ADDRESS(2,COLUMN())),OFFSET($BN$2,0,0,ROW()-1,60),ROW()-1,FALSE))</f>
        <v>2908.62</v>
      </c>
      <c r="T143">
        <f ca="1">IF(AND(ISNUMBER($T$315),$B$183=1),$T$315,HLOOKUP(INDIRECT(ADDRESS(2,COLUMN())),OFFSET($BN$2,0,0,ROW()-1,60),ROW()-1,FALSE))</f>
        <v>2834.4189999999999</v>
      </c>
      <c r="U143">
        <f ca="1">IF(AND(ISNUMBER($U$315),$B$183=1),$U$315,HLOOKUP(INDIRECT(ADDRESS(2,COLUMN())),OFFSET($BN$2,0,0,ROW()-1,60),ROW()-1,FALSE))</f>
        <v>2655.1570000000002</v>
      </c>
      <c r="V143">
        <f ca="1">IF(AND(ISNUMBER($V$315),$B$183=1),$V$315,HLOOKUP(INDIRECT(ADDRESS(2,COLUMN())),OFFSET($BN$2,0,0,ROW()-1,60),ROW()-1,FALSE))</f>
        <v>2396.7860000000001</v>
      </c>
      <c r="W143">
        <f ca="1">IF(AND(ISNUMBER($W$315),$B$183=1),$W$315,HLOOKUP(INDIRECT(ADDRESS(2,COLUMN())),OFFSET($BN$2,0,0,ROW()-1,60),ROW()-1,FALSE))</f>
        <v>1154.8019999999999</v>
      </c>
      <c r="X143">
        <f ca="1">IF(AND(ISNUMBER($X$315),$B$183=1),$X$315,HLOOKUP(INDIRECT(ADDRESS(2,COLUMN())),OFFSET($BN$2,0,0,ROW()-1,60),ROW()-1,FALSE))</f>
        <v>1053.9259999999999</v>
      </c>
      <c r="Y143">
        <f ca="1">IF(AND(ISNUMBER($Y$315),$B$183=1),$Y$315,HLOOKUP(INDIRECT(ADDRESS(2,COLUMN())),OFFSET($BN$2,0,0,ROW()-1,60),ROW()-1,FALSE))</f>
        <v>454.27100000000002</v>
      </c>
      <c r="Z143">
        <f ca="1">IF(AND(ISNUMBER($Z$315),$B$183=1),$Z$315,HLOOKUP(INDIRECT(ADDRESS(2,COLUMN())),OFFSET($BN$2,0,0,ROW()-1,60),ROW()-1,FALSE))</f>
        <v>310.37900000000002</v>
      </c>
      <c r="AA143">
        <f ca="1">IF(AND(ISNUMBER($AA$315),$B$183=1),$AA$315,HLOOKUP(INDIRECT(ADDRESS(2,COLUMN())),OFFSET($BN$2,0,0,ROW()-1,60),ROW()-1,FALSE))</f>
        <v>330.14100000000002</v>
      </c>
      <c r="AB143">
        <f ca="1">IF(AND(ISNUMBER($AB$315),$B$183=1),$AB$315,HLOOKUP(INDIRECT(ADDRESS(2,COLUMN())),OFFSET($BN$2,0,0,ROW()-1,60),ROW()-1,FALSE))</f>
        <v>346.81799999999998</v>
      </c>
      <c r="AC143">
        <f ca="1">IF(AND(ISNUMBER($AC$315),$B$183=1),$AC$315,HLOOKUP(INDIRECT(ADDRESS(2,COLUMN())),OFFSET($BN$2,0,0,ROW()-1,60),ROW()-1,FALSE))</f>
        <v>233.374</v>
      </c>
      <c r="AD143">
        <f ca="1">IF(AND(ISNUMBER($AD$315),$B$183=1),$AD$315,HLOOKUP(INDIRECT(ADDRESS(2,COLUMN())),OFFSET($BN$2,0,0,ROW()-1,60),ROW()-1,FALSE))</f>
        <v>239.2</v>
      </c>
      <c r="AE143">
        <f ca="1">IF(AND(ISNUMBER($AE$315),$B$183=1),$AE$315,HLOOKUP(INDIRECT(ADDRESS(2,COLUMN())),OFFSET($BN$2,0,0,ROW()-1,60),ROW()-1,FALSE))</f>
        <v>215.28</v>
      </c>
      <c r="AF143">
        <f ca="1">IF(AND(ISNUMBER($AF$315),$B$183=1),$AF$315,HLOOKUP(INDIRECT(ADDRESS(2,COLUMN())),OFFSET($BN$2,0,0,ROW()-1,60),ROW()-1,FALSE))</f>
        <v>133.38</v>
      </c>
      <c r="AG143">
        <f ca="1">IF(AND(ISNUMBER($AG$315),$B$183=1),$AG$315,HLOOKUP(INDIRECT(ADDRESS(2,COLUMN())),OFFSET($BN$2,0,0,ROW()-1,60),ROW()-1,FALSE))</f>
        <v>19.2</v>
      </c>
      <c r="AH143">
        <f ca="1">IF(AND(ISNUMBER($AH$315),$B$183=1),$AH$315,HLOOKUP(INDIRECT(ADDRESS(2,COLUMN())),OFFSET($BN$2,0,0,ROW()-1,60),ROW()-1,FALSE))</f>
        <v>14.122</v>
      </c>
      <c r="AI143">
        <f ca="1">IF(AND(ISNUMBER($AI$315),$B$183=1),$AI$315,HLOOKUP(INDIRECT(ADDRESS(2,COLUMN())),OFFSET($BN$2,0,0,ROW()-1,60),ROW()-1,FALSE))</f>
        <v>10.391</v>
      </c>
      <c r="AJ143">
        <f ca="1">IF(AND(ISNUMBER($AJ$315),$B$183=1),$AJ$315,HLOOKUP(INDIRECT(ADDRESS(2,COLUMN())),OFFSET($BN$2,0,0,ROW()-1,60),ROW()-1,FALSE))</f>
        <v>4.0999999999999996</v>
      </c>
      <c r="AK143">
        <f ca="1">IF(AND(ISNUMBER($AK$315),$B$183=1),$AK$315,HLOOKUP(INDIRECT(ADDRESS(2,COLUMN())),OFFSET($BN$2,0,0,ROW()-1,60),ROW()-1,FALSE))</f>
        <v>4.2</v>
      </c>
      <c r="AL143">
        <f ca="1">IF(AND(ISNUMBER($AL$315),$B$183=1),$AL$315,HLOOKUP(INDIRECT(ADDRESS(2,COLUMN())),OFFSET($BN$2,0,0,ROW()-1,60),ROW()-1,FALSE))</f>
        <v>177.3</v>
      </c>
      <c r="AM143">
        <f ca="1">IF(AND(ISNUMBER($AM$315),$B$183=1),$AM$315,HLOOKUP(INDIRECT(ADDRESS(2,COLUMN())),OFFSET($BN$2,0,0,ROW()-1,60),ROW()-1,FALSE))</f>
        <v>215.8</v>
      </c>
      <c r="AN143">
        <f ca="1">IF(AND(ISNUMBER($AN$315),$B$183=1),$AN$315,HLOOKUP(INDIRECT(ADDRESS(2,COLUMN())),OFFSET($BN$2,0,0,ROW()-1,60),ROW()-1,FALSE))</f>
        <v>277.7</v>
      </c>
      <c r="AO143">
        <f ca="1">IF(AND(ISNUMBER($AO$315),$B$183=1),$AO$315,HLOOKUP(INDIRECT(ADDRESS(2,COLUMN())),OFFSET($BN$2,0,0,ROW()-1,60),ROW()-1,FALSE))</f>
        <v>429.065</v>
      </c>
      <c r="AP143">
        <f ca="1">IF(AND(ISNUMBER($AP$315),$B$183=1),$AP$315,HLOOKUP(INDIRECT(ADDRESS(2,COLUMN())),OFFSET($BN$2,0,0,ROW()-1,60),ROW()-1,FALSE))</f>
        <v>719.88199999999995</v>
      </c>
      <c r="AQ143">
        <f ca="1">IF(AND(ISNUMBER($AQ$315),$B$183=1),$AQ$315,HLOOKUP(INDIRECT(ADDRESS(2,COLUMN())),OFFSET($BN$2,0,0,ROW()-1,60),ROW()-1,FALSE))</f>
        <v>997.78200000000004</v>
      </c>
      <c r="AR143">
        <f ca="1">IF(AND(ISNUMBER($AR$315),$B$183=1),$AR$315,HLOOKUP(INDIRECT(ADDRESS(2,COLUMN())),OFFSET($BN$2,0,0,ROW()-1,60),ROW()-1,FALSE))</f>
        <v>1005.47</v>
      </c>
      <c r="AS143">
        <f ca="1">IF(AND(ISNUMBER($AS$315),$B$183=1),$AS$315,HLOOKUP(INDIRECT(ADDRESS(2,COLUMN())),OFFSET($BN$2,0,0,ROW()-1,60),ROW()-1,FALSE))</f>
        <v>1152.55</v>
      </c>
      <c r="AT143">
        <f ca="1">IF(AND(ISNUMBER($AT$315),$B$183=1),$AT$315,HLOOKUP(INDIRECT(ADDRESS(2,COLUMN())),OFFSET($BN$2,0,0,ROW()-1,60),ROW()-1,FALSE))</f>
        <v>1347.55</v>
      </c>
      <c r="AU143">
        <f ca="1">IF(AND(ISNUMBER($AU$315),$B$183=1),$AU$315,HLOOKUP(INDIRECT(ADDRESS(2,COLUMN())),OFFSET($BN$2,0,0,ROW()-1,60),ROW()-1,FALSE))</f>
        <v>1492.85</v>
      </c>
      <c r="AV143">
        <f ca="1">IF(AND(ISNUMBER($AV$315),$B$183=1),$AV$315,HLOOKUP(INDIRECT(ADDRESS(2,COLUMN())),OFFSET($BN$2,0,0,ROW()-1,60),ROW()-1,FALSE))</f>
        <v>2559.35</v>
      </c>
      <c r="AW143">
        <f ca="1">IF(AND(ISNUMBER($AW$315),$B$183=1),$AW$315,HLOOKUP(INDIRECT(ADDRESS(2,COLUMN())),OFFSET($BN$2,0,0,ROW()-1,60),ROW()-1,FALSE))</f>
        <v>2259.0569999999998</v>
      </c>
      <c r="AX143">
        <f ca="1">IF(AND(ISNUMBER($AX$315),$B$183=1),$AX$315,HLOOKUP(INDIRECT(ADDRESS(2,COLUMN())),OFFSET($BN$2,0,0,ROW()-1,60),ROW()-1,FALSE))</f>
        <v>2134.6999999999998</v>
      </c>
      <c r="AY143">
        <f ca="1">IF(AND(ISNUMBER($AY$315),$B$183=1),$AY$315,HLOOKUP(INDIRECT(ADDRESS(2,COLUMN())),OFFSET($BN$2,0,0,ROW()-1,60),ROW()-1,FALSE))</f>
        <v>2683.3</v>
      </c>
      <c r="AZ143">
        <f ca="1">IF(AND(ISNUMBER($AZ$315),$B$183=1),$AZ$315,HLOOKUP(INDIRECT(ADDRESS(2,COLUMN())),OFFSET($BN$2,0,0,ROW()-1,60),ROW()-1,FALSE))</f>
        <v>2197.4</v>
      </c>
      <c r="BA143">
        <f ca="1">IF(AND(ISNUMBER($BA$315),$B$183=1),$BA$315,HLOOKUP(INDIRECT(ADDRESS(2,COLUMN())),OFFSET($BN$2,0,0,ROW()-1,60),ROW()-1,FALSE))</f>
        <v>2107.1999999999998</v>
      </c>
      <c r="BB143">
        <f ca="1">IF(AND(ISNUMBER($BB$315),$B$183=1),$BB$315,HLOOKUP(INDIRECT(ADDRESS(2,COLUMN())),OFFSET($BN$2,0,0,ROW()-1,60),ROW()-1,FALSE))</f>
        <v>1781.9</v>
      </c>
      <c r="BC143">
        <f ca="1">IF(AND(ISNUMBER($BC$315),$B$183=1),$BC$315,HLOOKUP(INDIRECT(ADDRESS(2,COLUMN())),OFFSET($BN$2,0,0,ROW()-1,60),ROW()-1,FALSE))</f>
        <v>1692.5</v>
      </c>
      <c r="BD143">
        <f ca="1">IF(AND(ISNUMBER($BD$315),$B$183=1),$BD$315,HLOOKUP(INDIRECT(ADDRESS(2,COLUMN())),OFFSET($BN$2,0,0,ROW()-1,60),ROW()-1,FALSE))</f>
        <v>1498.8</v>
      </c>
      <c r="BE143">
        <f ca="1">IF(AND(ISNUMBER($BE$315),$B$183=1),$BE$315,HLOOKUP(INDIRECT(ADDRESS(2,COLUMN())),OFFSET($BN$2,0,0,ROW()-1,60),ROW()-1,FALSE))</f>
        <v>935.3</v>
      </c>
      <c r="BF143">
        <f ca="1">IF(AND(ISNUMBER($BF$315),$B$183=1),$BF$315,HLOOKUP(INDIRECT(ADDRESS(2,COLUMN())),OFFSET($BN$2,0,0,ROW()-1,60),ROW()-1,FALSE))</f>
        <v>746.3</v>
      </c>
      <c r="BG143">
        <f ca="1">IF(AND(ISNUMBER($BG$315),$B$183=1),$BG$315,HLOOKUP(INDIRECT(ADDRESS(2,COLUMN())),OFFSET($BN$2,0,0,ROW()-1,60),ROW()-1,FALSE))</f>
        <v>629.5</v>
      </c>
      <c r="BH143">
        <f ca="1">IF(AND(ISNUMBER($BH$315),$B$183=1),$BH$315,HLOOKUP(INDIRECT(ADDRESS(2,COLUMN())),OFFSET($BN$2,0,0,ROW()-1,60),ROW()-1,FALSE))</f>
        <v>574.29999999999995</v>
      </c>
      <c r="BI143">
        <f ca="1">IF(AND(ISNUMBER($BI$315),$B$183=1),$BI$315,HLOOKUP(INDIRECT(ADDRESS(2,COLUMN())),OFFSET($BN$2,0,0,ROW()-1,60),ROW()-1,FALSE))</f>
        <v>491.4</v>
      </c>
      <c r="BJ143">
        <f ca="1">IF(AND(ISNUMBER($BJ$315),$B$183=1),$BJ$315,HLOOKUP(INDIRECT(ADDRESS(2,COLUMN())),OFFSET($BN$2,0,0,ROW()-1,60),ROW()-1,FALSE))</f>
        <v>506.8</v>
      </c>
      <c r="BK143">
        <f ca="1">IF(AND(ISNUMBER($BK$315),$B$183=1),$BK$315,HLOOKUP(INDIRECT(ADDRESS(2,COLUMN())),OFFSET($BN$2,0,0,ROW()-1,60),ROW()-1,FALSE))</f>
        <v>189</v>
      </c>
      <c r="BL143">
        <f ca="1">IF(AND(ISNUMBER($BL$315),$B$183=1),$BL$315,HLOOKUP(INDIRECT(ADDRESS(2,COLUMN())),OFFSET($BN$2,0,0,ROW()-1,60),ROW()-1,FALSE))</f>
        <v>189.3</v>
      </c>
      <c r="BM143">
        <f ca="1">IF(AND(ISNUMBER($BM$315),$B$183=1),$BM$315,HLOOKUP(INDIRECT(ADDRESS(2,COLUMN())),OFFSET($BN$2,0,0,ROW()-1,60),ROW()-1,FALSE))</f>
        <v>188.6</v>
      </c>
      <c r="BN143">
        <f>5769.577</f>
        <v>5769.5770000000002</v>
      </c>
      <c r="BO143">
        <f>5813.823</f>
        <v>5813.8230000000003</v>
      </c>
      <c r="BP143">
        <f>3224.024</f>
        <v>3224.0239999999999</v>
      </c>
      <c r="BQ143">
        <f>3427.417</f>
        <v>3427.4169999999999</v>
      </c>
      <c r="BR143">
        <f>4027.058</f>
        <v>4027.058</v>
      </c>
      <c r="BS143">
        <f>4197.58</f>
        <v>4197.58</v>
      </c>
      <c r="BT143">
        <f>4686.085</f>
        <v>4686.085</v>
      </c>
      <c r="BU143">
        <f>2585.306</f>
        <v>2585.306</v>
      </c>
      <c r="BV143">
        <f>2657.64</f>
        <v>2657.64</v>
      </c>
      <c r="BW143">
        <f>3309.829</f>
        <v>3309.8290000000002</v>
      </c>
      <c r="BX143">
        <f>3465.214</f>
        <v>3465.2139999999999</v>
      </c>
      <c r="BY143">
        <f>3500.651</f>
        <v>3500.6509999999998</v>
      </c>
      <c r="BZ143">
        <f>3460.646</f>
        <v>3460.6460000000002</v>
      </c>
      <c r="CA143">
        <f>2908.62</f>
        <v>2908.62</v>
      </c>
      <c r="CB143">
        <f>2834.419</f>
        <v>2834.4189999999999</v>
      </c>
      <c r="CC143">
        <f>2655.157</f>
        <v>2655.1570000000002</v>
      </c>
      <c r="CD143">
        <f>2396.786</f>
        <v>2396.7860000000001</v>
      </c>
      <c r="CE143">
        <f>1154.802</f>
        <v>1154.8019999999999</v>
      </c>
      <c r="CF143">
        <f>1053.926</f>
        <v>1053.9259999999999</v>
      </c>
      <c r="CG143">
        <f>454.271</f>
        <v>454.27100000000002</v>
      </c>
      <c r="CH143">
        <f>310.379</f>
        <v>310.37900000000002</v>
      </c>
      <c r="CI143">
        <f>330.141</f>
        <v>330.14100000000002</v>
      </c>
      <c r="CJ143">
        <f>346.818</f>
        <v>346.81799999999998</v>
      </c>
      <c r="CK143">
        <f>233.374</f>
        <v>233.374</v>
      </c>
      <c r="CL143">
        <f>239.2</f>
        <v>239.2</v>
      </c>
      <c r="CM143">
        <f>215.28</f>
        <v>215.28</v>
      </c>
      <c r="CN143">
        <f>133.38</f>
        <v>133.38</v>
      </c>
      <c r="CO143">
        <f>19.2</f>
        <v>19.2</v>
      </c>
      <c r="CP143">
        <f>14.122</f>
        <v>14.122</v>
      </c>
      <c r="CQ143">
        <f>10.391</f>
        <v>10.391</v>
      </c>
      <c r="CR143">
        <f>4.1</f>
        <v>4.0999999999999996</v>
      </c>
      <c r="CS143">
        <f>4.2</f>
        <v>4.2</v>
      </c>
      <c r="CT143">
        <f>177.3</f>
        <v>177.3</v>
      </c>
      <c r="CU143">
        <f>215.8</f>
        <v>215.8</v>
      </c>
      <c r="CV143">
        <f>277.7</f>
        <v>277.7</v>
      </c>
      <c r="CW143">
        <f>429.065</f>
        <v>429.065</v>
      </c>
      <c r="CX143">
        <f>719.882</f>
        <v>719.88199999999995</v>
      </c>
      <c r="CY143">
        <f>997.782</f>
        <v>997.78200000000004</v>
      </c>
      <c r="CZ143">
        <f>1005.47</f>
        <v>1005.47</v>
      </c>
      <c r="DA143">
        <f>1152.55</f>
        <v>1152.55</v>
      </c>
      <c r="DB143">
        <f>1347.55</f>
        <v>1347.55</v>
      </c>
      <c r="DC143">
        <f>1492.85</f>
        <v>1492.85</v>
      </c>
      <c r="DD143">
        <f>2559.35</f>
        <v>2559.35</v>
      </c>
      <c r="DE143">
        <f>2259.057</f>
        <v>2259.0569999999998</v>
      </c>
      <c r="DF143">
        <f>2134.7</f>
        <v>2134.6999999999998</v>
      </c>
      <c r="DG143">
        <f>2683.3</f>
        <v>2683.3</v>
      </c>
      <c r="DH143">
        <f>2197.4</f>
        <v>2197.4</v>
      </c>
      <c r="DI143">
        <f>2107.2</f>
        <v>2107.1999999999998</v>
      </c>
      <c r="DJ143">
        <f>1781.9</f>
        <v>1781.9</v>
      </c>
      <c r="DK143">
        <f>1692.5</f>
        <v>1692.5</v>
      </c>
      <c r="DL143">
        <f>1498.8</f>
        <v>1498.8</v>
      </c>
      <c r="DM143">
        <f>935.3</f>
        <v>935.3</v>
      </c>
      <c r="DN143">
        <f>746.3</f>
        <v>746.3</v>
      </c>
      <c r="DO143">
        <f>629.5</f>
        <v>629.5</v>
      </c>
      <c r="DP143">
        <f>574.3</f>
        <v>574.29999999999995</v>
      </c>
      <c r="DQ143">
        <f>491.4</f>
        <v>491.4</v>
      </c>
      <c r="DR143">
        <f>506.8</f>
        <v>506.8</v>
      </c>
      <c r="DS143">
        <f>189</f>
        <v>189</v>
      </c>
      <c r="DT143">
        <f>189.3</f>
        <v>189.3</v>
      </c>
      <c r="DU143">
        <f>188.6</f>
        <v>188.6</v>
      </c>
    </row>
    <row r="144" spans="1:125">
      <c r="A144" t="str">
        <f>"    Total Lodging/Resort REITs"</f>
        <v xml:space="preserve">    Total Lodging/Resort REITs</v>
      </c>
      <c r="B144" t="str">
        <f>"RECFDVLR Index"</f>
        <v>RECFDVLR Index</v>
      </c>
      <c r="C144" t="str">
        <f t="shared" si="30"/>
        <v>PR005</v>
      </c>
      <c r="D144" t="str">
        <f t="shared" si="31"/>
        <v>PX_LAST</v>
      </c>
      <c r="E144" t="str">
        <f t="shared" si="32"/>
        <v>动态</v>
      </c>
      <c r="F144">
        <f ca="1">IF(AND(ISNUMBER($F$316),$B$183=1),$F$316,HLOOKUP(INDIRECT(ADDRESS(2,COLUMN())),OFFSET($BN$2,0,0,ROW()-1,60),ROW()-1,FALSE))</f>
        <v>800</v>
      </c>
      <c r="G144">
        <f ca="1">IF(AND(ISNUMBER($G$316),$B$183=1),$G$316,HLOOKUP(INDIRECT(ADDRESS(2,COLUMN())),OFFSET($BN$2,0,0,ROW()-1,60),ROW()-1,FALSE))</f>
        <v>800</v>
      </c>
      <c r="H144">
        <f ca="1">IF(AND(ISNUMBER($H$316),$B$183=1),$H$316,HLOOKUP(INDIRECT(ADDRESS(2,COLUMN())),OFFSET($BN$2,0,0,ROW()-1,60),ROW()-1,FALSE))</f>
        <v>800</v>
      </c>
      <c r="I144">
        <f ca="1">IF(AND(ISNUMBER($I$316),$B$183=1),$I$316,HLOOKUP(INDIRECT(ADDRESS(2,COLUMN())),OFFSET($BN$2,0,0,ROW()-1,60),ROW()-1,FALSE))</f>
        <v>800</v>
      </c>
      <c r="J144">
        <f ca="1">IF(AND(ISNUMBER($J$316),$B$183=1),$J$316,HLOOKUP(INDIRECT(ADDRESS(2,COLUMN())),OFFSET($BN$2,0,0,ROW()-1,60),ROW()-1,FALSE))</f>
        <v>800</v>
      </c>
      <c r="K144">
        <f ca="1">IF(AND(ISNUMBER($K$316),$B$183=1),$K$316,HLOOKUP(INDIRECT(ADDRESS(2,COLUMN())),OFFSET($BN$2,0,0,ROW()-1,60),ROW()-1,FALSE))</f>
        <v>800</v>
      </c>
      <c r="L144">
        <f ca="1">IF(AND(ISNUMBER($L$316),$B$183=1),$L$316,HLOOKUP(INDIRECT(ADDRESS(2,COLUMN())),OFFSET($BN$2,0,0,ROW()-1,60),ROW()-1,FALSE))</f>
        <v>800</v>
      </c>
      <c r="M144">
        <f ca="1">IF(AND(ISNUMBER($M$316),$B$183=1),$M$316,HLOOKUP(INDIRECT(ADDRESS(2,COLUMN())),OFFSET($BN$2,0,0,ROW()-1,60),ROW()-1,FALSE))</f>
        <v>800</v>
      </c>
      <c r="N144">
        <f ca="1">IF(AND(ISNUMBER($N$316),$B$183=1),$N$316,HLOOKUP(INDIRECT(ADDRESS(2,COLUMN())),OFFSET($BN$2,0,0,ROW()-1,60),ROW()-1,FALSE))</f>
        <v>0</v>
      </c>
      <c r="O144">
        <f ca="1">IF(AND(ISNUMBER($O$316),$B$183=1),$O$316,HLOOKUP(INDIRECT(ADDRESS(2,COLUMN())),OFFSET($BN$2,0,0,ROW()-1,60),ROW()-1,FALSE))</f>
        <v>45</v>
      </c>
      <c r="P144">
        <f ca="1">IF(AND(ISNUMBER($P$316),$B$183=1),$P$316,HLOOKUP(INDIRECT(ADDRESS(2,COLUMN())),OFFSET($BN$2,0,0,ROW()-1,60),ROW()-1,FALSE))</f>
        <v>75</v>
      </c>
      <c r="Q144">
        <f ca="1">IF(AND(ISNUMBER($Q$316),$B$183=1),$Q$316,HLOOKUP(INDIRECT(ADDRESS(2,COLUMN())),OFFSET($BN$2,0,0,ROW()-1,60),ROW()-1,FALSE))</f>
        <v>313</v>
      </c>
      <c r="R144">
        <f ca="1">IF(AND(ISNUMBER($R$316),$B$183=1),$R$316,HLOOKUP(INDIRECT(ADDRESS(2,COLUMN())),OFFSET($BN$2,0,0,ROW()-1,60),ROW()-1,FALSE))</f>
        <v>240</v>
      </c>
      <c r="S144">
        <f ca="1">IF(AND(ISNUMBER($S$316),$B$183=1),$S$316,HLOOKUP(INDIRECT(ADDRESS(2,COLUMN())),OFFSET($BN$2,0,0,ROW()-1,60),ROW()-1,FALSE))</f>
        <v>240</v>
      </c>
      <c r="T144">
        <f ca="1">IF(AND(ISNUMBER($T$316),$B$183=1),$T$316,HLOOKUP(INDIRECT(ADDRESS(2,COLUMN())),OFFSET($BN$2,0,0,ROW()-1,60),ROW()-1,FALSE))</f>
        <v>240</v>
      </c>
      <c r="U144">
        <f ca="1">IF(AND(ISNUMBER($U$316),$B$183=1),$U$316,HLOOKUP(INDIRECT(ADDRESS(2,COLUMN())),OFFSET($BN$2,0,0,ROW()-1,60),ROW()-1,FALSE))</f>
        <v>240</v>
      </c>
      <c r="V144">
        <f ca="1">IF(AND(ISNUMBER($V$316),$B$183=1),$V$316,HLOOKUP(INDIRECT(ADDRESS(2,COLUMN())),OFFSET($BN$2,0,0,ROW()-1,60),ROW()-1,FALSE))</f>
        <v>240</v>
      </c>
      <c r="W144">
        <f ca="1">IF(AND(ISNUMBER($W$316),$B$183=1),$W$316,HLOOKUP(INDIRECT(ADDRESS(2,COLUMN())),OFFSET($BN$2,0,0,ROW()-1,60),ROW()-1,FALSE))</f>
        <v>0</v>
      </c>
      <c r="X144">
        <f ca="1">IF(AND(ISNUMBER($X$316),$B$183=1),$X$316,HLOOKUP(INDIRECT(ADDRESS(2,COLUMN())),OFFSET($BN$2,0,0,ROW()-1,60),ROW()-1,FALSE))</f>
        <v>0</v>
      </c>
      <c r="Y144">
        <f ca="1">IF(AND(ISNUMBER($Y$316),$B$183=1),$Y$316,HLOOKUP(INDIRECT(ADDRESS(2,COLUMN())),OFFSET($BN$2,0,0,ROW()-1,60),ROW()-1,FALSE))</f>
        <v>0</v>
      </c>
      <c r="Z144">
        <f ca="1">IF(AND(ISNUMBER($Z$316),$B$183=1),$Z$316,HLOOKUP(INDIRECT(ADDRESS(2,COLUMN())),OFFSET($BN$2,0,0,ROW()-1,60),ROW()-1,FALSE))</f>
        <v>0</v>
      </c>
      <c r="AA144">
        <f ca="1">IF(AND(ISNUMBER($AA$316),$B$183=1),$AA$316,HLOOKUP(INDIRECT(ADDRESS(2,COLUMN())),OFFSET($BN$2,0,0,ROW()-1,60),ROW()-1,FALSE))</f>
        <v>0</v>
      </c>
      <c r="AB144">
        <f ca="1">IF(AND(ISNUMBER($AB$316),$B$183=1),$AB$316,HLOOKUP(INDIRECT(ADDRESS(2,COLUMN())),OFFSET($BN$2,0,0,ROW()-1,60),ROW()-1,FALSE))</f>
        <v>0</v>
      </c>
      <c r="AC144">
        <f ca="1">IF(AND(ISNUMBER($AC$316),$B$183=1),$AC$316,HLOOKUP(INDIRECT(ADDRESS(2,COLUMN())),OFFSET($BN$2,0,0,ROW()-1,60),ROW()-1,FALSE))</f>
        <v>0</v>
      </c>
      <c r="AD144">
        <f ca="1">IF(AND(ISNUMBER($AD$316),$B$183=1),$AD$316,HLOOKUP(INDIRECT(ADDRESS(2,COLUMN())),OFFSET($BN$2,0,0,ROW()-1,60),ROW()-1,FALSE))</f>
        <v>0</v>
      </c>
      <c r="AE144">
        <f ca="1">IF(AND(ISNUMBER($AE$316),$B$183=1),$AE$316,HLOOKUP(INDIRECT(ADDRESS(2,COLUMN())),OFFSET($BN$2,0,0,ROW()-1,60),ROW()-1,FALSE))</f>
        <v>0</v>
      </c>
      <c r="AF144">
        <f ca="1">IF(AND(ISNUMBER($AF$316),$B$183=1),$AF$316,HLOOKUP(INDIRECT(ADDRESS(2,COLUMN())),OFFSET($BN$2,0,0,ROW()-1,60),ROW()-1,FALSE))</f>
        <v>0</v>
      </c>
      <c r="AG144">
        <f ca="1">IF(AND(ISNUMBER($AG$316),$B$183=1),$AG$316,HLOOKUP(INDIRECT(ADDRESS(2,COLUMN())),OFFSET($BN$2,0,0,ROW()-1,60),ROW()-1,FALSE))</f>
        <v>0</v>
      </c>
      <c r="AH144">
        <f ca="1">IF(AND(ISNUMBER($AH$316),$B$183=1),$AH$316,HLOOKUP(INDIRECT(ADDRESS(2,COLUMN())),OFFSET($BN$2,0,0,ROW()-1,60),ROW()-1,FALSE))</f>
        <v>0</v>
      </c>
      <c r="AI144">
        <f ca="1">IF(AND(ISNUMBER($AI$316),$B$183=1),$AI$316,HLOOKUP(INDIRECT(ADDRESS(2,COLUMN())),OFFSET($BN$2,0,0,ROW()-1,60),ROW()-1,FALSE))</f>
        <v>0</v>
      </c>
      <c r="AJ144">
        <f ca="1">IF(AND(ISNUMBER($AJ$316),$B$183=1),$AJ$316,HLOOKUP(INDIRECT(ADDRESS(2,COLUMN())),OFFSET($BN$2,0,0,ROW()-1,60),ROW()-1,FALSE))</f>
        <v>0</v>
      </c>
      <c r="AK144">
        <f ca="1">IF(AND(ISNUMBER($AK$316),$B$183=1),$AK$316,HLOOKUP(INDIRECT(ADDRESS(2,COLUMN())),OFFSET($BN$2,0,0,ROW()-1,60),ROW()-1,FALSE))</f>
        <v>0</v>
      </c>
      <c r="AL144">
        <f ca="1">IF(AND(ISNUMBER($AL$316),$B$183=1),$AL$316,HLOOKUP(INDIRECT(ADDRESS(2,COLUMN())),OFFSET($BN$2,0,0,ROW()-1,60),ROW()-1,FALSE))</f>
        <v>0</v>
      </c>
      <c r="AM144">
        <f ca="1">IF(AND(ISNUMBER($AM$316),$B$183=1),$AM$316,HLOOKUP(INDIRECT(ADDRESS(2,COLUMN())),OFFSET($BN$2,0,0,ROW()-1,60),ROW()-1,FALSE))</f>
        <v>0</v>
      </c>
      <c r="AN144">
        <f ca="1">IF(AND(ISNUMBER($AN$316),$B$183=1),$AN$316,HLOOKUP(INDIRECT(ADDRESS(2,COLUMN())),OFFSET($BN$2,0,0,ROW()-1,60),ROW()-1,FALSE))</f>
        <v>0</v>
      </c>
      <c r="AO144">
        <f ca="1">IF(AND(ISNUMBER($AO$316),$B$183=1),$AO$316,HLOOKUP(INDIRECT(ADDRESS(2,COLUMN())),OFFSET($BN$2,0,0,ROW()-1,60),ROW()-1,FALSE))</f>
        <v>0</v>
      </c>
      <c r="AP144">
        <f ca="1">IF(AND(ISNUMBER($AP$316),$B$183=1),$AP$316,HLOOKUP(INDIRECT(ADDRESS(2,COLUMN())),OFFSET($BN$2,0,0,ROW()-1,60),ROW()-1,FALSE))</f>
        <v>0</v>
      </c>
      <c r="AQ144">
        <f ca="1">IF(AND(ISNUMBER($AQ$316),$B$183=1),$AQ$316,HLOOKUP(INDIRECT(ADDRESS(2,COLUMN())),OFFSET($BN$2,0,0,ROW()-1,60),ROW()-1,FALSE))</f>
        <v>0</v>
      </c>
      <c r="AR144">
        <f ca="1">IF(AND(ISNUMBER($AR$316),$B$183=1),$AR$316,HLOOKUP(INDIRECT(ADDRESS(2,COLUMN())),OFFSET($BN$2,0,0,ROW()-1,60),ROW()-1,FALSE))</f>
        <v>0</v>
      </c>
      <c r="AS144">
        <f ca="1">IF(AND(ISNUMBER($AS$316),$B$183=1),$AS$316,HLOOKUP(INDIRECT(ADDRESS(2,COLUMN())),OFFSET($BN$2,0,0,ROW()-1,60),ROW()-1,FALSE))</f>
        <v>0</v>
      </c>
      <c r="AT144">
        <f ca="1">IF(AND(ISNUMBER($AT$316),$B$183=1),$AT$316,HLOOKUP(INDIRECT(ADDRESS(2,COLUMN())),OFFSET($BN$2,0,0,ROW()-1,60),ROW()-1,FALSE))</f>
        <v>0</v>
      </c>
      <c r="AU144">
        <f ca="1">IF(AND(ISNUMBER($AU$316),$B$183=1),$AU$316,HLOOKUP(INDIRECT(ADDRESS(2,COLUMN())),OFFSET($BN$2,0,0,ROW()-1,60),ROW()-1,FALSE))</f>
        <v>0</v>
      </c>
      <c r="AV144">
        <f ca="1">IF(AND(ISNUMBER($AV$316),$B$183=1),$AV$316,HLOOKUP(INDIRECT(ADDRESS(2,COLUMN())),OFFSET($BN$2,0,0,ROW()-1,60),ROW()-1,FALSE))</f>
        <v>0</v>
      </c>
      <c r="AW144">
        <f ca="1">IF(AND(ISNUMBER($AW$316),$B$183=1),$AW$316,HLOOKUP(INDIRECT(ADDRESS(2,COLUMN())),OFFSET($BN$2,0,0,ROW()-1,60),ROW()-1,FALSE))</f>
        <v>0</v>
      </c>
      <c r="AX144">
        <f ca="1">IF(AND(ISNUMBER($AX$316),$B$183=1),$AX$316,HLOOKUP(INDIRECT(ADDRESS(2,COLUMN())),OFFSET($BN$2,0,0,ROW()-1,60),ROW()-1,FALSE))</f>
        <v>0</v>
      </c>
      <c r="AY144">
        <f ca="1">IF(AND(ISNUMBER($AY$316),$B$183=1),$AY$316,HLOOKUP(INDIRECT(ADDRESS(2,COLUMN())),OFFSET($BN$2,0,0,ROW()-1,60),ROW()-1,FALSE))</f>
        <v>0</v>
      </c>
      <c r="AZ144">
        <f ca="1">IF(AND(ISNUMBER($AZ$316),$B$183=1),$AZ$316,HLOOKUP(INDIRECT(ADDRESS(2,COLUMN())),OFFSET($BN$2,0,0,ROW()-1,60),ROW()-1,FALSE))</f>
        <v>0</v>
      </c>
      <c r="BA144">
        <f ca="1">IF(AND(ISNUMBER($BA$316),$B$183=1),$BA$316,HLOOKUP(INDIRECT(ADDRESS(2,COLUMN())),OFFSET($BN$2,0,0,ROW()-1,60),ROW()-1,FALSE))</f>
        <v>0</v>
      </c>
      <c r="BB144">
        <f ca="1">IF(AND(ISNUMBER($BB$316),$B$183=1),$BB$316,HLOOKUP(INDIRECT(ADDRESS(2,COLUMN())),OFFSET($BN$2,0,0,ROW()-1,60),ROW()-1,FALSE))</f>
        <v>0</v>
      </c>
      <c r="BC144">
        <f ca="1">IF(AND(ISNUMBER($BC$316),$B$183=1),$BC$316,HLOOKUP(INDIRECT(ADDRESS(2,COLUMN())),OFFSET($BN$2,0,0,ROW()-1,60),ROW()-1,FALSE))</f>
        <v>0</v>
      </c>
      <c r="BD144">
        <f ca="1">IF(AND(ISNUMBER($BD$316),$B$183=1),$BD$316,HLOOKUP(INDIRECT(ADDRESS(2,COLUMN())),OFFSET($BN$2,0,0,ROW()-1,60),ROW()-1,FALSE))</f>
        <v>0</v>
      </c>
      <c r="BE144">
        <f ca="1">IF(AND(ISNUMBER($BE$316),$B$183=1),$BE$316,HLOOKUP(INDIRECT(ADDRESS(2,COLUMN())),OFFSET($BN$2,0,0,ROW()-1,60),ROW()-1,FALSE))</f>
        <v>0</v>
      </c>
      <c r="BF144">
        <f ca="1">IF(AND(ISNUMBER($BF$316),$B$183=1),$BF$316,HLOOKUP(INDIRECT(ADDRESS(2,COLUMN())),OFFSET($BN$2,0,0,ROW()-1,60),ROW()-1,FALSE))</f>
        <v>0</v>
      </c>
      <c r="BG144">
        <f ca="1">IF(AND(ISNUMBER($BG$316),$B$183=1),$BG$316,HLOOKUP(INDIRECT(ADDRESS(2,COLUMN())),OFFSET($BN$2,0,0,ROW()-1,60),ROW()-1,FALSE))</f>
        <v>0</v>
      </c>
      <c r="BH144">
        <f ca="1">IF(AND(ISNUMBER($BH$316),$B$183=1),$BH$316,HLOOKUP(INDIRECT(ADDRESS(2,COLUMN())),OFFSET($BN$2,0,0,ROW()-1,60),ROW()-1,FALSE))</f>
        <v>0</v>
      </c>
      <c r="BI144">
        <f ca="1">IF(AND(ISNUMBER($BI$316),$B$183=1),$BI$316,HLOOKUP(INDIRECT(ADDRESS(2,COLUMN())),OFFSET($BN$2,0,0,ROW()-1,60),ROW()-1,FALSE))</f>
        <v>0</v>
      </c>
      <c r="BJ144">
        <f ca="1">IF(AND(ISNUMBER($BJ$316),$B$183=1),$BJ$316,HLOOKUP(INDIRECT(ADDRESS(2,COLUMN())),OFFSET($BN$2,0,0,ROW()-1,60),ROW()-1,FALSE))</f>
        <v>0</v>
      </c>
      <c r="BK144">
        <f ca="1">IF(AND(ISNUMBER($BK$316),$B$183=1),$BK$316,HLOOKUP(INDIRECT(ADDRESS(2,COLUMN())),OFFSET($BN$2,0,0,ROW()-1,60),ROW()-1,FALSE))</f>
        <v>0</v>
      </c>
      <c r="BL144">
        <f ca="1">IF(AND(ISNUMBER($BL$316),$B$183=1),$BL$316,HLOOKUP(INDIRECT(ADDRESS(2,COLUMN())),OFFSET($BN$2,0,0,ROW()-1,60),ROW()-1,FALSE))</f>
        <v>0</v>
      </c>
      <c r="BM144">
        <f ca="1">IF(AND(ISNUMBER($BM$316),$B$183=1),$BM$316,HLOOKUP(INDIRECT(ADDRESS(2,COLUMN())),OFFSET($BN$2,0,0,ROW()-1,60),ROW()-1,FALSE))</f>
        <v>0</v>
      </c>
      <c r="BN144">
        <f>800</f>
        <v>800</v>
      </c>
      <c r="BO144">
        <f>800</f>
        <v>800</v>
      </c>
      <c r="BP144">
        <f>800</f>
        <v>800</v>
      </c>
      <c r="BQ144">
        <f>800</f>
        <v>800</v>
      </c>
      <c r="BR144">
        <f>800</f>
        <v>800</v>
      </c>
      <c r="BS144">
        <f>800</f>
        <v>800</v>
      </c>
      <c r="BT144">
        <f>800</f>
        <v>800</v>
      </c>
      <c r="BU144">
        <f>800</f>
        <v>800</v>
      </c>
      <c r="BV144">
        <f>0</f>
        <v>0</v>
      </c>
      <c r="BW144">
        <f>45</f>
        <v>45</v>
      </c>
      <c r="BX144">
        <f>75</f>
        <v>75</v>
      </c>
      <c r="BY144">
        <f>313</f>
        <v>313</v>
      </c>
      <c r="BZ144">
        <f>240</f>
        <v>240</v>
      </c>
      <c r="CA144">
        <f>240</f>
        <v>240</v>
      </c>
      <c r="CB144">
        <f>240</f>
        <v>240</v>
      </c>
      <c r="CC144">
        <f>240</f>
        <v>240</v>
      </c>
      <c r="CD144">
        <f>240</f>
        <v>240</v>
      </c>
      <c r="CE144">
        <f>0</f>
        <v>0</v>
      </c>
      <c r="CF144">
        <f>0</f>
        <v>0</v>
      </c>
      <c r="CG144">
        <f>0</f>
        <v>0</v>
      </c>
      <c r="CH144">
        <f>0</f>
        <v>0</v>
      </c>
      <c r="CI144">
        <f>0</f>
        <v>0</v>
      </c>
      <c r="CJ144">
        <f>0</f>
        <v>0</v>
      </c>
      <c r="CK144">
        <f>0</f>
        <v>0</v>
      </c>
      <c r="CL144">
        <f>0</f>
        <v>0</v>
      </c>
      <c r="CM144">
        <f>0</f>
        <v>0</v>
      </c>
      <c r="CN144">
        <f>0</f>
        <v>0</v>
      </c>
      <c r="CO144">
        <f>0</f>
        <v>0</v>
      </c>
      <c r="CP144">
        <f>0</f>
        <v>0</v>
      </c>
      <c r="CQ144">
        <f>0</f>
        <v>0</v>
      </c>
      <c r="CR144">
        <f>0</f>
        <v>0</v>
      </c>
      <c r="CS144">
        <f>0</f>
        <v>0</v>
      </c>
      <c r="CT144">
        <f>0</f>
        <v>0</v>
      </c>
      <c r="CU144">
        <f>0</f>
        <v>0</v>
      </c>
      <c r="CV144">
        <f>0</f>
        <v>0</v>
      </c>
      <c r="CW144">
        <f>0</f>
        <v>0</v>
      </c>
      <c r="CX144">
        <f>0</f>
        <v>0</v>
      </c>
      <c r="CY144">
        <f>0</f>
        <v>0</v>
      </c>
      <c r="CZ144">
        <f>0</f>
        <v>0</v>
      </c>
      <c r="DA144">
        <f>0</f>
        <v>0</v>
      </c>
      <c r="DB144">
        <f>0</f>
        <v>0</v>
      </c>
      <c r="DC144">
        <f>0</f>
        <v>0</v>
      </c>
      <c r="DD144">
        <f>0</f>
        <v>0</v>
      </c>
      <c r="DE144">
        <f>0</f>
        <v>0</v>
      </c>
      <c r="DF144">
        <f>0</f>
        <v>0</v>
      </c>
      <c r="DG144">
        <f>0</f>
        <v>0</v>
      </c>
      <c r="DH144">
        <f>0</f>
        <v>0</v>
      </c>
      <c r="DI144">
        <f>0</f>
        <v>0</v>
      </c>
      <c r="DJ144">
        <f>0</f>
        <v>0</v>
      </c>
      <c r="DK144">
        <f>0</f>
        <v>0</v>
      </c>
      <c r="DL144">
        <f>0</f>
        <v>0</v>
      </c>
      <c r="DM144">
        <f>0</f>
        <v>0</v>
      </c>
      <c r="DN144">
        <f>0</f>
        <v>0</v>
      </c>
      <c r="DO144">
        <f>0</f>
        <v>0</v>
      </c>
      <c r="DP144">
        <f>0</f>
        <v>0</v>
      </c>
      <c r="DQ144">
        <f>0</f>
        <v>0</v>
      </c>
      <c r="DR144">
        <f>0</f>
        <v>0</v>
      </c>
      <c r="DS144">
        <f>0</f>
        <v>0</v>
      </c>
      <c r="DT144">
        <f>0</f>
        <v>0</v>
      </c>
      <c r="DU144">
        <f>0</f>
        <v>0</v>
      </c>
    </row>
    <row r="145" spans="1:125">
      <c r="A145" t="str">
        <f>"    Total Self Storage REITs"</f>
        <v xml:space="preserve">    Total Self Storage REITs</v>
      </c>
      <c r="B145" t="str">
        <f>"RECFDVSS Index"</f>
        <v>RECFDVSS Index</v>
      </c>
      <c r="C145" t="str">
        <f t="shared" si="30"/>
        <v>PR005</v>
      </c>
      <c r="D145" t="str">
        <f t="shared" si="31"/>
        <v>PX_LAST</v>
      </c>
      <c r="E145" t="str">
        <f t="shared" si="32"/>
        <v>动态</v>
      </c>
      <c r="F145">
        <f ca="1">IF(AND(ISNUMBER($F$317),$B$183=1),$F$317,HLOOKUP(INDIRECT(ADDRESS(2,COLUMN())),OFFSET($BN$2,0,0,ROW()-1,60),ROW()-1,FALSE))</f>
        <v>597.5</v>
      </c>
      <c r="G145">
        <f ca="1">IF(AND(ISNUMBER($G$317),$B$183=1),$G$317,HLOOKUP(INDIRECT(ADDRESS(2,COLUMN())),OFFSET($BN$2,0,0,ROW()-1,60),ROW()-1,FALSE))</f>
        <v>645.29999999999995</v>
      </c>
      <c r="H145">
        <f ca="1">IF(AND(ISNUMBER($H$317),$B$183=1),$H$317,HLOOKUP(INDIRECT(ADDRESS(2,COLUMN())),OFFSET($BN$2,0,0,ROW()-1,60),ROW()-1,FALSE))</f>
        <v>805.49</v>
      </c>
      <c r="I145">
        <f ca="1">IF(AND(ISNUMBER($I$317),$B$183=1),$I$317,HLOOKUP(INDIRECT(ADDRESS(2,COLUMN())),OFFSET($BN$2,0,0,ROW()-1,60),ROW()-1,FALSE))</f>
        <v>781.19</v>
      </c>
      <c r="J145">
        <f ca="1">IF(AND(ISNUMBER($J$317),$B$183=1),$J$317,HLOOKUP(INDIRECT(ADDRESS(2,COLUMN())),OFFSET($BN$2,0,0,ROW()-1,60),ROW()-1,FALSE))</f>
        <v>824.89</v>
      </c>
      <c r="K145">
        <f ca="1">IF(AND(ISNUMBER($K$317),$B$183=1),$K$317,HLOOKUP(INDIRECT(ADDRESS(2,COLUMN())),OFFSET($BN$2,0,0,ROW()-1,60),ROW()-1,FALSE))</f>
        <v>846.15</v>
      </c>
      <c r="L145">
        <f ca="1">IF(AND(ISNUMBER($L$317),$B$183=1),$L$317,HLOOKUP(INDIRECT(ADDRESS(2,COLUMN())),OFFSET($BN$2,0,0,ROW()-1,60),ROW()-1,FALSE))</f>
        <v>728.2</v>
      </c>
      <c r="M145">
        <f ca="1">IF(AND(ISNUMBER($M$317),$B$183=1),$M$317,HLOOKUP(INDIRECT(ADDRESS(2,COLUMN())),OFFSET($BN$2,0,0,ROW()-1,60),ROW()-1,FALSE))</f>
        <v>712.6</v>
      </c>
      <c r="N145">
        <f ca="1">IF(AND(ISNUMBER($N$317),$B$183=1),$N$317,HLOOKUP(INDIRECT(ADDRESS(2,COLUMN())),OFFSET($BN$2,0,0,ROW()-1,60),ROW()-1,FALSE))</f>
        <v>544.70000000000005</v>
      </c>
      <c r="O145">
        <f ca="1">IF(AND(ISNUMBER($O$317),$B$183=1),$O$317,HLOOKUP(INDIRECT(ADDRESS(2,COLUMN())),OFFSET($BN$2,0,0,ROW()-1,60),ROW()-1,FALSE))</f>
        <v>539.9</v>
      </c>
      <c r="P145">
        <f ca="1">IF(AND(ISNUMBER($P$317),$B$183=1),$P$317,HLOOKUP(INDIRECT(ADDRESS(2,COLUMN())),OFFSET($BN$2,0,0,ROW()-1,60),ROW()-1,FALSE))</f>
        <v>524.9</v>
      </c>
      <c r="Q145">
        <f ca="1">IF(AND(ISNUMBER($Q$317),$B$183=1),$Q$317,HLOOKUP(INDIRECT(ADDRESS(2,COLUMN())),OFFSET($BN$2,0,0,ROW()-1,60),ROW()-1,FALSE))</f>
        <v>502.6</v>
      </c>
      <c r="R145">
        <f ca="1">IF(AND(ISNUMBER($R$317),$B$183=1),$R$317,HLOOKUP(INDIRECT(ADDRESS(2,COLUMN())),OFFSET($BN$2,0,0,ROW()-1,60),ROW()-1,FALSE))</f>
        <v>462.9</v>
      </c>
      <c r="S145">
        <f ca="1">IF(AND(ISNUMBER($S$317),$B$183=1),$S$317,HLOOKUP(INDIRECT(ADDRESS(2,COLUMN())),OFFSET($BN$2,0,0,ROW()-1,60),ROW()-1,FALSE))</f>
        <v>79.885000000000005</v>
      </c>
      <c r="T145">
        <f ca="1">IF(AND(ISNUMBER($T$317),$B$183=1),$T$317,HLOOKUP(INDIRECT(ADDRESS(2,COLUMN())),OFFSET($BN$2,0,0,ROW()-1,60),ROW()-1,FALSE))</f>
        <v>79.885000000000005</v>
      </c>
      <c r="U145">
        <f ca="1">IF(AND(ISNUMBER($U$317),$B$183=1),$U$317,HLOOKUP(INDIRECT(ADDRESS(2,COLUMN())),OFFSET($BN$2,0,0,ROW()-1,60),ROW()-1,FALSE))</f>
        <v>81.5</v>
      </c>
      <c r="V145">
        <f ca="1">IF(AND(ISNUMBER($V$317),$B$183=1),$V$317,HLOOKUP(INDIRECT(ADDRESS(2,COLUMN())),OFFSET($BN$2,0,0,ROW()-1,60),ROW()-1,FALSE))</f>
        <v>0</v>
      </c>
      <c r="W145">
        <f ca="1">IF(AND(ISNUMBER($W$317),$B$183=1),$W$317,HLOOKUP(INDIRECT(ADDRESS(2,COLUMN())),OFFSET($BN$2,0,0,ROW()-1,60),ROW()-1,FALSE))</f>
        <v>0</v>
      </c>
      <c r="X145">
        <f ca="1">IF(AND(ISNUMBER($X$317),$B$183=1),$X$317,HLOOKUP(INDIRECT(ADDRESS(2,COLUMN())),OFFSET($BN$2,0,0,ROW()-1,60),ROW()-1,FALSE))</f>
        <v>0</v>
      </c>
      <c r="Y145">
        <f ca="1">IF(AND(ISNUMBER($Y$317),$B$183=1),$Y$317,HLOOKUP(INDIRECT(ADDRESS(2,COLUMN())),OFFSET($BN$2,0,0,ROW()-1,60),ROW()-1,FALSE))</f>
        <v>0</v>
      </c>
      <c r="Z145">
        <f ca="1">IF(AND(ISNUMBER($Z$317),$B$183=1),$Z$317,HLOOKUP(INDIRECT(ADDRESS(2,COLUMN())),OFFSET($BN$2,0,0,ROW()-1,60),ROW()-1,FALSE))</f>
        <v>0</v>
      </c>
      <c r="AA145">
        <f ca="1">IF(AND(ISNUMBER($AA$317),$B$183=1),$AA$317,HLOOKUP(INDIRECT(ADDRESS(2,COLUMN())),OFFSET($BN$2,0,0,ROW()-1,60),ROW()-1,FALSE))</f>
        <v>0</v>
      </c>
      <c r="AB145">
        <f ca="1">IF(AND(ISNUMBER($AB$317),$B$183=1),$AB$317,HLOOKUP(INDIRECT(ADDRESS(2,COLUMN())),OFFSET($BN$2,0,0,ROW()-1,60),ROW()-1,FALSE))</f>
        <v>11.102</v>
      </c>
      <c r="AC145">
        <f ca="1">IF(AND(ISNUMBER($AC$317),$B$183=1),$AC$317,HLOOKUP(INDIRECT(ADDRESS(2,COLUMN())),OFFSET($BN$2,0,0,ROW()-1,60),ROW()-1,FALSE))</f>
        <v>11.102</v>
      </c>
      <c r="AD145">
        <f ca="1">IF(AND(ISNUMBER($AD$317),$B$183=1),$AD$317,HLOOKUP(INDIRECT(ADDRESS(2,COLUMN())),OFFSET($BN$2,0,0,ROW()-1,60),ROW()-1,FALSE))</f>
        <v>11.102</v>
      </c>
      <c r="AE145">
        <f ca="1">IF(AND(ISNUMBER($AE$317),$B$183=1),$AE$317,HLOOKUP(INDIRECT(ADDRESS(2,COLUMN())),OFFSET($BN$2,0,0,ROW()-1,60),ROW()-1,FALSE))</f>
        <v>11.102</v>
      </c>
      <c r="AF145">
        <f ca="1">IF(AND(ISNUMBER($AF$317),$B$183=1),$AF$317,HLOOKUP(INDIRECT(ADDRESS(2,COLUMN())),OFFSET($BN$2,0,0,ROW()-1,60),ROW()-1,FALSE))</f>
        <v>11.102</v>
      </c>
      <c r="AG145">
        <f ca="1">IF(AND(ISNUMBER($AG$317),$B$183=1),$AG$317,HLOOKUP(INDIRECT(ADDRESS(2,COLUMN())),OFFSET($BN$2,0,0,ROW()-1,60),ROW()-1,FALSE))</f>
        <v>21.881</v>
      </c>
      <c r="AH145">
        <f ca="1">IF(AND(ISNUMBER($AH$317),$B$183=1),$AH$317,HLOOKUP(INDIRECT(ADDRESS(2,COLUMN())),OFFSET($BN$2,0,0,ROW()-1,60),ROW()-1,FALSE))</f>
        <v>58.118000000000002</v>
      </c>
      <c r="AI145">
        <f ca="1">IF(AND(ISNUMBER($AI$317),$B$183=1),$AI$317,HLOOKUP(INDIRECT(ADDRESS(2,COLUMN())),OFFSET($BN$2,0,0,ROW()-1,60),ROW()-1,FALSE))</f>
        <v>58.118000000000002</v>
      </c>
      <c r="AJ145">
        <f ca="1">IF(AND(ISNUMBER($AJ$317),$B$183=1),$AJ$317,HLOOKUP(INDIRECT(ADDRESS(2,COLUMN())),OFFSET($BN$2,0,0,ROW()-1,60),ROW()-1,FALSE))</f>
        <v>68.861000000000004</v>
      </c>
      <c r="AK145">
        <f ca="1">IF(AND(ISNUMBER($AK$317),$B$183=1),$AK$317,HLOOKUP(INDIRECT(ADDRESS(2,COLUMN())),OFFSET($BN$2,0,0,ROW()-1,60),ROW()-1,FALSE))</f>
        <v>90.567999999999998</v>
      </c>
      <c r="AL145">
        <f ca="1">IF(AND(ISNUMBER($AL$317),$B$183=1),$AL$317,HLOOKUP(INDIRECT(ADDRESS(2,COLUMN())),OFFSET($BN$2,0,0,ROW()-1,60),ROW()-1,FALSE))</f>
        <v>100.871</v>
      </c>
      <c r="AM145">
        <f ca="1">IF(AND(ISNUMBER($AM$317),$B$183=1),$AM$317,HLOOKUP(INDIRECT(ADDRESS(2,COLUMN())),OFFSET($BN$2,0,0,ROW()-1,60),ROW()-1,FALSE))</f>
        <v>139.32900000000001</v>
      </c>
      <c r="AN145">
        <f ca="1">IF(AND(ISNUMBER($AN$317),$B$183=1),$AN$317,HLOOKUP(INDIRECT(ADDRESS(2,COLUMN())),OFFSET($BN$2,0,0,ROW()-1,60),ROW()-1,FALSE))</f>
        <v>171.58199999999999</v>
      </c>
      <c r="AO145">
        <f ca="1">IF(AND(ISNUMBER($AO$317),$B$183=1),$AO$317,HLOOKUP(INDIRECT(ADDRESS(2,COLUMN())),OFFSET($BN$2,0,0,ROW()-1,60),ROW()-1,FALSE))</f>
        <v>163.477</v>
      </c>
      <c r="AP145">
        <f ca="1">IF(AND(ISNUMBER($AP$317),$B$183=1),$AP$317,HLOOKUP(INDIRECT(ADDRESS(2,COLUMN())),OFFSET($BN$2,0,0,ROW()-1,60),ROW()-1,FALSE))</f>
        <v>181.84299999999999</v>
      </c>
      <c r="AQ145">
        <f ca="1">IF(AND(ISNUMBER($AQ$317),$B$183=1),$AQ$317,HLOOKUP(INDIRECT(ADDRESS(2,COLUMN())),OFFSET($BN$2,0,0,ROW()-1,60),ROW()-1,FALSE))</f>
        <v>233.20699999999999</v>
      </c>
      <c r="AR145">
        <f ca="1">IF(AND(ISNUMBER($AR$317),$B$183=1),$AR$317,HLOOKUP(INDIRECT(ADDRESS(2,COLUMN())),OFFSET($BN$2,0,0,ROW()-1,60),ROW()-1,FALSE))</f>
        <v>254.68</v>
      </c>
      <c r="AS145">
        <f ca="1">IF(AND(ISNUMBER($AS$317),$B$183=1),$AS$317,HLOOKUP(INDIRECT(ADDRESS(2,COLUMN())),OFFSET($BN$2,0,0,ROW()-1,60),ROW()-1,FALSE))</f>
        <v>228.24700000000001</v>
      </c>
      <c r="AT145">
        <f ca="1">IF(AND(ISNUMBER($AT$317),$B$183=1),$AT$317,HLOOKUP(INDIRECT(ADDRESS(2,COLUMN())),OFFSET($BN$2,0,0,ROW()-1,60),ROW()-1,FALSE))</f>
        <v>342.09399999999999</v>
      </c>
      <c r="AU145">
        <f ca="1">IF(AND(ISNUMBER($AU$317),$B$183=1),$AU$317,HLOOKUP(INDIRECT(ADDRESS(2,COLUMN())),OFFSET($BN$2,0,0,ROW()-1,60),ROW()-1,FALSE))</f>
        <v>442.673</v>
      </c>
      <c r="AV145">
        <f ca="1">IF(AND(ISNUMBER($AV$317),$B$183=1),$AV$317,HLOOKUP(INDIRECT(ADDRESS(2,COLUMN())),OFFSET($BN$2,0,0,ROW()-1,60),ROW()-1,FALSE))</f>
        <v>419.64800000000002</v>
      </c>
      <c r="AW145">
        <f ca="1">IF(AND(ISNUMBER($AW$317),$B$183=1),$AW$317,HLOOKUP(INDIRECT(ADDRESS(2,COLUMN())),OFFSET($BN$2,0,0,ROW()-1,60),ROW()-1,FALSE))</f>
        <v>430.327</v>
      </c>
      <c r="AX145">
        <f ca="1">IF(AND(ISNUMBER($AX$317),$B$183=1),$AX$317,HLOOKUP(INDIRECT(ADDRESS(2,COLUMN())),OFFSET($BN$2,0,0,ROW()-1,60),ROW()-1,FALSE))</f>
        <v>266.08100000000002</v>
      </c>
      <c r="AY145">
        <f ca="1">IF(AND(ISNUMBER($AY$317),$B$183=1),$AY$317,HLOOKUP(INDIRECT(ADDRESS(2,COLUMN())),OFFSET($BN$2,0,0,ROW()-1,60),ROW()-1,FALSE))</f>
        <v>219.2</v>
      </c>
      <c r="AZ145">
        <f ca="1">IF(AND(ISNUMBER($AZ$317),$B$183=1),$AZ$317,HLOOKUP(INDIRECT(ADDRESS(2,COLUMN())),OFFSET($BN$2,0,0,ROW()-1,60),ROW()-1,FALSE))</f>
        <v>372.63600000000002</v>
      </c>
      <c r="BA145">
        <f ca="1">IF(AND(ISNUMBER($BA$317),$B$183=1),$BA$317,HLOOKUP(INDIRECT(ADDRESS(2,COLUMN())),OFFSET($BN$2,0,0,ROW()-1,60),ROW()-1,FALSE))</f>
        <v>420.51600000000002</v>
      </c>
      <c r="BB145">
        <f ca="1">IF(AND(ISNUMBER($BB$317),$B$183=1),$BB$317,HLOOKUP(INDIRECT(ADDRESS(2,COLUMN())),OFFSET($BN$2,0,0,ROW()-1,60),ROW()-1,FALSE))</f>
        <v>431.084</v>
      </c>
      <c r="BC145">
        <f ca="1">IF(AND(ISNUMBER($BC$317),$B$183=1),$BC$317,HLOOKUP(INDIRECT(ADDRESS(2,COLUMN())),OFFSET($BN$2,0,0,ROW()-1,60),ROW()-1,FALSE))</f>
        <v>407.81799999999998</v>
      </c>
      <c r="BD145">
        <f ca="1">IF(AND(ISNUMBER($BD$317),$B$183=1),$BD$317,HLOOKUP(INDIRECT(ADDRESS(2,COLUMN())),OFFSET($BN$2,0,0,ROW()-1,60),ROW()-1,FALSE))</f>
        <v>362.66899999999998</v>
      </c>
      <c r="BE145">
        <f ca="1">IF(AND(ISNUMBER($BE$317),$B$183=1),$BE$317,HLOOKUP(INDIRECT(ADDRESS(2,COLUMN())),OFFSET($BN$2,0,0,ROW()-1,60),ROW()-1,FALSE))</f>
        <v>347.42399999999998</v>
      </c>
      <c r="BF145">
        <f ca="1">IF(AND(ISNUMBER($BF$317),$B$183=1),$BF$317,HLOOKUP(INDIRECT(ADDRESS(2,COLUMN())),OFFSET($BN$2,0,0,ROW()-1,60),ROW()-1,FALSE))</f>
        <v>336.25700000000001</v>
      </c>
      <c r="BG145">
        <f ca="1">IF(AND(ISNUMBER($BG$317),$B$183=1),$BG$317,HLOOKUP(INDIRECT(ADDRESS(2,COLUMN())),OFFSET($BN$2,0,0,ROW()-1,60),ROW()-1,FALSE))</f>
        <v>263.29399999999998</v>
      </c>
      <c r="BH145">
        <f ca="1">IF(AND(ISNUMBER($BH$317),$B$183=1),$BH$317,HLOOKUP(INDIRECT(ADDRESS(2,COLUMN())),OFFSET($BN$2,0,0,ROW()-1,60),ROW()-1,FALSE))</f>
        <v>226.834</v>
      </c>
      <c r="BI145">
        <f ca="1">IF(AND(ISNUMBER($BI$317),$B$183=1),$BI$317,HLOOKUP(INDIRECT(ADDRESS(2,COLUMN())),OFFSET($BN$2,0,0,ROW()-1,60),ROW()-1,FALSE))</f>
        <v>233.22399999999999</v>
      </c>
      <c r="BJ145">
        <f ca="1">IF(AND(ISNUMBER($BJ$317),$B$183=1),$BJ$317,HLOOKUP(INDIRECT(ADDRESS(2,COLUMN())),OFFSET($BN$2,0,0,ROW()-1,60),ROW()-1,FALSE))</f>
        <v>240.23599999999999</v>
      </c>
      <c r="BK145">
        <f ca="1">IF(AND(ISNUMBER($BK$317),$B$183=1),$BK$317,HLOOKUP(INDIRECT(ADDRESS(2,COLUMN())),OFFSET($BN$2,0,0,ROW()-1,60),ROW()-1,FALSE))</f>
        <v>0</v>
      </c>
      <c r="BL145">
        <f ca="1">IF(AND(ISNUMBER($BL$317),$B$183=1),$BL$317,HLOOKUP(INDIRECT(ADDRESS(2,COLUMN())),OFFSET($BN$2,0,0,ROW()-1,60),ROW()-1,FALSE))</f>
        <v>0</v>
      </c>
      <c r="BM145">
        <f ca="1">IF(AND(ISNUMBER($BM$317),$B$183=1),$BM$317,HLOOKUP(INDIRECT(ADDRESS(2,COLUMN())),OFFSET($BN$2,0,0,ROW()-1,60),ROW()-1,FALSE))</f>
        <v>0</v>
      </c>
      <c r="BN145">
        <f>597.5</f>
        <v>597.5</v>
      </c>
      <c r="BO145">
        <f>645.3</f>
        <v>645.29999999999995</v>
      </c>
      <c r="BP145">
        <f>805.49</f>
        <v>805.49</v>
      </c>
      <c r="BQ145">
        <f>781.19</f>
        <v>781.19</v>
      </c>
      <c r="BR145">
        <f>824.89</f>
        <v>824.89</v>
      </c>
      <c r="BS145">
        <f>846.15</f>
        <v>846.15</v>
      </c>
      <c r="BT145">
        <f>728.2</f>
        <v>728.2</v>
      </c>
      <c r="BU145">
        <f>712.6</f>
        <v>712.6</v>
      </c>
      <c r="BV145">
        <f>544.7</f>
        <v>544.70000000000005</v>
      </c>
      <c r="BW145">
        <f>539.9</f>
        <v>539.9</v>
      </c>
      <c r="BX145">
        <f>524.9</f>
        <v>524.9</v>
      </c>
      <c r="BY145">
        <f>502.6</f>
        <v>502.6</v>
      </c>
      <c r="BZ145">
        <f>462.9</f>
        <v>462.9</v>
      </c>
      <c r="CA145">
        <f>79.885</f>
        <v>79.885000000000005</v>
      </c>
      <c r="CB145">
        <f>79.885</f>
        <v>79.885000000000005</v>
      </c>
      <c r="CC145">
        <f>81.5</f>
        <v>81.5</v>
      </c>
      <c r="CD145">
        <f>0</f>
        <v>0</v>
      </c>
      <c r="CE145">
        <f>0</f>
        <v>0</v>
      </c>
      <c r="CF145">
        <f>0</f>
        <v>0</v>
      </c>
      <c r="CG145">
        <f>0</f>
        <v>0</v>
      </c>
      <c r="CH145">
        <f>0</f>
        <v>0</v>
      </c>
      <c r="CI145">
        <f>0</f>
        <v>0</v>
      </c>
      <c r="CJ145">
        <f>11.102</f>
        <v>11.102</v>
      </c>
      <c r="CK145">
        <f>11.102</f>
        <v>11.102</v>
      </c>
      <c r="CL145">
        <f>11.102</f>
        <v>11.102</v>
      </c>
      <c r="CM145">
        <f>11.102</f>
        <v>11.102</v>
      </c>
      <c r="CN145">
        <f>11.102</f>
        <v>11.102</v>
      </c>
      <c r="CO145">
        <f>21.881</f>
        <v>21.881</v>
      </c>
      <c r="CP145">
        <f>58.118</f>
        <v>58.118000000000002</v>
      </c>
      <c r="CQ145">
        <f>58.118</f>
        <v>58.118000000000002</v>
      </c>
      <c r="CR145">
        <f>68.861</f>
        <v>68.861000000000004</v>
      </c>
      <c r="CS145">
        <f>90.568</f>
        <v>90.567999999999998</v>
      </c>
      <c r="CT145">
        <f>100.871</f>
        <v>100.871</v>
      </c>
      <c r="CU145">
        <f>139.329</f>
        <v>139.32900000000001</v>
      </c>
      <c r="CV145">
        <f>171.582</f>
        <v>171.58199999999999</v>
      </c>
      <c r="CW145">
        <f>163.477</f>
        <v>163.477</v>
      </c>
      <c r="CX145">
        <f>181.843</f>
        <v>181.84299999999999</v>
      </c>
      <c r="CY145">
        <f>233.207</f>
        <v>233.20699999999999</v>
      </c>
      <c r="CZ145">
        <f>254.68</f>
        <v>254.68</v>
      </c>
      <c r="DA145">
        <f>228.247</f>
        <v>228.24700000000001</v>
      </c>
      <c r="DB145">
        <f>342.094</f>
        <v>342.09399999999999</v>
      </c>
      <c r="DC145">
        <f>442.673</f>
        <v>442.673</v>
      </c>
      <c r="DD145">
        <f>419.648</f>
        <v>419.64800000000002</v>
      </c>
      <c r="DE145">
        <f>430.327</f>
        <v>430.327</v>
      </c>
      <c r="DF145">
        <f>266.081</f>
        <v>266.08100000000002</v>
      </c>
      <c r="DG145">
        <f>219.2</f>
        <v>219.2</v>
      </c>
      <c r="DH145">
        <f>372.636</f>
        <v>372.63600000000002</v>
      </c>
      <c r="DI145">
        <f>420.516</f>
        <v>420.51600000000002</v>
      </c>
      <c r="DJ145">
        <f>431.084</f>
        <v>431.084</v>
      </c>
      <c r="DK145">
        <f>407.818</f>
        <v>407.81799999999998</v>
      </c>
      <c r="DL145">
        <f>362.669</f>
        <v>362.66899999999998</v>
      </c>
      <c r="DM145">
        <f>347.424</f>
        <v>347.42399999999998</v>
      </c>
      <c r="DN145">
        <f>336.257</f>
        <v>336.25700000000001</v>
      </c>
      <c r="DO145">
        <f>263.294</f>
        <v>263.29399999999998</v>
      </c>
      <c r="DP145">
        <f>226.834</f>
        <v>226.834</v>
      </c>
      <c r="DQ145">
        <f>233.224</f>
        <v>233.22399999999999</v>
      </c>
      <c r="DR145">
        <f>240.236</f>
        <v>240.23599999999999</v>
      </c>
      <c r="DS145">
        <f>0</f>
        <v>0</v>
      </c>
      <c r="DT145">
        <f>0</f>
        <v>0</v>
      </c>
      <c r="DU145">
        <f>0</f>
        <v>0</v>
      </c>
    </row>
    <row r="146" spans="1:125">
      <c r="A146" t="str">
        <f>"    Total Health Care REITs"</f>
        <v xml:space="preserve">    Total Health Care REITs</v>
      </c>
      <c r="B146" t="str">
        <f>"RECFDVHC Index"</f>
        <v>RECFDVHC Index</v>
      </c>
      <c r="C146" t="str">
        <f t="shared" si="30"/>
        <v>PR005</v>
      </c>
      <c r="D146" t="str">
        <f t="shared" si="31"/>
        <v>PX_LAST</v>
      </c>
      <c r="E146" t="str">
        <f t="shared" si="32"/>
        <v>动态</v>
      </c>
      <c r="F146">
        <f ca="1">IF(AND(ISNUMBER($F$318),$B$183=1),$F$318,HLOOKUP(INDIRECT(ADDRESS(2,COLUMN())),OFFSET($BN$2,0,0,ROW()-1,60),ROW()-1,FALSE))</f>
        <v>2284.0830000000001</v>
      </c>
      <c r="G146">
        <f ca="1">IF(AND(ISNUMBER($G$318),$B$183=1),$G$318,HLOOKUP(INDIRECT(ADDRESS(2,COLUMN())),OFFSET($BN$2,0,0,ROW()-1,60),ROW()-1,FALSE))</f>
        <v>2194.5309999999999</v>
      </c>
      <c r="H146">
        <f ca="1">IF(AND(ISNUMBER($H$318),$B$183=1),$H$318,HLOOKUP(INDIRECT(ADDRESS(2,COLUMN())),OFFSET($BN$2,0,0,ROW()-1,60),ROW()-1,FALSE))</f>
        <v>2283.5929999999998</v>
      </c>
      <c r="I146">
        <f ca="1">IF(AND(ISNUMBER($I$318),$B$183=1),$I$318,HLOOKUP(INDIRECT(ADDRESS(2,COLUMN())),OFFSET($BN$2,0,0,ROW()-1,60),ROW()-1,FALSE))</f>
        <v>2413.663</v>
      </c>
      <c r="J146">
        <f ca="1">IF(AND(ISNUMBER($J$318),$B$183=1),$J$318,HLOOKUP(INDIRECT(ADDRESS(2,COLUMN())),OFFSET($BN$2,0,0,ROW()-1,60),ROW()-1,FALSE))</f>
        <v>2508.674</v>
      </c>
      <c r="K146">
        <f ca="1">IF(AND(ISNUMBER($K$318),$B$183=1),$K$318,HLOOKUP(INDIRECT(ADDRESS(2,COLUMN())),OFFSET($BN$2,0,0,ROW()-1,60),ROW()-1,FALSE))</f>
        <v>2225.6320000000001</v>
      </c>
      <c r="L146">
        <f ca="1">IF(AND(ISNUMBER($L$318),$B$183=1),$L$318,HLOOKUP(INDIRECT(ADDRESS(2,COLUMN())),OFFSET($BN$2,0,0,ROW()-1,60),ROW()-1,FALSE))</f>
        <v>2344.8919999999998</v>
      </c>
      <c r="M146">
        <f ca="1">IF(AND(ISNUMBER($M$318),$B$183=1),$M$318,HLOOKUP(INDIRECT(ADDRESS(2,COLUMN())),OFFSET($BN$2,0,0,ROW()-1,60),ROW()-1,FALSE))</f>
        <v>2329.424</v>
      </c>
      <c r="N146">
        <f ca="1">IF(AND(ISNUMBER($N$318),$B$183=1),$N$318,HLOOKUP(INDIRECT(ADDRESS(2,COLUMN())),OFFSET($BN$2,0,0,ROW()-1,60),ROW()-1,FALSE))</f>
        <v>2083.6390000000001</v>
      </c>
      <c r="O146">
        <f ca="1">IF(AND(ISNUMBER($O$318),$B$183=1),$O$318,HLOOKUP(INDIRECT(ADDRESS(2,COLUMN())),OFFSET($BN$2,0,0,ROW()-1,60),ROW()-1,FALSE))</f>
        <v>1837.806</v>
      </c>
      <c r="P146">
        <f ca="1">IF(AND(ISNUMBER($P$318),$B$183=1),$P$318,HLOOKUP(INDIRECT(ADDRESS(2,COLUMN())),OFFSET($BN$2,0,0,ROW()-1,60),ROW()-1,FALSE))</f>
        <v>1580.5340000000001</v>
      </c>
      <c r="Q146">
        <f ca="1">IF(AND(ISNUMBER($Q$318),$B$183=1),$Q$318,HLOOKUP(INDIRECT(ADDRESS(2,COLUMN())),OFFSET($BN$2,0,0,ROW()-1,60),ROW()-1,FALSE))</f>
        <v>1266.2860000000001</v>
      </c>
      <c r="R146">
        <f ca="1">IF(AND(ISNUMBER($R$318),$B$183=1),$R$318,HLOOKUP(INDIRECT(ADDRESS(2,COLUMN())),OFFSET($BN$2,0,0,ROW()-1,60),ROW()-1,FALSE))</f>
        <v>879.05899999999997</v>
      </c>
      <c r="S146">
        <f ca="1">IF(AND(ISNUMBER($S$318),$B$183=1),$S$318,HLOOKUP(INDIRECT(ADDRESS(2,COLUMN())),OFFSET($BN$2,0,0,ROW()-1,60),ROW()-1,FALSE))</f>
        <v>722.94</v>
      </c>
      <c r="T146">
        <f ca="1">IF(AND(ISNUMBER($T$318),$B$183=1),$T$318,HLOOKUP(INDIRECT(ADDRESS(2,COLUMN())),OFFSET($BN$2,0,0,ROW()-1,60),ROW()-1,FALSE))</f>
        <v>536.46699999999998</v>
      </c>
      <c r="U146">
        <f ca="1">IF(AND(ISNUMBER($U$318),$B$183=1),$U$318,HLOOKUP(INDIRECT(ADDRESS(2,COLUMN())),OFFSET($BN$2,0,0,ROW()-1,60),ROW()-1,FALSE))</f>
        <v>627.23099999999999</v>
      </c>
      <c r="V146">
        <f ca="1">IF(AND(ISNUMBER($V$318),$B$183=1),$V$318,HLOOKUP(INDIRECT(ADDRESS(2,COLUMN())),OFFSET($BN$2,0,0,ROW()-1,60),ROW()-1,FALSE))</f>
        <v>648.00400000000002</v>
      </c>
      <c r="W146">
        <f ca="1">IF(AND(ISNUMBER($W$318),$B$183=1),$W$318,HLOOKUP(INDIRECT(ADDRESS(2,COLUMN())),OFFSET($BN$2,0,0,ROW()-1,60),ROW()-1,FALSE))</f>
        <v>727.33699999999999</v>
      </c>
      <c r="X146">
        <f ca="1">IF(AND(ISNUMBER($X$318),$B$183=1),$X$318,HLOOKUP(INDIRECT(ADDRESS(2,COLUMN())),OFFSET($BN$2,0,0,ROW()-1,60),ROW()-1,FALSE))</f>
        <v>696.85400000000004</v>
      </c>
      <c r="Y146">
        <f ca="1">IF(AND(ISNUMBER($Y$318),$B$183=1),$Y$318,HLOOKUP(INDIRECT(ADDRESS(2,COLUMN())),OFFSET($BN$2,0,0,ROW()-1,60),ROW()-1,FALSE))</f>
        <v>576.29100000000005</v>
      </c>
      <c r="Z146">
        <f ca="1">IF(AND(ISNUMBER($Z$318),$B$183=1),$Z$318,HLOOKUP(INDIRECT(ADDRESS(2,COLUMN())),OFFSET($BN$2,0,0,ROW()-1,60),ROW()-1,FALSE))</f>
        <v>507.75900000000001</v>
      </c>
      <c r="AA146">
        <f ca="1">IF(AND(ISNUMBER($AA$318),$B$183=1),$AA$318,HLOOKUP(INDIRECT(ADDRESS(2,COLUMN())),OFFSET($BN$2,0,0,ROW()-1,60),ROW()-1,FALSE))</f>
        <v>562.86199999999997</v>
      </c>
      <c r="AB146">
        <f ca="1">IF(AND(ISNUMBER($AB$318),$B$183=1),$AB$318,HLOOKUP(INDIRECT(ADDRESS(2,COLUMN())),OFFSET($BN$2,0,0,ROW()-1,60),ROW()-1,FALSE))</f>
        <v>579.84199999999998</v>
      </c>
      <c r="AC146">
        <f ca="1">IF(AND(ISNUMBER($AC$318),$B$183=1),$AC$318,HLOOKUP(INDIRECT(ADDRESS(2,COLUMN())),OFFSET($BN$2,0,0,ROW()-1,60),ROW()-1,FALSE))</f>
        <v>525.58699999999999</v>
      </c>
      <c r="AD146">
        <f ca="1">IF(AND(ISNUMBER($AD$318),$B$183=1),$AD$318,HLOOKUP(INDIRECT(ADDRESS(2,COLUMN())),OFFSET($BN$2,0,0,ROW()-1,60),ROW()-1,FALSE))</f>
        <v>665.96799999999996</v>
      </c>
      <c r="AE146">
        <f ca="1">IF(AND(ISNUMBER($AE$318),$B$183=1),$AE$318,HLOOKUP(INDIRECT(ADDRESS(2,COLUMN())),OFFSET($BN$2,0,0,ROW()-1,60),ROW()-1,FALSE))</f>
        <v>815.99099999999999</v>
      </c>
      <c r="AF146">
        <f ca="1">IF(AND(ISNUMBER($AF$318),$B$183=1),$AF$318,HLOOKUP(INDIRECT(ADDRESS(2,COLUMN())),OFFSET($BN$2,0,0,ROW()-1,60),ROW()-1,FALSE))</f>
        <v>600.92200000000003</v>
      </c>
      <c r="AG146">
        <f ca="1">IF(AND(ISNUMBER($AG$318),$B$183=1),$AG$318,HLOOKUP(INDIRECT(ADDRESS(2,COLUMN())),OFFSET($BN$2,0,0,ROW()-1,60),ROW()-1,FALSE))</f>
        <v>794.13900000000001</v>
      </c>
      <c r="AH146">
        <f ca="1">IF(AND(ISNUMBER($AH$318),$B$183=1),$AH$318,HLOOKUP(INDIRECT(ADDRESS(2,COLUMN())),OFFSET($BN$2,0,0,ROW()-1,60),ROW()-1,FALSE))</f>
        <v>827.01400000000001</v>
      </c>
      <c r="AI146">
        <f ca="1">IF(AND(ISNUMBER($AI$318),$B$183=1),$AI$318,HLOOKUP(INDIRECT(ADDRESS(2,COLUMN())),OFFSET($BN$2,0,0,ROW()-1,60),ROW()-1,FALSE))</f>
        <v>796.04</v>
      </c>
      <c r="AJ146">
        <f ca="1">IF(AND(ISNUMBER($AJ$318),$B$183=1),$AJ$318,HLOOKUP(INDIRECT(ADDRESS(2,COLUMN())),OFFSET($BN$2,0,0,ROW()-1,60),ROW()-1,FALSE))</f>
        <v>828.40499999999997</v>
      </c>
      <c r="AK146">
        <f ca="1">IF(AND(ISNUMBER($AK$318),$B$183=1),$AK$318,HLOOKUP(INDIRECT(ADDRESS(2,COLUMN())),OFFSET($BN$2,0,0,ROW()-1,60),ROW()-1,FALSE))</f>
        <v>772.72500000000002</v>
      </c>
      <c r="AL146">
        <f ca="1">IF(AND(ISNUMBER($AL$318),$B$183=1),$AL$318,HLOOKUP(INDIRECT(ADDRESS(2,COLUMN())),OFFSET($BN$2,0,0,ROW()-1,60),ROW()-1,FALSE))</f>
        <v>1152.1420000000001</v>
      </c>
      <c r="AM146">
        <f ca="1">IF(AND(ISNUMBER($AM$318),$B$183=1),$AM$318,HLOOKUP(INDIRECT(ADDRESS(2,COLUMN())),OFFSET($BN$2,0,0,ROW()-1,60),ROW()-1,FALSE))</f>
        <v>1531.9380000000001</v>
      </c>
      <c r="AN146">
        <f ca="1">IF(AND(ISNUMBER($AN$318),$B$183=1),$AN$318,HLOOKUP(INDIRECT(ADDRESS(2,COLUMN())),OFFSET($BN$2,0,0,ROW()-1,60),ROW()-1,FALSE))</f>
        <v>1696.5730000000001</v>
      </c>
      <c r="AO146">
        <f ca="1">IF(AND(ISNUMBER($AO$318),$B$183=1),$AO$318,HLOOKUP(INDIRECT(ADDRESS(2,COLUMN())),OFFSET($BN$2,0,0,ROW()-1,60),ROW()-1,FALSE))</f>
        <v>1825.1990000000001</v>
      </c>
      <c r="AP146">
        <f ca="1">IF(AND(ISNUMBER($AP$318),$B$183=1),$AP$318,HLOOKUP(INDIRECT(ADDRESS(2,COLUMN())),OFFSET($BN$2,0,0,ROW()-1,60),ROW()-1,FALSE))</f>
        <v>1874.527</v>
      </c>
      <c r="AQ146">
        <f ca="1">IF(AND(ISNUMBER($AQ$318),$B$183=1),$AQ$318,HLOOKUP(INDIRECT(ADDRESS(2,COLUMN())),OFFSET($BN$2,0,0,ROW()-1,60),ROW()-1,FALSE))</f>
        <v>2163.991</v>
      </c>
      <c r="AR146">
        <f ca="1">IF(AND(ISNUMBER($AR$318),$B$183=1),$AR$318,HLOOKUP(INDIRECT(ADDRESS(2,COLUMN())),OFFSET($BN$2,0,0,ROW()-1,60),ROW()-1,FALSE))</f>
        <v>1844.5139999999999</v>
      </c>
      <c r="AS146">
        <f ca="1">IF(AND(ISNUMBER($AS$318),$B$183=1),$AS$318,HLOOKUP(INDIRECT(ADDRESS(2,COLUMN())),OFFSET($BN$2,0,0,ROW()-1,60),ROW()-1,FALSE))</f>
        <v>1812.3789999999999</v>
      </c>
      <c r="AT146">
        <f ca="1">IF(AND(ISNUMBER($AT$318),$B$183=1),$AT$318,HLOOKUP(INDIRECT(ADDRESS(2,COLUMN())),OFFSET($BN$2,0,0,ROW()-1,60),ROW()-1,FALSE))</f>
        <v>1811.2049999999999</v>
      </c>
      <c r="AU146">
        <f ca="1">IF(AND(ISNUMBER($AU$318),$B$183=1),$AU$318,HLOOKUP(INDIRECT(ADDRESS(2,COLUMN())),OFFSET($BN$2,0,0,ROW()-1,60),ROW()-1,FALSE))</f>
        <v>1477.847</v>
      </c>
      <c r="AV146">
        <f ca="1">IF(AND(ISNUMBER($AV$318),$B$183=1),$AV$318,HLOOKUP(INDIRECT(ADDRESS(2,COLUMN())),OFFSET($BN$2,0,0,ROW()-1,60),ROW()-1,FALSE))</f>
        <v>821.73699999999997</v>
      </c>
      <c r="AW146">
        <f ca="1">IF(AND(ISNUMBER($AW$318),$B$183=1),$AW$318,HLOOKUP(INDIRECT(ADDRESS(2,COLUMN())),OFFSET($BN$2,0,0,ROW()-1,60),ROW()-1,FALSE))</f>
        <v>768.86500000000001</v>
      </c>
      <c r="AX146">
        <f ca="1">IF(AND(ISNUMBER($AX$318),$B$183=1),$AX$318,HLOOKUP(INDIRECT(ADDRESS(2,COLUMN())),OFFSET($BN$2,0,0,ROW()-1,60),ROW()-1,FALSE))</f>
        <v>749.86599999999999</v>
      </c>
      <c r="AY146">
        <f ca="1">IF(AND(ISNUMBER($AY$318),$B$183=1),$AY$318,HLOOKUP(INDIRECT(ADDRESS(2,COLUMN())),OFFSET($BN$2,0,0,ROW()-1,60),ROW()-1,FALSE))</f>
        <v>636.58900000000006</v>
      </c>
      <c r="AZ146">
        <f ca="1">IF(AND(ISNUMBER($AZ$318),$B$183=1),$AZ$318,HLOOKUP(INDIRECT(ADDRESS(2,COLUMN())),OFFSET($BN$2,0,0,ROW()-1,60),ROW()-1,FALSE))</f>
        <v>626.46299999999997</v>
      </c>
      <c r="BA146">
        <f ca="1">IF(AND(ISNUMBER($BA$318),$B$183=1),$BA$318,HLOOKUP(INDIRECT(ADDRESS(2,COLUMN())),OFFSET($BN$2,0,0,ROW()-1,60),ROW()-1,FALSE))</f>
        <v>463.779</v>
      </c>
      <c r="BB146">
        <f ca="1">IF(AND(ISNUMBER($BB$318),$B$183=1),$BB$318,HLOOKUP(INDIRECT(ADDRESS(2,COLUMN())),OFFSET($BN$2,0,0,ROW()-1,60),ROW()-1,FALSE))</f>
        <v>237.21</v>
      </c>
      <c r="BC146">
        <f ca="1">IF(AND(ISNUMBER($BC$318),$B$183=1),$BC$318,HLOOKUP(INDIRECT(ADDRESS(2,COLUMN())),OFFSET($BN$2,0,0,ROW()-1,60),ROW()-1,FALSE))</f>
        <v>248.5</v>
      </c>
      <c r="BD146">
        <f ca="1">IF(AND(ISNUMBER($BD$318),$B$183=1),$BD$318,HLOOKUP(INDIRECT(ADDRESS(2,COLUMN())),OFFSET($BN$2,0,0,ROW()-1,60),ROW()-1,FALSE))</f>
        <v>57.905000000000001</v>
      </c>
      <c r="BE146">
        <f ca="1">IF(AND(ISNUMBER($BE$318),$B$183=1),$BE$318,HLOOKUP(INDIRECT(ADDRESS(2,COLUMN())),OFFSET($BN$2,0,0,ROW()-1,60),ROW()-1,FALSE))</f>
        <v>68.81</v>
      </c>
      <c r="BF146">
        <f ca="1">IF(AND(ISNUMBER($BF$318),$B$183=1),$BF$318,HLOOKUP(INDIRECT(ADDRESS(2,COLUMN())),OFFSET($BN$2,0,0,ROW()-1,60),ROW()-1,FALSE))</f>
        <v>70.900000000000006</v>
      </c>
      <c r="BG146">
        <f ca="1">IF(AND(ISNUMBER($BG$318),$B$183=1),$BG$318,HLOOKUP(INDIRECT(ADDRESS(2,COLUMN())),OFFSET($BN$2,0,0,ROW()-1,60),ROW()-1,FALSE))</f>
        <v>102.72</v>
      </c>
      <c r="BH146">
        <f ca="1">IF(AND(ISNUMBER($BH$318),$B$183=1),$BH$318,HLOOKUP(INDIRECT(ADDRESS(2,COLUMN())),OFFSET($BN$2,0,0,ROW()-1,60),ROW()-1,FALSE))</f>
        <v>101.145</v>
      </c>
      <c r="BI146">
        <f ca="1">IF(AND(ISNUMBER($BI$318),$B$183=1),$BI$318,HLOOKUP(INDIRECT(ADDRESS(2,COLUMN())),OFFSET($BN$2,0,0,ROW()-1,60),ROW()-1,FALSE))</f>
        <v>54.145000000000003</v>
      </c>
      <c r="BJ146">
        <f ca="1">IF(AND(ISNUMBER($BJ$318),$B$183=1),$BJ$318,HLOOKUP(INDIRECT(ADDRESS(2,COLUMN())),OFFSET($BN$2,0,0,ROW()-1,60),ROW()-1,FALSE))</f>
        <v>43.311999999999998</v>
      </c>
      <c r="BK146">
        <f ca="1">IF(AND(ISNUMBER($BK$318),$B$183=1),$BK$318,HLOOKUP(INDIRECT(ADDRESS(2,COLUMN())),OFFSET($BN$2,0,0,ROW()-1,60),ROW()-1,FALSE))</f>
        <v>0</v>
      </c>
      <c r="BL146">
        <f ca="1">IF(AND(ISNUMBER($BL$318),$B$183=1),$BL$318,HLOOKUP(INDIRECT(ADDRESS(2,COLUMN())),OFFSET($BN$2,0,0,ROW()-1,60),ROW()-1,FALSE))</f>
        <v>0</v>
      </c>
      <c r="BM146">
        <f ca="1">IF(AND(ISNUMBER($BM$318),$B$183=1),$BM$318,HLOOKUP(INDIRECT(ADDRESS(2,COLUMN())),OFFSET($BN$2,0,0,ROW()-1,60),ROW()-1,FALSE))</f>
        <v>0</v>
      </c>
      <c r="BN146">
        <f>2284.083</f>
        <v>2284.0830000000001</v>
      </c>
      <c r="BO146">
        <f>2194.531</f>
        <v>2194.5309999999999</v>
      </c>
      <c r="BP146">
        <f>2283.593</f>
        <v>2283.5929999999998</v>
      </c>
      <c r="BQ146">
        <f>2413.663</f>
        <v>2413.663</v>
      </c>
      <c r="BR146">
        <f>2508.674</f>
        <v>2508.674</v>
      </c>
      <c r="BS146">
        <f>2225.632</f>
        <v>2225.6320000000001</v>
      </c>
      <c r="BT146">
        <f>2344.892</f>
        <v>2344.8919999999998</v>
      </c>
      <c r="BU146">
        <f>2329.424</f>
        <v>2329.424</v>
      </c>
      <c r="BV146">
        <f>2083.639</f>
        <v>2083.6390000000001</v>
      </c>
      <c r="BW146">
        <f>1837.806</f>
        <v>1837.806</v>
      </c>
      <c r="BX146">
        <f>1580.534</f>
        <v>1580.5340000000001</v>
      </c>
      <c r="BY146">
        <f>1266.286</f>
        <v>1266.2860000000001</v>
      </c>
      <c r="BZ146">
        <f>879.059</f>
        <v>879.05899999999997</v>
      </c>
      <c r="CA146">
        <f>722.94</f>
        <v>722.94</v>
      </c>
      <c r="CB146">
        <f>536.467</f>
        <v>536.46699999999998</v>
      </c>
      <c r="CC146">
        <f>627.231</f>
        <v>627.23099999999999</v>
      </c>
      <c r="CD146">
        <f>648.004</f>
        <v>648.00400000000002</v>
      </c>
      <c r="CE146">
        <f>727.337</f>
        <v>727.33699999999999</v>
      </c>
      <c r="CF146">
        <f>696.854</f>
        <v>696.85400000000004</v>
      </c>
      <c r="CG146">
        <f>576.291</f>
        <v>576.29100000000005</v>
      </c>
      <c r="CH146">
        <f>507.759</f>
        <v>507.75900000000001</v>
      </c>
      <c r="CI146">
        <f>562.862</f>
        <v>562.86199999999997</v>
      </c>
      <c r="CJ146">
        <f>579.842</f>
        <v>579.84199999999998</v>
      </c>
      <c r="CK146">
        <f>525.587</f>
        <v>525.58699999999999</v>
      </c>
      <c r="CL146">
        <f>665.968</f>
        <v>665.96799999999996</v>
      </c>
      <c r="CM146">
        <f>815.991</f>
        <v>815.99099999999999</v>
      </c>
      <c r="CN146">
        <f>600.922</f>
        <v>600.92200000000003</v>
      </c>
      <c r="CO146">
        <f>794.139</f>
        <v>794.13900000000001</v>
      </c>
      <c r="CP146">
        <f>827.014</f>
        <v>827.01400000000001</v>
      </c>
      <c r="CQ146">
        <f>796.04</f>
        <v>796.04</v>
      </c>
      <c r="CR146">
        <f>828.405</f>
        <v>828.40499999999997</v>
      </c>
      <c r="CS146">
        <f>772.725</f>
        <v>772.72500000000002</v>
      </c>
      <c r="CT146">
        <f>1152.142</f>
        <v>1152.1420000000001</v>
      </c>
      <c r="CU146">
        <f>1531.938</f>
        <v>1531.9380000000001</v>
      </c>
      <c r="CV146">
        <f>1696.573</f>
        <v>1696.5730000000001</v>
      </c>
      <c r="CW146">
        <f>1825.199</f>
        <v>1825.1990000000001</v>
      </c>
      <c r="CX146">
        <f>1874.527</f>
        <v>1874.527</v>
      </c>
      <c r="CY146">
        <f>2163.991</f>
        <v>2163.991</v>
      </c>
      <c r="CZ146">
        <f>1844.514</f>
        <v>1844.5139999999999</v>
      </c>
      <c r="DA146">
        <f>1812.379</f>
        <v>1812.3789999999999</v>
      </c>
      <c r="DB146">
        <f>1811.205</f>
        <v>1811.2049999999999</v>
      </c>
      <c r="DC146">
        <f>1477.847</f>
        <v>1477.847</v>
      </c>
      <c r="DD146">
        <f>821.737</f>
        <v>821.73699999999997</v>
      </c>
      <c r="DE146">
        <f>768.865</f>
        <v>768.86500000000001</v>
      </c>
      <c r="DF146">
        <f>749.866</f>
        <v>749.86599999999999</v>
      </c>
      <c r="DG146">
        <f>636.589</f>
        <v>636.58900000000006</v>
      </c>
      <c r="DH146">
        <f>626.463</f>
        <v>626.46299999999997</v>
      </c>
      <c r="DI146">
        <f>463.779</f>
        <v>463.779</v>
      </c>
      <c r="DJ146">
        <f>237.21</f>
        <v>237.21</v>
      </c>
      <c r="DK146">
        <f>248.5</f>
        <v>248.5</v>
      </c>
      <c r="DL146">
        <f>57.905</f>
        <v>57.905000000000001</v>
      </c>
      <c r="DM146">
        <f>68.81</f>
        <v>68.81</v>
      </c>
      <c r="DN146">
        <f>70.9</f>
        <v>70.900000000000006</v>
      </c>
      <c r="DO146">
        <f>102.72</f>
        <v>102.72</v>
      </c>
      <c r="DP146">
        <f>101.145</f>
        <v>101.145</v>
      </c>
      <c r="DQ146">
        <f>54.145</f>
        <v>54.145000000000003</v>
      </c>
      <c r="DR146">
        <f>43.312</f>
        <v>43.311999999999998</v>
      </c>
      <c r="DS146">
        <f>0</f>
        <v>0</v>
      </c>
      <c r="DT146">
        <f>0</f>
        <v>0</v>
      </c>
      <c r="DU146">
        <f>0</f>
        <v>0</v>
      </c>
    </row>
    <row r="147" spans="1:125">
      <c r="A147" t="str">
        <f>"    Total Data Center REITs"</f>
        <v xml:space="preserve">    Total Data Center REITs</v>
      </c>
      <c r="B147" t="str">
        <f>"RECFDVDC Index"</f>
        <v>RECFDVDC Index</v>
      </c>
      <c r="C147" t="str">
        <f t="shared" si="30"/>
        <v>PR005</v>
      </c>
      <c r="D147" t="str">
        <f t="shared" si="31"/>
        <v>PX_LAST</v>
      </c>
      <c r="E147" t="str">
        <f t="shared" si="32"/>
        <v>动态</v>
      </c>
      <c r="F147">
        <f ca="1">IF(AND(ISNUMBER($F$319),$B$183=1),$F$319,HLOOKUP(INDIRECT(ADDRESS(2,COLUMN())),OFFSET($BN$2,0,0,ROW()-1,60),ROW()-1,FALSE))</f>
        <v>2045.88</v>
      </c>
      <c r="G147">
        <f ca="1">IF(AND(ISNUMBER($G$319),$B$183=1),$G$319,HLOOKUP(INDIRECT(ADDRESS(2,COLUMN())),OFFSET($BN$2,0,0,ROW()-1,60),ROW()-1,FALSE))</f>
        <v>2081.8820000000001</v>
      </c>
      <c r="H147">
        <f ca="1">IF(AND(ISNUMBER($H$319),$B$183=1),$H$319,HLOOKUP(INDIRECT(ADDRESS(2,COLUMN())),OFFSET($BN$2,0,0,ROW()-1,60),ROW()-1,FALSE))</f>
        <v>2053.2559999999999</v>
      </c>
      <c r="I147">
        <f ca="1">IF(AND(ISNUMBER($I$319),$B$183=1),$I$319,HLOOKUP(INDIRECT(ADDRESS(2,COLUMN())),OFFSET($BN$2,0,0,ROW()-1,60),ROW()-1,FALSE))</f>
        <v>2249.605</v>
      </c>
      <c r="J147">
        <f ca="1">IF(AND(ISNUMBER($J$319),$B$183=1),$J$319,HLOOKUP(INDIRECT(ADDRESS(2,COLUMN())),OFFSET($BN$2,0,0,ROW()-1,60),ROW()-1,FALSE))</f>
        <v>2325.6320000000001</v>
      </c>
      <c r="K147">
        <f ca="1">IF(AND(ISNUMBER($K$319),$B$183=1),$K$319,HLOOKUP(INDIRECT(ADDRESS(2,COLUMN())),OFFSET($BN$2,0,0,ROW()-1,60),ROW()-1,FALSE))</f>
        <v>1494.7819999999999</v>
      </c>
      <c r="L147">
        <f ca="1">IF(AND(ISNUMBER($L$319),$B$183=1),$L$319,HLOOKUP(INDIRECT(ADDRESS(2,COLUMN())),OFFSET($BN$2,0,0,ROW()-1,60),ROW()-1,FALSE))</f>
        <v>1453.357</v>
      </c>
      <c r="M147">
        <f ca="1">IF(AND(ISNUMBER($M$319),$B$183=1),$M$319,HLOOKUP(INDIRECT(ADDRESS(2,COLUMN())),OFFSET($BN$2,0,0,ROW()-1,60),ROW()-1,FALSE))</f>
        <v>1804.9190000000001</v>
      </c>
      <c r="N147">
        <f ca="1">IF(AND(ISNUMBER($N$319),$B$183=1),$N$319,HLOOKUP(INDIRECT(ADDRESS(2,COLUMN())),OFFSET($BN$2,0,0,ROW()-1,60),ROW()-1,FALSE))</f>
        <v>1265.0119999999999</v>
      </c>
      <c r="O147">
        <f ca="1">IF(AND(ISNUMBER($O$319),$B$183=1),$O$319,HLOOKUP(INDIRECT(ADDRESS(2,COLUMN())),OFFSET($BN$2,0,0,ROW()-1,60),ROW()-1,FALSE))</f>
        <v>1085.8230000000001</v>
      </c>
      <c r="P147">
        <f ca="1">IF(AND(ISNUMBER($P$319),$B$183=1),$P$319,HLOOKUP(INDIRECT(ADDRESS(2,COLUMN())),OFFSET($BN$2,0,0,ROW()-1,60),ROW()-1,FALSE))</f>
        <v>959.46600000000001</v>
      </c>
      <c r="Q147">
        <f ca="1">IF(AND(ISNUMBER($Q$319),$B$183=1),$Q$319,HLOOKUP(INDIRECT(ADDRESS(2,COLUMN())),OFFSET($BN$2,0,0,ROW()-1,60),ROW()-1,FALSE))</f>
        <v>1107.827</v>
      </c>
      <c r="R147">
        <f ca="1">IF(AND(ISNUMBER($R$319),$B$183=1),$R$319,HLOOKUP(INDIRECT(ADDRESS(2,COLUMN())),OFFSET($BN$2,0,0,ROW()-1,60),ROW()-1,FALSE))</f>
        <v>1335.2550000000001</v>
      </c>
      <c r="S147">
        <f ca="1">IF(AND(ISNUMBER($S$319),$B$183=1),$S$319,HLOOKUP(INDIRECT(ADDRESS(2,COLUMN())),OFFSET($BN$2,0,0,ROW()-1,60),ROW()-1,FALSE))</f>
        <v>1311.9490000000001</v>
      </c>
      <c r="T147">
        <f ca="1">IF(AND(ISNUMBER($T$319),$B$183=1),$T$319,HLOOKUP(INDIRECT(ADDRESS(2,COLUMN())),OFFSET($BN$2,0,0,ROW()-1,60),ROW()-1,FALSE))</f>
        <v>1432.6869999999999</v>
      </c>
      <c r="U147">
        <f ca="1">IF(AND(ISNUMBER($U$319),$B$183=1),$U$319,HLOOKUP(INDIRECT(ADDRESS(2,COLUMN())),OFFSET($BN$2,0,0,ROW()-1,60),ROW()-1,FALSE))</f>
        <v>1296.2729999999999</v>
      </c>
      <c r="V147">
        <f ca="1">IF(AND(ISNUMBER($V$319),$B$183=1),$V$319,HLOOKUP(INDIRECT(ADDRESS(2,COLUMN())),OFFSET($BN$2,0,0,ROW()-1,60),ROW()-1,FALSE))</f>
        <v>1460.2139999999999</v>
      </c>
      <c r="W147">
        <f ca="1">IF(AND(ISNUMBER($W$319),$B$183=1),$W$319,HLOOKUP(INDIRECT(ADDRESS(2,COLUMN())),OFFSET($BN$2,0,0,ROW()-1,60),ROW()-1,FALSE))</f>
        <v>309.60000000000002</v>
      </c>
      <c r="X147">
        <f ca="1">IF(AND(ISNUMBER($X$319),$B$183=1),$X$319,HLOOKUP(INDIRECT(ADDRESS(2,COLUMN())),OFFSET($BN$2,0,0,ROW()-1,60),ROW()-1,FALSE))</f>
        <v>323</v>
      </c>
      <c r="Y147">
        <f ca="1">IF(AND(ISNUMBER($Y$319),$B$183=1),$Y$319,HLOOKUP(INDIRECT(ADDRESS(2,COLUMN())),OFFSET($BN$2,0,0,ROW()-1,60),ROW()-1,FALSE))</f>
        <v>205</v>
      </c>
      <c r="Z147">
        <f ca="1">IF(AND(ISNUMBER($Z$319),$B$183=1),$Z$319,HLOOKUP(INDIRECT(ADDRESS(2,COLUMN())),OFFSET($BN$2,0,0,ROW()-1,60),ROW()-1,FALSE))</f>
        <v>87.2</v>
      </c>
      <c r="AA147">
        <f ca="1">IF(AND(ISNUMBER($AA$319),$B$183=1),$AA$319,HLOOKUP(INDIRECT(ADDRESS(2,COLUMN())),OFFSET($BN$2,0,0,ROW()-1,60),ROW()-1,FALSE))</f>
        <v>103.8</v>
      </c>
      <c r="AB147">
        <f ca="1">IF(AND(ISNUMBER($AB$319),$B$183=1),$AB$319,HLOOKUP(INDIRECT(ADDRESS(2,COLUMN())),OFFSET($BN$2,0,0,ROW()-1,60),ROW()-1,FALSE))</f>
        <v>44.5</v>
      </c>
      <c r="AC147">
        <f ca="1">IF(AND(ISNUMBER($AC$319),$B$183=1),$AC$319,HLOOKUP(INDIRECT(ADDRESS(2,COLUMN())),OFFSET($BN$2,0,0,ROW()-1,60),ROW()-1,FALSE))</f>
        <v>64.5</v>
      </c>
      <c r="AD147">
        <f ca="1">IF(AND(ISNUMBER($AD$319),$B$183=1),$AD$319,HLOOKUP(INDIRECT(ADDRESS(2,COLUMN())),OFFSET($BN$2,0,0,ROW()-1,60),ROW()-1,FALSE))</f>
        <v>54.3</v>
      </c>
      <c r="AE147">
        <f ca="1">IF(AND(ISNUMBER($AE$319),$B$183=1),$AE$319,HLOOKUP(INDIRECT(ADDRESS(2,COLUMN())),OFFSET($BN$2,0,0,ROW()-1,60),ROW()-1,FALSE))</f>
        <v>289.3</v>
      </c>
      <c r="AF147">
        <f ca="1">IF(AND(ISNUMBER($AF$319),$B$183=1),$AF$319,HLOOKUP(INDIRECT(ADDRESS(2,COLUMN())),OFFSET($BN$2,0,0,ROW()-1,60),ROW()-1,FALSE))</f>
        <v>422</v>
      </c>
      <c r="AG147">
        <f ca="1">IF(AND(ISNUMBER($AG$319),$B$183=1),$AG$319,HLOOKUP(INDIRECT(ADDRESS(2,COLUMN())),OFFSET($BN$2,0,0,ROW()-1,60),ROW()-1,FALSE))</f>
        <v>432</v>
      </c>
      <c r="AH147">
        <f ca="1">IF(AND(ISNUMBER($AH$319),$B$183=1),$AH$319,HLOOKUP(INDIRECT(ADDRESS(2,COLUMN())),OFFSET($BN$2,0,0,ROW()-1,60),ROW()-1,FALSE))</f>
        <v>457</v>
      </c>
      <c r="AI147">
        <f ca="1">IF(AND(ISNUMBER($AI$319),$B$183=1),$AI$319,HLOOKUP(INDIRECT(ADDRESS(2,COLUMN())),OFFSET($BN$2,0,0,ROW()-1,60),ROW()-1,FALSE))</f>
        <v>592</v>
      </c>
      <c r="AJ147">
        <f ca="1">IF(AND(ISNUMBER($AJ$319),$B$183=1),$AJ$319,HLOOKUP(INDIRECT(ADDRESS(2,COLUMN())),OFFSET($BN$2,0,0,ROW()-1,60),ROW()-1,FALSE))</f>
        <v>600</v>
      </c>
      <c r="AK147">
        <f ca="1">IF(AND(ISNUMBER($AK$319),$B$183=1),$AK$319,HLOOKUP(INDIRECT(ADDRESS(2,COLUMN())),OFFSET($BN$2,0,0,ROW()-1,60),ROW()-1,FALSE))</f>
        <v>215</v>
      </c>
      <c r="AL147">
        <f ca="1">IF(AND(ISNUMBER($AL$319),$B$183=1),$AL$319,HLOOKUP(INDIRECT(ADDRESS(2,COLUMN())),OFFSET($BN$2,0,0,ROW()-1,60),ROW()-1,FALSE))</f>
        <v>215</v>
      </c>
      <c r="AM147">
        <f ca="1">IF(AND(ISNUMBER($AM$319),$B$183=1),$AM$319,HLOOKUP(INDIRECT(ADDRESS(2,COLUMN())),OFFSET($BN$2,0,0,ROW()-1,60),ROW()-1,FALSE))</f>
        <v>0</v>
      </c>
      <c r="AN147">
        <f ca="1">IF(AND(ISNUMBER($AN$319),$B$183=1),$AN$319,HLOOKUP(INDIRECT(ADDRESS(2,COLUMN())),OFFSET($BN$2,0,0,ROW()-1,60),ROW()-1,FALSE))</f>
        <v>165</v>
      </c>
      <c r="AO147">
        <f ca="1">IF(AND(ISNUMBER($AO$319),$B$183=1),$AO$319,HLOOKUP(INDIRECT(ADDRESS(2,COLUMN())),OFFSET($BN$2,0,0,ROW()-1,60),ROW()-1,FALSE))</f>
        <v>165</v>
      </c>
      <c r="AP147">
        <f ca="1">IF(AND(ISNUMBER($AP$319),$B$183=1),$AP$319,HLOOKUP(INDIRECT(ADDRESS(2,COLUMN())),OFFSET($BN$2,0,0,ROW()-1,60),ROW()-1,FALSE))</f>
        <v>660</v>
      </c>
      <c r="AQ147">
        <f ca="1">IF(AND(ISNUMBER($AQ$319),$B$183=1),$AQ$319,HLOOKUP(INDIRECT(ADDRESS(2,COLUMN())),OFFSET($BN$2,0,0,ROW()-1,60),ROW()-1,FALSE))</f>
        <v>380</v>
      </c>
      <c r="AR147">
        <f ca="1">IF(AND(ISNUMBER($AR$319),$B$183=1),$AR$319,HLOOKUP(INDIRECT(ADDRESS(2,COLUMN())),OFFSET($BN$2,0,0,ROW()-1,60),ROW()-1,FALSE))</f>
        <v>1010</v>
      </c>
      <c r="AS147">
        <f ca="1">IF(AND(ISNUMBER($AS$319),$B$183=1),$AS$319,HLOOKUP(INDIRECT(ADDRESS(2,COLUMN())),OFFSET($BN$2,0,0,ROW()-1,60),ROW()-1,FALSE))</f>
        <v>1010</v>
      </c>
      <c r="AT147">
        <f ca="1">IF(AND(ISNUMBER($AT$319),$B$183=1),$AT$319,HLOOKUP(INDIRECT(ADDRESS(2,COLUMN())),OFFSET($BN$2,0,0,ROW()-1,60),ROW()-1,FALSE))</f>
        <v>1030</v>
      </c>
      <c r="AU147">
        <f ca="1">IF(AND(ISNUMBER($AU$319),$B$183=1),$AU$319,HLOOKUP(INDIRECT(ADDRESS(2,COLUMN())),OFFSET($BN$2,0,0,ROW()-1,60),ROW()-1,FALSE))</f>
        <v>0</v>
      </c>
      <c r="AV147">
        <f ca="1">IF(AND(ISNUMBER($AV$319),$B$183=1),$AV$319,HLOOKUP(INDIRECT(ADDRESS(2,COLUMN())),OFFSET($BN$2,0,0,ROW()-1,60),ROW()-1,FALSE))</f>
        <v>0</v>
      </c>
      <c r="AW147">
        <f ca="1">IF(AND(ISNUMBER($AW$319),$B$183=1),$AW$319,HLOOKUP(INDIRECT(ADDRESS(2,COLUMN())),OFFSET($BN$2,0,0,ROW()-1,60),ROW()-1,FALSE))</f>
        <v>0</v>
      </c>
      <c r="AX147">
        <f ca="1">IF(AND(ISNUMBER($AX$319),$B$183=1),$AX$319,HLOOKUP(INDIRECT(ADDRESS(2,COLUMN())),OFFSET($BN$2,0,0,ROW()-1,60),ROW()-1,FALSE))</f>
        <v>0</v>
      </c>
      <c r="AY147">
        <f ca="1">IF(AND(ISNUMBER($AY$319),$B$183=1),$AY$319,HLOOKUP(INDIRECT(ADDRESS(2,COLUMN())),OFFSET($BN$2,0,0,ROW()-1,60),ROW()-1,FALSE))</f>
        <v>0</v>
      </c>
      <c r="AZ147">
        <f ca="1">IF(AND(ISNUMBER($AZ$319),$B$183=1),$AZ$319,HLOOKUP(INDIRECT(ADDRESS(2,COLUMN())),OFFSET($BN$2,0,0,ROW()-1,60),ROW()-1,FALSE))</f>
        <v>0</v>
      </c>
      <c r="BA147">
        <f ca="1">IF(AND(ISNUMBER($BA$319),$B$183=1),$BA$319,HLOOKUP(INDIRECT(ADDRESS(2,COLUMN())),OFFSET($BN$2,0,0,ROW()-1,60),ROW()-1,FALSE))</f>
        <v>0</v>
      </c>
      <c r="BB147">
        <f ca="1">IF(AND(ISNUMBER($BB$319),$B$183=1),$BB$319,HLOOKUP(INDIRECT(ADDRESS(2,COLUMN())),OFFSET($BN$2,0,0,ROW()-1,60),ROW()-1,FALSE))</f>
        <v>0</v>
      </c>
      <c r="BC147">
        <f ca="1">IF(AND(ISNUMBER($BC$319),$B$183=1),$BC$319,HLOOKUP(INDIRECT(ADDRESS(2,COLUMN())),OFFSET($BN$2,0,0,ROW()-1,60),ROW()-1,FALSE))</f>
        <v>0</v>
      </c>
      <c r="BD147">
        <f ca="1">IF(AND(ISNUMBER($BD$319),$B$183=1),$BD$319,HLOOKUP(INDIRECT(ADDRESS(2,COLUMN())),OFFSET($BN$2,0,0,ROW()-1,60),ROW()-1,FALSE))</f>
        <v>0</v>
      </c>
      <c r="BE147">
        <f ca="1">IF(AND(ISNUMBER($BE$319),$B$183=1),$BE$319,HLOOKUP(INDIRECT(ADDRESS(2,COLUMN())),OFFSET($BN$2,0,0,ROW()-1,60),ROW()-1,FALSE))</f>
        <v>0</v>
      </c>
      <c r="BF147">
        <f ca="1">IF(AND(ISNUMBER($BF$319),$B$183=1),$BF$319,HLOOKUP(INDIRECT(ADDRESS(2,COLUMN())),OFFSET($BN$2,0,0,ROW()-1,60),ROW()-1,FALSE))</f>
        <v>0</v>
      </c>
      <c r="BG147">
        <f ca="1">IF(AND(ISNUMBER($BG$319),$B$183=1),$BG$319,HLOOKUP(INDIRECT(ADDRESS(2,COLUMN())),OFFSET($BN$2,0,0,ROW()-1,60),ROW()-1,FALSE))</f>
        <v>0</v>
      </c>
      <c r="BH147">
        <f ca="1">IF(AND(ISNUMBER($BH$319),$B$183=1),$BH$319,HLOOKUP(INDIRECT(ADDRESS(2,COLUMN())),OFFSET($BN$2,0,0,ROW()-1,60),ROW()-1,FALSE))</f>
        <v>0</v>
      </c>
      <c r="BI147">
        <f ca="1">IF(AND(ISNUMBER($BI$319),$B$183=1),$BI$319,HLOOKUP(INDIRECT(ADDRESS(2,COLUMN())),OFFSET($BN$2,0,0,ROW()-1,60),ROW()-1,FALSE))</f>
        <v>0</v>
      </c>
      <c r="BJ147">
        <f ca="1">IF(AND(ISNUMBER($BJ$319),$B$183=1),$BJ$319,HLOOKUP(INDIRECT(ADDRESS(2,COLUMN())),OFFSET($BN$2,0,0,ROW()-1,60),ROW()-1,FALSE))</f>
        <v>0</v>
      </c>
      <c r="BK147">
        <f ca="1">IF(AND(ISNUMBER($BK$319),$B$183=1),$BK$319,HLOOKUP(INDIRECT(ADDRESS(2,COLUMN())),OFFSET($BN$2,0,0,ROW()-1,60),ROW()-1,FALSE))</f>
        <v>0</v>
      </c>
      <c r="BL147">
        <f ca="1">IF(AND(ISNUMBER($BL$319),$B$183=1),$BL$319,HLOOKUP(INDIRECT(ADDRESS(2,COLUMN())),OFFSET($BN$2,0,0,ROW()-1,60),ROW()-1,FALSE))</f>
        <v>0</v>
      </c>
      <c r="BM147">
        <f ca="1">IF(AND(ISNUMBER($BM$319),$B$183=1),$BM$319,HLOOKUP(INDIRECT(ADDRESS(2,COLUMN())),OFFSET($BN$2,0,0,ROW()-1,60),ROW()-1,FALSE))</f>
        <v>0</v>
      </c>
      <c r="BN147">
        <f>2045.88</f>
        <v>2045.88</v>
      </c>
      <c r="BO147">
        <f>2081.882</f>
        <v>2081.8820000000001</v>
      </c>
      <c r="BP147">
        <f>2053.256</f>
        <v>2053.2559999999999</v>
      </c>
      <c r="BQ147">
        <f>2249.605</f>
        <v>2249.605</v>
      </c>
      <c r="BR147">
        <f>2325.632</f>
        <v>2325.6320000000001</v>
      </c>
      <c r="BS147">
        <f>1494.782</f>
        <v>1494.7819999999999</v>
      </c>
      <c r="BT147">
        <f>1453.357</f>
        <v>1453.357</v>
      </c>
      <c r="BU147">
        <f>1804.919</f>
        <v>1804.9190000000001</v>
      </c>
      <c r="BV147">
        <f>1265.012</f>
        <v>1265.0119999999999</v>
      </c>
      <c r="BW147">
        <f>1085.823</f>
        <v>1085.8230000000001</v>
      </c>
      <c r="BX147">
        <f>959.466</f>
        <v>959.46600000000001</v>
      </c>
      <c r="BY147">
        <f>1107.827</f>
        <v>1107.827</v>
      </c>
      <c r="BZ147">
        <f>1335.255</f>
        <v>1335.2550000000001</v>
      </c>
      <c r="CA147">
        <f>1311.949</f>
        <v>1311.9490000000001</v>
      </c>
      <c r="CB147">
        <f>1432.687</f>
        <v>1432.6869999999999</v>
      </c>
      <c r="CC147">
        <f>1296.273</f>
        <v>1296.2729999999999</v>
      </c>
      <c r="CD147">
        <f>1460.214</f>
        <v>1460.2139999999999</v>
      </c>
      <c r="CE147">
        <f>309.6</f>
        <v>309.60000000000002</v>
      </c>
      <c r="CF147">
        <f>323</f>
        <v>323</v>
      </c>
      <c r="CG147">
        <f>205</f>
        <v>205</v>
      </c>
      <c r="CH147">
        <f>87.2</f>
        <v>87.2</v>
      </c>
      <c r="CI147">
        <f>103.8</f>
        <v>103.8</v>
      </c>
      <c r="CJ147">
        <f>44.5</f>
        <v>44.5</v>
      </c>
      <c r="CK147">
        <f>64.5</f>
        <v>64.5</v>
      </c>
      <c r="CL147">
        <f>54.3</f>
        <v>54.3</v>
      </c>
      <c r="CM147">
        <f>289.3</f>
        <v>289.3</v>
      </c>
      <c r="CN147">
        <f>422</f>
        <v>422</v>
      </c>
      <c r="CO147">
        <f>432</f>
        <v>432</v>
      </c>
      <c r="CP147">
        <f>457</f>
        <v>457</v>
      </c>
      <c r="CQ147">
        <f>592</f>
        <v>592</v>
      </c>
      <c r="CR147">
        <f>600</f>
        <v>600</v>
      </c>
      <c r="CS147">
        <f>215</f>
        <v>215</v>
      </c>
      <c r="CT147">
        <f>215</f>
        <v>215</v>
      </c>
      <c r="CU147">
        <f>0</f>
        <v>0</v>
      </c>
      <c r="CV147">
        <f>165</f>
        <v>165</v>
      </c>
      <c r="CW147">
        <f>165</f>
        <v>165</v>
      </c>
      <c r="CX147">
        <f>660</f>
        <v>660</v>
      </c>
      <c r="CY147">
        <f>380</f>
        <v>380</v>
      </c>
      <c r="CZ147">
        <f>1010</f>
        <v>1010</v>
      </c>
      <c r="DA147">
        <f>1010</f>
        <v>1010</v>
      </c>
      <c r="DB147">
        <f>1030</f>
        <v>1030</v>
      </c>
      <c r="DC147">
        <f>0</f>
        <v>0</v>
      </c>
      <c r="DD147">
        <f>0</f>
        <v>0</v>
      </c>
      <c r="DE147">
        <f>0</f>
        <v>0</v>
      </c>
      <c r="DF147">
        <f>0</f>
        <v>0</v>
      </c>
      <c r="DG147">
        <f>0</f>
        <v>0</v>
      </c>
      <c r="DH147">
        <f>0</f>
        <v>0</v>
      </c>
      <c r="DI147">
        <f>0</f>
        <v>0</v>
      </c>
      <c r="DJ147">
        <f>0</f>
        <v>0</v>
      </c>
      <c r="DK147">
        <f>0</f>
        <v>0</v>
      </c>
      <c r="DL147">
        <f>0</f>
        <v>0</v>
      </c>
      <c r="DM147">
        <f>0</f>
        <v>0</v>
      </c>
      <c r="DN147">
        <f>0</f>
        <v>0</v>
      </c>
      <c r="DO147">
        <f>0</f>
        <v>0</v>
      </c>
      <c r="DP147">
        <f>0</f>
        <v>0</v>
      </c>
      <c r="DQ147">
        <f>0</f>
        <v>0</v>
      </c>
      <c r="DR147">
        <f>0</f>
        <v>0</v>
      </c>
      <c r="DS147">
        <f>0</f>
        <v>0</v>
      </c>
      <c r="DT147">
        <f>0</f>
        <v>0</v>
      </c>
      <c r="DU147">
        <f>0</f>
        <v>0</v>
      </c>
    </row>
    <row r="148" spans="1:125">
      <c r="A148" t="str">
        <f>"    Total Specialty REITs"</f>
        <v xml:space="preserve">    Total Specialty REITs</v>
      </c>
      <c r="B148" t="str">
        <f>"RECFDVSP Index"</f>
        <v>RECFDVSP Index</v>
      </c>
      <c r="C148" t="str">
        <f t="shared" si="30"/>
        <v>PR005</v>
      </c>
      <c r="D148" t="str">
        <f t="shared" si="31"/>
        <v>PX_LAST</v>
      </c>
      <c r="E148" t="str">
        <f t="shared" si="32"/>
        <v>动态</v>
      </c>
      <c r="F148">
        <f ca="1">IF(AND(ISNUMBER($F$320),$B$183=1),$F$320,HLOOKUP(INDIRECT(ADDRESS(2,COLUMN())),OFFSET($BN$2,0,0,ROW()-1,60),ROW()-1,FALSE))</f>
        <v>638.82000000000005</v>
      </c>
      <c r="G148">
        <f ca="1">IF(AND(ISNUMBER($G$320),$B$183=1),$G$320,HLOOKUP(INDIRECT(ADDRESS(2,COLUMN())),OFFSET($BN$2,0,0,ROW()-1,60),ROW()-1,FALSE))</f>
        <v>844.52099999999996</v>
      </c>
      <c r="H148">
        <f ca="1">IF(AND(ISNUMBER($H$320),$B$183=1),$H$320,HLOOKUP(INDIRECT(ADDRESS(2,COLUMN())),OFFSET($BN$2,0,0,ROW()-1,60),ROW()-1,FALSE))</f>
        <v>813.23400000000004</v>
      </c>
      <c r="I148">
        <f ca="1">IF(AND(ISNUMBER($I$320),$B$183=1),$I$320,HLOOKUP(INDIRECT(ADDRESS(2,COLUMN())),OFFSET($BN$2,0,0,ROW()-1,60),ROW()-1,FALSE))</f>
        <v>921.74199999999996</v>
      </c>
      <c r="J148">
        <f ca="1">IF(AND(ISNUMBER($J$320),$B$183=1),$J$320,HLOOKUP(INDIRECT(ADDRESS(2,COLUMN())),OFFSET($BN$2,0,0,ROW()-1,60),ROW()-1,FALSE))</f>
        <v>768.99300000000005</v>
      </c>
      <c r="K148">
        <f ca="1">IF(AND(ISNUMBER($K$320),$B$183=1),$K$320,HLOOKUP(INDIRECT(ADDRESS(2,COLUMN())),OFFSET($BN$2,0,0,ROW()-1,60),ROW()-1,FALSE))</f>
        <v>774.72500000000002</v>
      </c>
      <c r="L148">
        <f ca="1">IF(AND(ISNUMBER($L$320),$B$183=1),$L$320,HLOOKUP(INDIRECT(ADDRESS(2,COLUMN())),OFFSET($BN$2,0,0,ROW()-1,60),ROW()-1,FALSE))</f>
        <v>877.35799999999995</v>
      </c>
      <c r="M148">
        <f ca="1">IF(AND(ISNUMBER($M$320),$B$183=1),$M$320,HLOOKUP(INDIRECT(ADDRESS(2,COLUMN())),OFFSET($BN$2,0,0,ROW()-1,60),ROW()-1,FALSE))</f>
        <v>767.46600000000001</v>
      </c>
      <c r="N148">
        <f ca="1">IF(AND(ISNUMBER($N$320),$B$183=1),$N$320,HLOOKUP(INDIRECT(ADDRESS(2,COLUMN())),OFFSET($BN$2,0,0,ROW()-1,60),ROW()-1,FALSE))</f>
        <v>721.55399999999997</v>
      </c>
      <c r="O148">
        <f ca="1">IF(AND(ISNUMBER($O$320),$B$183=1),$O$320,HLOOKUP(INDIRECT(ADDRESS(2,COLUMN())),OFFSET($BN$2,0,0,ROW()-1,60),ROW()-1,FALSE))</f>
        <v>0</v>
      </c>
      <c r="P148">
        <f ca="1">IF(AND(ISNUMBER($P$320),$B$183=1),$P$320,HLOOKUP(INDIRECT(ADDRESS(2,COLUMN())),OFFSET($BN$2,0,0,ROW()-1,60),ROW()-1,FALSE))</f>
        <v>0</v>
      </c>
      <c r="Q148">
        <f ca="1">IF(AND(ISNUMBER($Q$320),$B$183=1),$Q$320,HLOOKUP(INDIRECT(ADDRESS(2,COLUMN())),OFFSET($BN$2,0,0,ROW()-1,60),ROW()-1,FALSE))</f>
        <v>0</v>
      </c>
      <c r="R148">
        <f ca="1">IF(AND(ISNUMBER($R$320),$B$183=1),$R$320,HLOOKUP(INDIRECT(ADDRESS(2,COLUMN())),OFFSET($BN$2,0,0,ROW()-1,60),ROW()-1,FALSE))</f>
        <v>0</v>
      </c>
      <c r="S148">
        <f ca="1">IF(AND(ISNUMBER($S$320),$B$183=1),$S$320,HLOOKUP(INDIRECT(ADDRESS(2,COLUMN())),OFFSET($BN$2,0,0,ROW()-1,60),ROW()-1,FALSE))</f>
        <v>0</v>
      </c>
      <c r="T148">
        <f ca="1">IF(AND(ISNUMBER($T$320),$B$183=1),$T$320,HLOOKUP(INDIRECT(ADDRESS(2,COLUMN())),OFFSET($BN$2,0,0,ROW()-1,60),ROW()-1,FALSE))</f>
        <v>0</v>
      </c>
      <c r="U148">
        <f ca="1">IF(AND(ISNUMBER($U$320),$B$183=1),$U$320,HLOOKUP(INDIRECT(ADDRESS(2,COLUMN())),OFFSET($BN$2,0,0,ROW()-1,60),ROW()-1,FALSE))</f>
        <v>0</v>
      </c>
      <c r="V148">
        <f ca="1">IF(AND(ISNUMBER($V$320),$B$183=1),$V$320,HLOOKUP(INDIRECT(ADDRESS(2,COLUMN())),OFFSET($BN$2,0,0,ROW()-1,60),ROW()-1,FALSE))</f>
        <v>0</v>
      </c>
      <c r="W148">
        <f ca="1">IF(AND(ISNUMBER($W$320),$B$183=1),$W$320,HLOOKUP(INDIRECT(ADDRESS(2,COLUMN())),OFFSET($BN$2,0,0,ROW()-1,60),ROW()-1,FALSE))</f>
        <v>0</v>
      </c>
      <c r="X148">
        <f ca="1">IF(AND(ISNUMBER($X$320),$B$183=1),$X$320,HLOOKUP(INDIRECT(ADDRESS(2,COLUMN())),OFFSET($BN$2,0,0,ROW()-1,60),ROW()-1,FALSE))</f>
        <v>0</v>
      </c>
      <c r="Y148">
        <f ca="1">IF(AND(ISNUMBER($Y$320),$B$183=1),$Y$320,HLOOKUP(INDIRECT(ADDRESS(2,COLUMN())),OFFSET($BN$2,0,0,ROW()-1,60),ROW()-1,FALSE))</f>
        <v>0</v>
      </c>
      <c r="Z148">
        <f ca="1">IF(AND(ISNUMBER($Z$320),$B$183=1),$Z$320,HLOOKUP(INDIRECT(ADDRESS(2,COLUMN())),OFFSET($BN$2,0,0,ROW()-1,60),ROW()-1,FALSE))</f>
        <v>0</v>
      </c>
      <c r="AA148">
        <f ca="1">IF(AND(ISNUMBER($AA$320),$B$183=1),$AA$320,HLOOKUP(INDIRECT(ADDRESS(2,COLUMN())),OFFSET($BN$2,0,0,ROW()-1,60),ROW()-1,FALSE))</f>
        <v>0</v>
      </c>
      <c r="AB148">
        <f ca="1">IF(AND(ISNUMBER($AB$320),$B$183=1),$AB$320,HLOOKUP(INDIRECT(ADDRESS(2,COLUMN())),OFFSET($BN$2,0,0,ROW()-1,60),ROW()-1,FALSE))</f>
        <v>0</v>
      </c>
      <c r="AC148">
        <f ca="1">IF(AND(ISNUMBER($AC$320),$B$183=1),$AC$320,HLOOKUP(INDIRECT(ADDRESS(2,COLUMN())),OFFSET($BN$2,0,0,ROW()-1,60),ROW()-1,FALSE))</f>
        <v>0</v>
      </c>
      <c r="AD148">
        <f ca="1">IF(AND(ISNUMBER($AD$320),$B$183=1),$AD$320,HLOOKUP(INDIRECT(ADDRESS(2,COLUMN())),OFFSET($BN$2,0,0,ROW()-1,60),ROW()-1,FALSE))</f>
        <v>0</v>
      </c>
      <c r="AE148">
        <f ca="1">IF(AND(ISNUMBER($AE$320),$B$183=1),$AE$320,HLOOKUP(INDIRECT(ADDRESS(2,COLUMN())),OFFSET($BN$2,0,0,ROW()-1,60),ROW()-1,FALSE))</f>
        <v>0</v>
      </c>
      <c r="AF148">
        <f ca="1">IF(AND(ISNUMBER($AF$320),$B$183=1),$AF$320,HLOOKUP(INDIRECT(ADDRESS(2,COLUMN())),OFFSET($BN$2,0,0,ROW()-1,60),ROW()-1,FALSE))</f>
        <v>0</v>
      </c>
      <c r="AG148">
        <f ca="1">IF(AND(ISNUMBER($AG$320),$B$183=1),$AG$320,HLOOKUP(INDIRECT(ADDRESS(2,COLUMN())),OFFSET($BN$2,0,0,ROW()-1,60),ROW()-1,FALSE))</f>
        <v>0</v>
      </c>
      <c r="AH148">
        <f ca="1">IF(AND(ISNUMBER($AH$320),$B$183=1),$AH$320,HLOOKUP(INDIRECT(ADDRESS(2,COLUMN())),OFFSET($BN$2,0,0,ROW()-1,60),ROW()-1,FALSE))</f>
        <v>0</v>
      </c>
      <c r="AI148">
        <f ca="1">IF(AND(ISNUMBER($AI$320),$B$183=1),$AI$320,HLOOKUP(INDIRECT(ADDRESS(2,COLUMN())),OFFSET($BN$2,0,0,ROW()-1,60),ROW()-1,FALSE))</f>
        <v>0</v>
      </c>
      <c r="AJ148">
        <f ca="1">IF(AND(ISNUMBER($AJ$320),$B$183=1),$AJ$320,HLOOKUP(INDIRECT(ADDRESS(2,COLUMN())),OFFSET($BN$2,0,0,ROW()-1,60),ROW()-1,FALSE))</f>
        <v>0</v>
      </c>
      <c r="AK148">
        <f ca="1">IF(AND(ISNUMBER($AK$320),$B$183=1),$AK$320,HLOOKUP(INDIRECT(ADDRESS(2,COLUMN())),OFFSET($BN$2,0,0,ROW()-1,60),ROW()-1,FALSE))</f>
        <v>0</v>
      </c>
      <c r="AL148">
        <f ca="1">IF(AND(ISNUMBER($AL$320),$B$183=1),$AL$320,HLOOKUP(INDIRECT(ADDRESS(2,COLUMN())),OFFSET($BN$2,0,0,ROW()-1,60),ROW()-1,FALSE))</f>
        <v>0</v>
      </c>
      <c r="AM148">
        <f ca="1">IF(AND(ISNUMBER($AM$320),$B$183=1),$AM$320,HLOOKUP(INDIRECT(ADDRESS(2,COLUMN())),OFFSET($BN$2,0,0,ROW()-1,60),ROW()-1,FALSE))</f>
        <v>0</v>
      </c>
      <c r="AN148">
        <f ca="1">IF(AND(ISNUMBER($AN$320),$B$183=1),$AN$320,HLOOKUP(INDIRECT(ADDRESS(2,COLUMN())),OFFSET($BN$2,0,0,ROW()-1,60),ROW()-1,FALSE))</f>
        <v>0</v>
      </c>
      <c r="AO148">
        <f ca="1">IF(AND(ISNUMBER($AO$320),$B$183=1),$AO$320,HLOOKUP(INDIRECT(ADDRESS(2,COLUMN())),OFFSET($BN$2,0,0,ROW()-1,60),ROW()-1,FALSE))</f>
        <v>0</v>
      </c>
      <c r="AP148">
        <f ca="1">IF(AND(ISNUMBER($AP$320),$B$183=1),$AP$320,HLOOKUP(INDIRECT(ADDRESS(2,COLUMN())),OFFSET($BN$2,0,0,ROW()-1,60),ROW()-1,FALSE))</f>
        <v>0</v>
      </c>
      <c r="AQ148">
        <f ca="1">IF(AND(ISNUMBER($AQ$320),$B$183=1),$AQ$320,HLOOKUP(INDIRECT(ADDRESS(2,COLUMN())),OFFSET($BN$2,0,0,ROW()-1,60),ROW()-1,FALSE))</f>
        <v>21.7</v>
      </c>
      <c r="AR148">
        <f ca="1">IF(AND(ISNUMBER($AR$320),$B$183=1),$AR$320,HLOOKUP(INDIRECT(ADDRESS(2,COLUMN())),OFFSET($BN$2,0,0,ROW()-1,60),ROW()-1,FALSE))</f>
        <v>21.7</v>
      </c>
      <c r="AS148">
        <f ca="1">IF(AND(ISNUMBER($AS$320),$B$183=1),$AS$320,HLOOKUP(INDIRECT(ADDRESS(2,COLUMN())),OFFSET($BN$2,0,0,ROW()-1,60),ROW()-1,FALSE))</f>
        <v>13.2</v>
      </c>
      <c r="AT148">
        <f ca="1">IF(AND(ISNUMBER($AT$320),$B$183=1),$AT$320,HLOOKUP(INDIRECT(ADDRESS(2,COLUMN())),OFFSET($BN$2,0,0,ROW()-1,60),ROW()-1,FALSE))</f>
        <v>0</v>
      </c>
      <c r="AU148">
        <f ca="1">IF(AND(ISNUMBER($AU$320),$B$183=1),$AU$320,HLOOKUP(INDIRECT(ADDRESS(2,COLUMN())),OFFSET($BN$2,0,0,ROW()-1,60),ROW()-1,FALSE))</f>
        <v>0</v>
      </c>
      <c r="AV148">
        <f ca="1">IF(AND(ISNUMBER($AV$320),$B$183=1),$AV$320,HLOOKUP(INDIRECT(ADDRESS(2,COLUMN())),OFFSET($BN$2,0,0,ROW()-1,60),ROW()-1,FALSE))</f>
        <v>0</v>
      </c>
      <c r="AW148">
        <f ca="1">IF(AND(ISNUMBER($AW$320),$B$183=1),$AW$320,HLOOKUP(INDIRECT(ADDRESS(2,COLUMN())),OFFSET($BN$2,0,0,ROW()-1,60),ROW()-1,FALSE))</f>
        <v>0</v>
      </c>
      <c r="AX148">
        <f ca="1">IF(AND(ISNUMBER($AX$320),$B$183=1),$AX$320,HLOOKUP(INDIRECT(ADDRESS(2,COLUMN())),OFFSET($BN$2,0,0,ROW()-1,60),ROW()-1,FALSE))</f>
        <v>0</v>
      </c>
      <c r="AY148">
        <f ca="1">IF(AND(ISNUMBER($AY$320),$B$183=1),$AY$320,HLOOKUP(INDIRECT(ADDRESS(2,COLUMN())),OFFSET($BN$2,0,0,ROW()-1,60),ROW()-1,FALSE))</f>
        <v>0</v>
      </c>
      <c r="AZ148">
        <f ca="1">IF(AND(ISNUMBER($AZ$320),$B$183=1),$AZ$320,HLOOKUP(INDIRECT(ADDRESS(2,COLUMN())),OFFSET($BN$2,0,0,ROW()-1,60),ROW()-1,FALSE))</f>
        <v>0</v>
      </c>
      <c r="BA148">
        <f ca="1">IF(AND(ISNUMBER($BA$320),$B$183=1),$BA$320,HLOOKUP(INDIRECT(ADDRESS(2,COLUMN())),OFFSET($BN$2,0,0,ROW()-1,60),ROW()-1,FALSE))</f>
        <v>0</v>
      </c>
      <c r="BB148">
        <f ca="1">IF(AND(ISNUMBER($BB$320),$B$183=1),$BB$320,HLOOKUP(INDIRECT(ADDRESS(2,COLUMN())),OFFSET($BN$2,0,0,ROW()-1,60),ROW()-1,FALSE))</f>
        <v>0</v>
      </c>
      <c r="BC148">
        <f ca="1">IF(AND(ISNUMBER($BC$320),$B$183=1),$BC$320,HLOOKUP(INDIRECT(ADDRESS(2,COLUMN())),OFFSET($BN$2,0,0,ROW()-1,60),ROW()-1,FALSE))</f>
        <v>0</v>
      </c>
      <c r="BD148">
        <f ca="1">IF(AND(ISNUMBER($BD$320),$B$183=1),$BD$320,HLOOKUP(INDIRECT(ADDRESS(2,COLUMN())),OFFSET($BN$2,0,0,ROW()-1,60),ROW()-1,FALSE))</f>
        <v>0</v>
      </c>
      <c r="BE148">
        <f ca="1">IF(AND(ISNUMBER($BE$320),$B$183=1),$BE$320,HLOOKUP(INDIRECT(ADDRESS(2,COLUMN())),OFFSET($BN$2,0,0,ROW()-1,60),ROW()-1,FALSE))</f>
        <v>1706.7</v>
      </c>
      <c r="BF148">
        <f ca="1">IF(AND(ISNUMBER($BF$320),$B$183=1),$BF$320,HLOOKUP(INDIRECT(ADDRESS(2,COLUMN())),OFFSET($BN$2,0,0,ROW()-1,60),ROW()-1,FALSE))</f>
        <v>1944.4739999999999</v>
      </c>
      <c r="BG148">
        <f ca="1">IF(AND(ISNUMBER($BG$320),$B$183=1),$BG$320,HLOOKUP(INDIRECT(ADDRESS(2,COLUMN())),OFFSET($BN$2,0,0,ROW()-1,60),ROW()-1,FALSE))</f>
        <v>35.799999999999997</v>
      </c>
      <c r="BH148">
        <f ca="1">IF(AND(ISNUMBER($BH$320),$B$183=1),$BH$320,HLOOKUP(INDIRECT(ADDRESS(2,COLUMN())),OFFSET($BN$2,0,0,ROW()-1,60),ROW()-1,FALSE))</f>
        <v>0</v>
      </c>
      <c r="BI148">
        <f ca="1">IF(AND(ISNUMBER($BI$320),$B$183=1),$BI$320,HLOOKUP(INDIRECT(ADDRESS(2,COLUMN())),OFFSET($BN$2,0,0,ROW()-1,60),ROW()-1,FALSE))</f>
        <v>0</v>
      </c>
      <c r="BJ148">
        <f ca="1">IF(AND(ISNUMBER($BJ$320),$B$183=1),$BJ$320,HLOOKUP(INDIRECT(ADDRESS(2,COLUMN())),OFFSET($BN$2,0,0,ROW()-1,60),ROW()-1,FALSE))</f>
        <v>0</v>
      </c>
      <c r="BK148">
        <f ca="1">IF(AND(ISNUMBER($BK$320),$B$183=1),$BK$320,HLOOKUP(INDIRECT(ADDRESS(2,COLUMN())),OFFSET($BN$2,0,0,ROW()-1,60),ROW()-1,FALSE))</f>
        <v>0</v>
      </c>
      <c r="BL148">
        <f ca="1">IF(AND(ISNUMBER($BL$320),$B$183=1),$BL$320,HLOOKUP(INDIRECT(ADDRESS(2,COLUMN())),OFFSET($BN$2,0,0,ROW()-1,60),ROW()-1,FALSE))</f>
        <v>0</v>
      </c>
      <c r="BM148">
        <f ca="1">IF(AND(ISNUMBER($BM$320),$B$183=1),$BM$320,HLOOKUP(INDIRECT(ADDRESS(2,COLUMN())),OFFSET($BN$2,0,0,ROW()-1,60),ROW()-1,FALSE))</f>
        <v>0</v>
      </c>
      <c r="BN148">
        <f>638.82</f>
        <v>638.82000000000005</v>
      </c>
      <c r="BO148">
        <f>844.521</f>
        <v>844.52099999999996</v>
      </c>
      <c r="BP148">
        <f>813.234</f>
        <v>813.23400000000004</v>
      </c>
      <c r="BQ148">
        <f>921.742</f>
        <v>921.74199999999996</v>
      </c>
      <c r="BR148">
        <f>768.993</f>
        <v>768.99300000000005</v>
      </c>
      <c r="BS148">
        <f>774.725</f>
        <v>774.72500000000002</v>
      </c>
      <c r="BT148">
        <f>877.358</f>
        <v>877.35799999999995</v>
      </c>
      <c r="BU148">
        <f>767.466</f>
        <v>767.46600000000001</v>
      </c>
      <c r="BV148">
        <f>721.554</f>
        <v>721.55399999999997</v>
      </c>
      <c r="BW148">
        <f>0</f>
        <v>0</v>
      </c>
      <c r="BX148">
        <f>0</f>
        <v>0</v>
      </c>
      <c r="BY148">
        <f>0</f>
        <v>0</v>
      </c>
      <c r="BZ148">
        <f>0</f>
        <v>0</v>
      </c>
      <c r="CA148">
        <f>0</f>
        <v>0</v>
      </c>
      <c r="CB148">
        <f>0</f>
        <v>0</v>
      </c>
      <c r="CC148">
        <f>0</f>
        <v>0</v>
      </c>
      <c r="CD148">
        <f>0</f>
        <v>0</v>
      </c>
      <c r="CE148">
        <f>0</f>
        <v>0</v>
      </c>
      <c r="CF148">
        <f>0</f>
        <v>0</v>
      </c>
      <c r="CG148">
        <f>0</f>
        <v>0</v>
      </c>
      <c r="CH148">
        <f>0</f>
        <v>0</v>
      </c>
      <c r="CI148">
        <f>0</f>
        <v>0</v>
      </c>
      <c r="CJ148">
        <f>0</f>
        <v>0</v>
      </c>
      <c r="CK148">
        <f>0</f>
        <v>0</v>
      </c>
      <c r="CL148">
        <f>0</f>
        <v>0</v>
      </c>
      <c r="CM148">
        <f>0</f>
        <v>0</v>
      </c>
      <c r="CN148">
        <f>0</f>
        <v>0</v>
      </c>
      <c r="CO148">
        <f>0</f>
        <v>0</v>
      </c>
      <c r="CP148">
        <f>0</f>
        <v>0</v>
      </c>
      <c r="CQ148">
        <f>0</f>
        <v>0</v>
      </c>
      <c r="CR148">
        <f>0</f>
        <v>0</v>
      </c>
      <c r="CS148">
        <f>0</f>
        <v>0</v>
      </c>
      <c r="CT148">
        <f>0</f>
        <v>0</v>
      </c>
      <c r="CU148">
        <f>0</f>
        <v>0</v>
      </c>
      <c r="CV148">
        <f>0</f>
        <v>0</v>
      </c>
      <c r="CW148">
        <f>0</f>
        <v>0</v>
      </c>
      <c r="CX148">
        <f>0</f>
        <v>0</v>
      </c>
      <c r="CY148">
        <f>21.7</f>
        <v>21.7</v>
      </c>
      <c r="CZ148">
        <f>21.7</f>
        <v>21.7</v>
      </c>
      <c r="DA148">
        <f>13.2</f>
        <v>13.2</v>
      </c>
      <c r="DB148">
        <f>0</f>
        <v>0</v>
      </c>
      <c r="DC148">
        <f>0</f>
        <v>0</v>
      </c>
      <c r="DD148">
        <f>0</f>
        <v>0</v>
      </c>
      <c r="DE148">
        <f>0</f>
        <v>0</v>
      </c>
      <c r="DF148">
        <f>0</f>
        <v>0</v>
      </c>
      <c r="DG148">
        <f>0</f>
        <v>0</v>
      </c>
      <c r="DH148">
        <f>0</f>
        <v>0</v>
      </c>
      <c r="DI148">
        <f>0</f>
        <v>0</v>
      </c>
      <c r="DJ148">
        <f>0</f>
        <v>0</v>
      </c>
      <c r="DK148">
        <f>0</f>
        <v>0</v>
      </c>
      <c r="DL148">
        <f>0</f>
        <v>0</v>
      </c>
      <c r="DM148">
        <f>1706.7</f>
        <v>1706.7</v>
      </c>
      <c r="DN148">
        <f>1944.474</f>
        <v>1944.4739999999999</v>
      </c>
      <c r="DO148">
        <f>35.8</f>
        <v>35.799999999999997</v>
      </c>
      <c r="DP148">
        <f>0</f>
        <v>0</v>
      </c>
      <c r="DQ148">
        <f>0</f>
        <v>0</v>
      </c>
      <c r="DR148">
        <f>0</f>
        <v>0</v>
      </c>
      <c r="DS148">
        <f>0</f>
        <v>0</v>
      </c>
      <c r="DT148">
        <f>0</f>
        <v>0</v>
      </c>
      <c r="DU148">
        <f>0</f>
        <v>0</v>
      </c>
    </row>
    <row r="149" spans="1:125">
      <c r="A149" t="str">
        <f>"    "</f>
        <v xml:space="preserve">    </v>
      </c>
      <c r="B149" t="str">
        <f>""</f>
        <v/>
      </c>
      <c r="E149" t="str">
        <f>"静态"</f>
        <v>静态</v>
      </c>
      <c r="F149" t="str">
        <f t="shared" ref="F149:O150" ca="1" si="33">HLOOKUP(INDIRECT(ADDRESS(2,COLUMN())),OFFSET($BN$2,0,0,ROW()-1,60),ROW()-1,FALSE)</f>
        <v/>
      </c>
      <c r="G149" t="str">
        <f t="shared" ca="1" si="33"/>
        <v/>
      </c>
      <c r="H149" t="str">
        <f t="shared" ca="1" si="33"/>
        <v/>
      </c>
      <c r="I149" t="str">
        <f t="shared" ca="1" si="33"/>
        <v/>
      </c>
      <c r="J149" t="str">
        <f t="shared" ca="1" si="33"/>
        <v/>
      </c>
      <c r="K149" t="str">
        <f t="shared" ca="1" si="33"/>
        <v/>
      </c>
      <c r="L149" t="str">
        <f t="shared" ca="1" si="33"/>
        <v/>
      </c>
      <c r="M149" t="str">
        <f t="shared" ca="1" si="33"/>
        <v/>
      </c>
      <c r="N149" t="str">
        <f t="shared" ca="1" si="33"/>
        <v/>
      </c>
      <c r="O149" t="str">
        <f t="shared" ca="1" si="33"/>
        <v/>
      </c>
      <c r="P149" t="str">
        <f t="shared" ref="P149:Y150" ca="1" si="34">HLOOKUP(INDIRECT(ADDRESS(2,COLUMN())),OFFSET($BN$2,0,0,ROW()-1,60),ROW()-1,FALSE)</f>
        <v/>
      </c>
      <c r="Q149" t="str">
        <f t="shared" ca="1" si="34"/>
        <v/>
      </c>
      <c r="R149" t="str">
        <f t="shared" ca="1" si="34"/>
        <v/>
      </c>
      <c r="S149" t="str">
        <f t="shared" ca="1" si="34"/>
        <v/>
      </c>
      <c r="T149" t="str">
        <f t="shared" ca="1" si="34"/>
        <v/>
      </c>
      <c r="U149" t="str">
        <f t="shared" ca="1" si="34"/>
        <v/>
      </c>
      <c r="V149" t="str">
        <f t="shared" ca="1" si="34"/>
        <v/>
      </c>
      <c r="W149" t="str">
        <f t="shared" ca="1" si="34"/>
        <v/>
      </c>
      <c r="X149" t="str">
        <f t="shared" ca="1" si="34"/>
        <v/>
      </c>
      <c r="Y149" t="str">
        <f t="shared" ca="1" si="34"/>
        <v/>
      </c>
      <c r="Z149" t="str">
        <f t="shared" ref="Z149:AI150" ca="1" si="35">HLOOKUP(INDIRECT(ADDRESS(2,COLUMN())),OFFSET($BN$2,0,0,ROW()-1,60),ROW()-1,FALSE)</f>
        <v/>
      </c>
      <c r="AA149" t="str">
        <f t="shared" ca="1" si="35"/>
        <v/>
      </c>
      <c r="AB149" t="str">
        <f t="shared" ca="1" si="35"/>
        <v/>
      </c>
      <c r="AC149" t="str">
        <f t="shared" ca="1" si="35"/>
        <v/>
      </c>
      <c r="AD149" t="str">
        <f t="shared" ca="1" si="35"/>
        <v/>
      </c>
      <c r="AE149" t="str">
        <f t="shared" ca="1" si="35"/>
        <v/>
      </c>
      <c r="AF149" t="str">
        <f t="shared" ca="1" si="35"/>
        <v/>
      </c>
      <c r="AG149" t="str">
        <f t="shared" ca="1" si="35"/>
        <v/>
      </c>
      <c r="AH149" t="str">
        <f t="shared" ca="1" si="35"/>
        <v/>
      </c>
      <c r="AI149" t="str">
        <f t="shared" ca="1" si="35"/>
        <v/>
      </c>
      <c r="AJ149" t="str">
        <f t="shared" ref="AJ149:AS150" ca="1" si="36">HLOOKUP(INDIRECT(ADDRESS(2,COLUMN())),OFFSET($BN$2,0,0,ROW()-1,60),ROW()-1,FALSE)</f>
        <v/>
      </c>
      <c r="AK149" t="str">
        <f t="shared" ca="1" si="36"/>
        <v/>
      </c>
      <c r="AL149" t="str">
        <f t="shared" ca="1" si="36"/>
        <v/>
      </c>
      <c r="AM149" t="str">
        <f t="shared" ca="1" si="36"/>
        <v/>
      </c>
      <c r="AN149" t="str">
        <f t="shared" ca="1" si="36"/>
        <v/>
      </c>
      <c r="AO149" t="str">
        <f t="shared" ca="1" si="36"/>
        <v/>
      </c>
      <c r="AP149" t="str">
        <f t="shared" ca="1" si="36"/>
        <v/>
      </c>
      <c r="AQ149" t="str">
        <f t="shared" ca="1" si="36"/>
        <v/>
      </c>
      <c r="AR149" t="str">
        <f t="shared" ca="1" si="36"/>
        <v/>
      </c>
      <c r="AS149" t="str">
        <f t="shared" ca="1" si="36"/>
        <v/>
      </c>
      <c r="AT149" t="str">
        <f t="shared" ref="AT149:BC150" ca="1" si="37">HLOOKUP(INDIRECT(ADDRESS(2,COLUMN())),OFFSET($BN$2,0,0,ROW()-1,60),ROW()-1,FALSE)</f>
        <v/>
      </c>
      <c r="AU149" t="str">
        <f t="shared" ca="1" si="37"/>
        <v/>
      </c>
      <c r="AV149" t="str">
        <f t="shared" ca="1" si="37"/>
        <v/>
      </c>
      <c r="AW149" t="str">
        <f t="shared" ca="1" si="37"/>
        <v/>
      </c>
      <c r="AX149" t="str">
        <f t="shared" ca="1" si="37"/>
        <v/>
      </c>
      <c r="AY149" t="str">
        <f t="shared" ca="1" si="37"/>
        <v/>
      </c>
      <c r="AZ149" t="str">
        <f t="shared" ca="1" si="37"/>
        <v/>
      </c>
      <c r="BA149" t="str">
        <f t="shared" ca="1" si="37"/>
        <v/>
      </c>
      <c r="BB149" t="str">
        <f t="shared" ca="1" si="37"/>
        <v/>
      </c>
      <c r="BC149" t="str">
        <f t="shared" ca="1" si="37"/>
        <v/>
      </c>
      <c r="BD149" t="str">
        <f t="shared" ref="BD149:BM150" ca="1" si="38">HLOOKUP(INDIRECT(ADDRESS(2,COLUMN())),OFFSET($BN$2,0,0,ROW()-1,60),ROW()-1,FALSE)</f>
        <v/>
      </c>
      <c r="BE149" t="str">
        <f t="shared" ca="1" si="38"/>
        <v/>
      </c>
      <c r="BF149" t="str">
        <f t="shared" ca="1" si="38"/>
        <v/>
      </c>
      <c r="BG149" t="str">
        <f t="shared" ca="1" si="38"/>
        <v/>
      </c>
      <c r="BH149" t="str">
        <f t="shared" ca="1" si="38"/>
        <v/>
      </c>
      <c r="BI149" t="str">
        <f t="shared" ca="1" si="38"/>
        <v/>
      </c>
      <c r="BJ149" t="str">
        <f t="shared" ca="1" si="38"/>
        <v/>
      </c>
      <c r="BK149" t="str">
        <f t="shared" ca="1" si="38"/>
        <v/>
      </c>
      <c r="BL149" t="str">
        <f t="shared" ca="1" si="38"/>
        <v/>
      </c>
      <c r="BM149" t="str">
        <f t="shared" ca="1" si="38"/>
        <v/>
      </c>
      <c r="BN149" t="str">
        <f>""</f>
        <v/>
      </c>
      <c r="BO149" t="str">
        <f>""</f>
        <v/>
      </c>
      <c r="BP149" t="str">
        <f>""</f>
        <v/>
      </c>
      <c r="BQ149" t="str">
        <f>""</f>
        <v/>
      </c>
      <c r="BR149" t="str">
        <f>""</f>
        <v/>
      </c>
      <c r="BS149" t="str">
        <f>""</f>
        <v/>
      </c>
      <c r="BT149" t="str">
        <f>""</f>
        <v/>
      </c>
      <c r="BU149" t="str">
        <f>""</f>
        <v/>
      </c>
      <c r="BV149" t="str">
        <f>""</f>
        <v/>
      </c>
      <c r="BW149" t="str">
        <f>""</f>
        <v/>
      </c>
      <c r="BX149" t="str">
        <f>""</f>
        <v/>
      </c>
      <c r="BY149" t="str">
        <f>""</f>
        <v/>
      </c>
      <c r="BZ149" t="str">
        <f>""</f>
        <v/>
      </c>
      <c r="CA149" t="str">
        <f>""</f>
        <v/>
      </c>
      <c r="CB149" t="str">
        <f>""</f>
        <v/>
      </c>
      <c r="CC149" t="str">
        <f>""</f>
        <v/>
      </c>
      <c r="CD149" t="str">
        <f>""</f>
        <v/>
      </c>
      <c r="CE149" t="str">
        <f>""</f>
        <v/>
      </c>
      <c r="CF149" t="str">
        <f>""</f>
        <v/>
      </c>
      <c r="CG149" t="str">
        <f>""</f>
        <v/>
      </c>
      <c r="CH149" t="str">
        <f>""</f>
        <v/>
      </c>
      <c r="CI149" t="str">
        <f>""</f>
        <v/>
      </c>
      <c r="CJ149" t="str">
        <f>""</f>
        <v/>
      </c>
      <c r="CK149" t="str">
        <f>""</f>
        <v/>
      </c>
      <c r="CL149" t="str">
        <f>""</f>
        <v/>
      </c>
      <c r="CM149" t="str">
        <f>""</f>
        <v/>
      </c>
      <c r="CN149" t="str">
        <f>""</f>
        <v/>
      </c>
      <c r="CO149" t="str">
        <f>""</f>
        <v/>
      </c>
      <c r="CP149" t="str">
        <f>""</f>
        <v/>
      </c>
      <c r="CQ149" t="str">
        <f>""</f>
        <v/>
      </c>
      <c r="CR149" t="str">
        <f>""</f>
        <v/>
      </c>
      <c r="CS149" t="str">
        <f>""</f>
        <v/>
      </c>
      <c r="CT149" t="str">
        <f>""</f>
        <v/>
      </c>
      <c r="CU149" t="str">
        <f>""</f>
        <v/>
      </c>
      <c r="CV149" t="str">
        <f>""</f>
        <v/>
      </c>
      <c r="CW149" t="str">
        <f>""</f>
        <v/>
      </c>
      <c r="CX149" t="str">
        <f>""</f>
        <v/>
      </c>
      <c r="CY149" t="str">
        <f>""</f>
        <v/>
      </c>
      <c r="CZ149" t="str">
        <f>""</f>
        <v/>
      </c>
      <c r="DA149" t="str">
        <f>""</f>
        <v/>
      </c>
      <c r="DB149" t="str">
        <f>""</f>
        <v/>
      </c>
      <c r="DC149" t="str">
        <f>""</f>
        <v/>
      </c>
      <c r="DD149" t="str">
        <f>""</f>
        <v/>
      </c>
      <c r="DE149" t="str">
        <f>""</f>
        <v/>
      </c>
      <c r="DF149" t="str">
        <f>""</f>
        <v/>
      </c>
      <c r="DG149" t="str">
        <f>""</f>
        <v/>
      </c>
      <c r="DH149" t="str">
        <f>""</f>
        <v/>
      </c>
      <c r="DI149" t="str">
        <f>""</f>
        <v/>
      </c>
      <c r="DJ149" t="str">
        <f>""</f>
        <v/>
      </c>
      <c r="DK149" t="str">
        <f>""</f>
        <v/>
      </c>
      <c r="DL149" t="str">
        <f>""</f>
        <v/>
      </c>
      <c r="DM149" t="str">
        <f>""</f>
        <v/>
      </c>
      <c r="DN149" t="str">
        <f>""</f>
        <v/>
      </c>
      <c r="DO149" t="str">
        <f>""</f>
        <v/>
      </c>
      <c r="DP149" t="str">
        <f>""</f>
        <v/>
      </c>
      <c r="DQ149" t="str">
        <f>""</f>
        <v/>
      </c>
      <c r="DR149" t="str">
        <f>""</f>
        <v/>
      </c>
      <c r="DS149" t="str">
        <f>""</f>
        <v/>
      </c>
      <c r="DT149" t="str">
        <f>""</f>
        <v/>
      </c>
      <c r="DU149" t="str">
        <f>""</f>
        <v/>
      </c>
    </row>
    <row r="150" spans="1:125">
      <c r="A150" t="str">
        <f>"REITs' Average Occupancy"</f>
        <v>REITs' Average Occupancy</v>
      </c>
      <c r="B150" t="str">
        <f>""</f>
        <v/>
      </c>
      <c r="E150" t="str">
        <f>"静态"</f>
        <v>静态</v>
      </c>
      <c r="F150" t="str">
        <f t="shared" ca="1" si="33"/>
        <v/>
      </c>
      <c r="G150" t="str">
        <f t="shared" ca="1" si="33"/>
        <v/>
      </c>
      <c r="H150" t="str">
        <f t="shared" ca="1" si="33"/>
        <v/>
      </c>
      <c r="I150" t="str">
        <f t="shared" ca="1" si="33"/>
        <v/>
      </c>
      <c r="J150" t="str">
        <f t="shared" ca="1" si="33"/>
        <v/>
      </c>
      <c r="K150" t="str">
        <f t="shared" ca="1" si="33"/>
        <v/>
      </c>
      <c r="L150" t="str">
        <f t="shared" ca="1" si="33"/>
        <v/>
      </c>
      <c r="M150" t="str">
        <f t="shared" ca="1" si="33"/>
        <v/>
      </c>
      <c r="N150" t="str">
        <f t="shared" ca="1" si="33"/>
        <v/>
      </c>
      <c r="O150" t="str">
        <f t="shared" ca="1" si="33"/>
        <v/>
      </c>
      <c r="P150" t="str">
        <f t="shared" ca="1" si="34"/>
        <v/>
      </c>
      <c r="Q150" t="str">
        <f t="shared" ca="1" si="34"/>
        <v/>
      </c>
      <c r="R150" t="str">
        <f t="shared" ca="1" si="34"/>
        <v/>
      </c>
      <c r="S150" t="str">
        <f t="shared" ca="1" si="34"/>
        <v/>
      </c>
      <c r="T150" t="str">
        <f t="shared" ca="1" si="34"/>
        <v/>
      </c>
      <c r="U150" t="str">
        <f t="shared" ca="1" si="34"/>
        <v/>
      </c>
      <c r="V150" t="str">
        <f t="shared" ca="1" si="34"/>
        <v/>
      </c>
      <c r="W150" t="str">
        <f t="shared" ca="1" si="34"/>
        <v/>
      </c>
      <c r="X150" t="str">
        <f t="shared" ca="1" si="34"/>
        <v/>
      </c>
      <c r="Y150" t="str">
        <f t="shared" ca="1" si="34"/>
        <v/>
      </c>
      <c r="Z150" t="str">
        <f t="shared" ca="1" si="35"/>
        <v/>
      </c>
      <c r="AA150" t="str">
        <f t="shared" ca="1" si="35"/>
        <v/>
      </c>
      <c r="AB150" t="str">
        <f t="shared" ca="1" si="35"/>
        <v/>
      </c>
      <c r="AC150" t="str">
        <f t="shared" ca="1" si="35"/>
        <v/>
      </c>
      <c r="AD150" t="str">
        <f t="shared" ca="1" si="35"/>
        <v/>
      </c>
      <c r="AE150" t="str">
        <f t="shared" ca="1" si="35"/>
        <v/>
      </c>
      <c r="AF150" t="str">
        <f t="shared" ca="1" si="35"/>
        <v/>
      </c>
      <c r="AG150" t="str">
        <f t="shared" ca="1" si="35"/>
        <v/>
      </c>
      <c r="AH150" t="str">
        <f t="shared" ca="1" si="35"/>
        <v/>
      </c>
      <c r="AI150" t="str">
        <f t="shared" ca="1" si="35"/>
        <v/>
      </c>
      <c r="AJ150" t="str">
        <f t="shared" ca="1" si="36"/>
        <v/>
      </c>
      <c r="AK150" t="str">
        <f t="shared" ca="1" si="36"/>
        <v/>
      </c>
      <c r="AL150" t="str">
        <f t="shared" ca="1" si="36"/>
        <v/>
      </c>
      <c r="AM150" t="str">
        <f t="shared" ca="1" si="36"/>
        <v/>
      </c>
      <c r="AN150" t="str">
        <f t="shared" ca="1" si="36"/>
        <v/>
      </c>
      <c r="AO150" t="str">
        <f t="shared" ca="1" si="36"/>
        <v/>
      </c>
      <c r="AP150" t="str">
        <f t="shared" ca="1" si="36"/>
        <v/>
      </c>
      <c r="AQ150" t="str">
        <f t="shared" ca="1" si="36"/>
        <v/>
      </c>
      <c r="AR150" t="str">
        <f t="shared" ca="1" si="36"/>
        <v/>
      </c>
      <c r="AS150" t="str">
        <f t="shared" ca="1" si="36"/>
        <v/>
      </c>
      <c r="AT150" t="str">
        <f t="shared" ca="1" si="37"/>
        <v/>
      </c>
      <c r="AU150" t="str">
        <f t="shared" ca="1" si="37"/>
        <v/>
      </c>
      <c r="AV150" t="str">
        <f t="shared" ca="1" si="37"/>
        <v/>
      </c>
      <c r="AW150" t="str">
        <f t="shared" ca="1" si="37"/>
        <v/>
      </c>
      <c r="AX150" t="str">
        <f t="shared" ca="1" si="37"/>
        <v/>
      </c>
      <c r="AY150" t="str">
        <f t="shared" ca="1" si="37"/>
        <v/>
      </c>
      <c r="AZ150" t="str">
        <f t="shared" ca="1" si="37"/>
        <v/>
      </c>
      <c r="BA150" t="str">
        <f t="shared" ca="1" si="37"/>
        <v/>
      </c>
      <c r="BB150" t="str">
        <f t="shared" ca="1" si="37"/>
        <v/>
      </c>
      <c r="BC150" t="str">
        <f t="shared" ca="1" si="37"/>
        <v/>
      </c>
      <c r="BD150" t="str">
        <f t="shared" ca="1" si="38"/>
        <v/>
      </c>
      <c r="BE150" t="str">
        <f t="shared" ca="1" si="38"/>
        <v/>
      </c>
      <c r="BF150" t="str">
        <f t="shared" ca="1" si="38"/>
        <v/>
      </c>
      <c r="BG150" t="str">
        <f t="shared" ca="1" si="38"/>
        <v/>
      </c>
      <c r="BH150" t="str">
        <f t="shared" ca="1" si="38"/>
        <v/>
      </c>
      <c r="BI150" t="str">
        <f t="shared" ca="1" si="38"/>
        <v/>
      </c>
      <c r="BJ150" t="str">
        <f t="shared" ca="1" si="38"/>
        <v/>
      </c>
      <c r="BK150" t="str">
        <f t="shared" ca="1" si="38"/>
        <v/>
      </c>
      <c r="BL150" t="str">
        <f t="shared" ca="1" si="38"/>
        <v/>
      </c>
      <c r="BM150" t="str">
        <f t="shared" ca="1" si="38"/>
        <v/>
      </c>
      <c r="BN150" t="str">
        <f>""</f>
        <v/>
      </c>
      <c r="BO150" t="str">
        <f>""</f>
        <v/>
      </c>
      <c r="BP150" t="str">
        <f>""</f>
        <v/>
      </c>
      <c r="BQ150" t="str">
        <f>""</f>
        <v/>
      </c>
      <c r="BR150" t="str">
        <f>""</f>
        <v/>
      </c>
      <c r="BS150" t="str">
        <f>""</f>
        <v/>
      </c>
      <c r="BT150" t="str">
        <f>""</f>
        <v/>
      </c>
      <c r="BU150" t="str">
        <f>""</f>
        <v/>
      </c>
      <c r="BV150" t="str">
        <f>""</f>
        <v/>
      </c>
      <c r="BW150" t="str">
        <f>""</f>
        <v/>
      </c>
      <c r="BX150" t="str">
        <f>""</f>
        <v/>
      </c>
      <c r="BY150" t="str">
        <f>""</f>
        <v/>
      </c>
      <c r="BZ150" t="str">
        <f>""</f>
        <v/>
      </c>
      <c r="CA150" t="str">
        <f>""</f>
        <v/>
      </c>
      <c r="CB150" t="str">
        <f>""</f>
        <v/>
      </c>
      <c r="CC150" t="str">
        <f>""</f>
        <v/>
      </c>
      <c r="CD150" t="str">
        <f>""</f>
        <v/>
      </c>
      <c r="CE150" t="str">
        <f>""</f>
        <v/>
      </c>
      <c r="CF150" t="str">
        <f>""</f>
        <v/>
      </c>
      <c r="CG150" t="str">
        <f>""</f>
        <v/>
      </c>
      <c r="CH150" t="str">
        <f>""</f>
        <v/>
      </c>
      <c r="CI150" t="str">
        <f>""</f>
        <v/>
      </c>
      <c r="CJ150" t="str">
        <f>""</f>
        <v/>
      </c>
      <c r="CK150" t="str">
        <f>""</f>
        <v/>
      </c>
      <c r="CL150" t="str">
        <f>""</f>
        <v/>
      </c>
      <c r="CM150" t="str">
        <f>""</f>
        <v/>
      </c>
      <c r="CN150" t="str">
        <f>""</f>
        <v/>
      </c>
      <c r="CO150" t="str">
        <f>""</f>
        <v/>
      </c>
      <c r="CP150" t="str">
        <f>""</f>
        <v/>
      </c>
      <c r="CQ150" t="str">
        <f>""</f>
        <v/>
      </c>
      <c r="CR150" t="str">
        <f>""</f>
        <v/>
      </c>
      <c r="CS150" t="str">
        <f>""</f>
        <v/>
      </c>
      <c r="CT150" t="str">
        <f>""</f>
        <v/>
      </c>
      <c r="CU150" t="str">
        <f>""</f>
        <v/>
      </c>
      <c r="CV150" t="str">
        <f>""</f>
        <v/>
      </c>
      <c r="CW150" t="str">
        <f>""</f>
        <v/>
      </c>
      <c r="CX150" t="str">
        <f>""</f>
        <v/>
      </c>
      <c r="CY150" t="str">
        <f>""</f>
        <v/>
      </c>
      <c r="CZ150" t="str">
        <f>""</f>
        <v/>
      </c>
      <c r="DA150" t="str">
        <f>""</f>
        <v/>
      </c>
      <c r="DB150" t="str">
        <f>""</f>
        <v/>
      </c>
      <c r="DC150" t="str">
        <f>""</f>
        <v/>
      </c>
      <c r="DD150" t="str">
        <f>""</f>
        <v/>
      </c>
      <c r="DE150" t="str">
        <f>""</f>
        <v/>
      </c>
      <c r="DF150" t="str">
        <f>""</f>
        <v/>
      </c>
      <c r="DG150" t="str">
        <f>""</f>
        <v/>
      </c>
      <c r="DH150" t="str">
        <f>""</f>
        <v/>
      </c>
      <c r="DI150" t="str">
        <f>""</f>
        <v/>
      </c>
      <c r="DJ150" t="str">
        <f>""</f>
        <v/>
      </c>
      <c r="DK150" t="str">
        <f>""</f>
        <v/>
      </c>
      <c r="DL150" t="str">
        <f>""</f>
        <v/>
      </c>
      <c r="DM150" t="str">
        <f>""</f>
        <v/>
      </c>
      <c r="DN150" t="str">
        <f>""</f>
        <v/>
      </c>
      <c r="DO150" t="str">
        <f>""</f>
        <v/>
      </c>
      <c r="DP150" t="str">
        <f>""</f>
        <v/>
      </c>
      <c r="DQ150" t="str">
        <f>""</f>
        <v/>
      </c>
      <c r="DR150" t="str">
        <f>""</f>
        <v/>
      </c>
      <c r="DS150" t="str">
        <f>""</f>
        <v/>
      </c>
      <c r="DT150" t="str">
        <f>""</f>
        <v/>
      </c>
      <c r="DU150" t="str">
        <f>""</f>
        <v/>
      </c>
    </row>
    <row r="151" spans="1:125">
      <c r="A151" t="str">
        <f>"    All Equity REITs"</f>
        <v xml:space="preserve">    All Equity REITs</v>
      </c>
      <c r="B151" t="str">
        <f>"RECFAVEQ Index"</f>
        <v>RECFAVEQ Index</v>
      </c>
      <c r="C151" t="str">
        <f>"PR005"</f>
        <v>PR005</v>
      </c>
      <c r="D151" t="str">
        <f>"PX_LAST"</f>
        <v>PX_LAST</v>
      </c>
      <c r="E151" t="str">
        <f>"动态"</f>
        <v>动态</v>
      </c>
      <c r="F151">
        <f ca="1">IF(AND(ISNUMBER($F$321),$B$183=1),$F$321,HLOOKUP(INDIRECT(ADDRESS(2,COLUMN())),OFFSET($BN$2,0,0,ROW()-1,60),ROW()-1,FALSE))</f>
        <v>93.839020770000005</v>
      </c>
      <c r="G151">
        <f ca="1">IF(AND(ISNUMBER($G$321),$B$183=1),$G$321,HLOOKUP(INDIRECT(ADDRESS(2,COLUMN())),OFFSET($BN$2,0,0,ROW()-1,60),ROW()-1,FALSE))</f>
        <v>93.637235189999998</v>
      </c>
      <c r="H151">
        <f ca="1">IF(AND(ISNUMBER($H$321),$B$183=1),$H$321,HLOOKUP(INDIRECT(ADDRESS(2,COLUMN())),OFFSET($BN$2,0,0,ROW()-1,60),ROW()-1,FALSE))</f>
        <v>93.449819320000003</v>
      </c>
      <c r="I151">
        <f ca="1">IF(AND(ISNUMBER($I$321),$B$183=1),$I$321,HLOOKUP(INDIRECT(ADDRESS(2,COLUMN())),OFFSET($BN$2,0,0,ROW()-1,60),ROW()-1,FALSE))</f>
        <v>93.353949779999994</v>
      </c>
      <c r="J151">
        <f ca="1">IF(AND(ISNUMBER($J$321),$B$183=1),$J$321,HLOOKUP(INDIRECT(ADDRESS(2,COLUMN())),OFFSET($BN$2,0,0,ROW()-1,60),ROW()-1,FALSE))</f>
        <v>93.653485320000001</v>
      </c>
      <c r="K151">
        <f ca="1">IF(AND(ISNUMBER($K$321),$B$183=1),$K$321,HLOOKUP(INDIRECT(ADDRESS(2,COLUMN())),OFFSET($BN$2,0,0,ROW()-1,60),ROW()-1,FALSE))</f>
        <v>93.696951749999997</v>
      </c>
      <c r="L151">
        <f ca="1">IF(AND(ISNUMBER($L$321),$B$183=1),$L$321,HLOOKUP(INDIRECT(ADDRESS(2,COLUMN())),OFFSET($BN$2,0,0,ROW()-1,60),ROW()-1,FALSE))</f>
        <v>93.63070519</v>
      </c>
      <c r="M151">
        <f ca="1">IF(AND(ISNUMBER($M$321),$B$183=1),$M$321,HLOOKUP(INDIRECT(ADDRESS(2,COLUMN())),OFFSET($BN$2,0,0,ROW()-1,60),ROW()-1,FALSE))</f>
        <v>93.139382370000007</v>
      </c>
      <c r="N151">
        <f ca="1">IF(AND(ISNUMBER($N$321),$B$183=1),$N$321,HLOOKUP(INDIRECT(ADDRESS(2,COLUMN())),OFFSET($BN$2,0,0,ROW()-1,60),ROW()-1,FALSE))</f>
        <v>93.329412840000003</v>
      </c>
      <c r="O151">
        <f ca="1">IF(AND(ISNUMBER($O$321),$B$183=1),$O$321,HLOOKUP(INDIRECT(ADDRESS(2,COLUMN())),OFFSET($BN$2,0,0,ROW()-1,60),ROW()-1,FALSE))</f>
        <v>93.245833259999998</v>
      </c>
      <c r="P151">
        <f ca="1">IF(AND(ISNUMBER($P$321),$B$183=1),$P$321,HLOOKUP(INDIRECT(ADDRESS(2,COLUMN())),OFFSET($BN$2,0,0,ROW()-1,60),ROW()-1,FALSE))</f>
        <v>93.360787209999998</v>
      </c>
      <c r="Q151">
        <f ca="1">IF(AND(ISNUMBER($Q$321),$B$183=1),$Q$321,HLOOKUP(INDIRECT(ADDRESS(2,COLUMN())),OFFSET($BN$2,0,0,ROW()-1,60),ROW()-1,FALSE))</f>
        <v>92.8576221</v>
      </c>
      <c r="R151">
        <f ca="1">IF(AND(ISNUMBER($R$321),$B$183=1),$R$321,HLOOKUP(INDIRECT(ADDRESS(2,COLUMN())),OFFSET($BN$2,0,0,ROW()-1,60),ROW()-1,FALSE))</f>
        <v>93.177335240000005</v>
      </c>
      <c r="S151">
        <f ca="1">IF(AND(ISNUMBER($S$321),$B$183=1),$S$321,HLOOKUP(INDIRECT(ADDRESS(2,COLUMN())),OFFSET($BN$2,0,0,ROW()-1,60),ROW()-1,FALSE))</f>
        <v>93.380552420000001</v>
      </c>
      <c r="T151">
        <f ca="1">IF(AND(ISNUMBER($T$321),$B$183=1),$T$321,HLOOKUP(INDIRECT(ADDRESS(2,COLUMN())),OFFSET($BN$2,0,0,ROW()-1,60),ROW()-1,FALSE))</f>
        <v>93.240657220000003</v>
      </c>
      <c r="U151">
        <f ca="1">IF(AND(ISNUMBER($U$321),$B$183=1),$U$321,HLOOKUP(INDIRECT(ADDRESS(2,COLUMN())),OFFSET($BN$2,0,0,ROW()-1,60),ROW()-1,FALSE))</f>
        <v>92.625064800000004</v>
      </c>
      <c r="V151">
        <f ca="1">IF(AND(ISNUMBER($V$321),$B$183=1),$V$321,HLOOKUP(INDIRECT(ADDRESS(2,COLUMN())),OFFSET($BN$2,0,0,ROW()-1,60),ROW()-1,FALSE))</f>
        <v>92.783665959999993</v>
      </c>
      <c r="W151">
        <f ca="1">IF(AND(ISNUMBER($W$321),$B$183=1),$W$321,HLOOKUP(INDIRECT(ADDRESS(2,COLUMN())),OFFSET($BN$2,0,0,ROW()-1,60),ROW()-1,FALSE))</f>
        <v>92.250777420000006</v>
      </c>
      <c r="X151">
        <f ca="1">IF(AND(ISNUMBER($X$321),$B$183=1),$X$321,HLOOKUP(INDIRECT(ADDRESS(2,COLUMN())),OFFSET($BN$2,0,0,ROW()-1,60),ROW()-1,FALSE))</f>
        <v>92.180305189999999</v>
      </c>
      <c r="Y151">
        <f ca="1">IF(AND(ISNUMBER($Y$321),$B$183=1),$Y$321,HLOOKUP(INDIRECT(ADDRESS(2,COLUMN())),OFFSET($BN$2,0,0,ROW()-1,60),ROW()-1,FALSE))</f>
        <v>91.02063905</v>
      </c>
      <c r="Z151">
        <f ca="1">IF(AND(ISNUMBER($Z$321),$B$183=1),$Z$321,HLOOKUP(INDIRECT(ADDRESS(2,COLUMN())),OFFSET($BN$2,0,0,ROW()-1,60),ROW()-1,FALSE))</f>
        <v>91.348231299999995</v>
      </c>
      <c r="AA151">
        <f ca="1">IF(AND(ISNUMBER($AA$321),$B$183=1),$AA$321,HLOOKUP(INDIRECT(ADDRESS(2,COLUMN())),OFFSET($BN$2,0,0,ROW()-1,60),ROW()-1,FALSE))</f>
        <v>91.337649970000001</v>
      </c>
      <c r="AB151">
        <f ca="1">IF(AND(ISNUMBER($AB$321),$B$183=1),$AB$321,HLOOKUP(INDIRECT(ADDRESS(2,COLUMN())),OFFSET($BN$2,0,0,ROW()-1,60),ROW()-1,FALSE))</f>
        <v>90.739060199999997</v>
      </c>
      <c r="AC151">
        <f ca="1">IF(AND(ISNUMBER($AC$321),$B$183=1),$AC$321,HLOOKUP(INDIRECT(ADDRESS(2,COLUMN())),OFFSET($BN$2,0,0,ROW()-1,60),ROW()-1,FALSE))</f>
        <v>89.750134549999999</v>
      </c>
      <c r="AD151">
        <f ca="1">IF(AND(ISNUMBER($AD$321),$B$183=1),$AD$321,HLOOKUP(INDIRECT(ADDRESS(2,COLUMN())),OFFSET($BN$2,0,0,ROW()-1,60),ROW()-1,FALSE))</f>
        <v>89.843771989999993</v>
      </c>
      <c r="AE151">
        <f ca="1">IF(AND(ISNUMBER($AE$321),$B$183=1),$AE$321,HLOOKUP(INDIRECT(ADDRESS(2,COLUMN())),OFFSET($BN$2,0,0,ROW()-1,60),ROW()-1,FALSE))</f>
        <v>90.054104730000006</v>
      </c>
      <c r="AF151">
        <f ca="1">IF(AND(ISNUMBER($AF$321),$B$183=1),$AF$321,HLOOKUP(INDIRECT(ADDRESS(2,COLUMN())),OFFSET($BN$2,0,0,ROW()-1,60),ROW()-1,FALSE))</f>
        <v>89.696012280000005</v>
      </c>
      <c r="AG151">
        <f ca="1">IF(AND(ISNUMBER($AG$321),$B$183=1),$AG$321,HLOOKUP(INDIRECT(ADDRESS(2,COLUMN())),OFFSET($BN$2,0,0,ROW()-1,60),ROW()-1,FALSE))</f>
        <v>88.258734680000003</v>
      </c>
      <c r="AH151">
        <f ca="1">IF(AND(ISNUMBER($AH$321),$B$183=1),$AH$321,HLOOKUP(INDIRECT(ADDRESS(2,COLUMN())),OFFSET($BN$2,0,0,ROW()-1,60),ROW()-1,FALSE))</f>
        <v>88.890333889999994</v>
      </c>
      <c r="AI151">
        <f ca="1">IF(AND(ISNUMBER($AI$321),$B$183=1),$AI$321,HLOOKUP(INDIRECT(ADDRESS(2,COLUMN())),OFFSET($BN$2,0,0,ROW()-1,60),ROW()-1,FALSE))</f>
        <v>89.161922439999998</v>
      </c>
      <c r="AJ151">
        <f ca="1">IF(AND(ISNUMBER($AJ$321),$B$183=1),$AJ$321,HLOOKUP(INDIRECT(ADDRESS(2,COLUMN())),OFFSET($BN$2,0,0,ROW()-1,60),ROW()-1,FALSE))</f>
        <v>88.787733200000005</v>
      </c>
      <c r="AK151">
        <f ca="1">IF(AND(ISNUMBER($AK$321),$B$183=1),$AK$321,HLOOKUP(INDIRECT(ADDRESS(2,COLUMN())),OFFSET($BN$2,0,0,ROW()-1,60),ROW()-1,FALSE))</f>
        <v>87.626351389999996</v>
      </c>
      <c r="AL151">
        <f ca="1">IF(AND(ISNUMBER($AL$321),$B$183=1),$AL$321,HLOOKUP(INDIRECT(ADDRESS(2,COLUMN())),OFFSET($BN$2,0,0,ROW()-1,60),ROW()-1,FALSE))</f>
        <v>88.031203489999996</v>
      </c>
      <c r="AM151">
        <f ca="1">IF(AND(ISNUMBER($AM$321),$B$183=1),$AM$321,HLOOKUP(INDIRECT(ADDRESS(2,COLUMN())),OFFSET($BN$2,0,0,ROW()-1,60),ROW()-1,FALSE))</f>
        <v>88.125705539999998</v>
      </c>
      <c r="AN151">
        <f ca="1">IF(AND(ISNUMBER($AN$321),$B$183=1),$AN$321,HLOOKUP(INDIRECT(ADDRESS(2,COLUMN())),OFFSET($BN$2,0,0,ROW()-1,60),ROW()-1,FALSE))</f>
        <v>89.063488669999998</v>
      </c>
      <c r="AO151">
        <f ca="1">IF(AND(ISNUMBER($AO$321),$B$183=1),$AO$321,HLOOKUP(INDIRECT(ADDRESS(2,COLUMN())),OFFSET($BN$2,0,0,ROW()-1,60),ROW()-1,FALSE))</f>
        <v>88.574935359999998</v>
      </c>
      <c r="AP151">
        <f ca="1">IF(AND(ISNUMBER($AP$321),$B$183=1),$AP$321,HLOOKUP(INDIRECT(ADDRESS(2,COLUMN())),OFFSET($BN$2,0,0,ROW()-1,60),ROW()-1,FALSE))</f>
        <v>90.559564519999995</v>
      </c>
      <c r="AQ151">
        <f ca="1">IF(AND(ISNUMBER($AQ$321),$B$183=1),$AQ$321,HLOOKUP(INDIRECT(ADDRESS(2,COLUMN())),OFFSET($BN$2,0,0,ROW()-1,60),ROW()-1,FALSE))</f>
        <v>91.416099990000006</v>
      </c>
      <c r="AR151">
        <f ca="1">IF(AND(ISNUMBER($AR$321),$B$183=1),$AR$321,HLOOKUP(INDIRECT(ADDRESS(2,COLUMN())),OFFSET($BN$2,0,0,ROW()-1,60),ROW()-1,FALSE))</f>
        <v>91.273224130000003</v>
      </c>
      <c r="AS151">
        <f ca="1">IF(AND(ISNUMBER($AS$321),$B$183=1),$AS$321,HLOOKUP(INDIRECT(ADDRESS(2,COLUMN())),OFFSET($BN$2,0,0,ROW()-1,60),ROW()-1,FALSE))</f>
        <v>90.567886849999994</v>
      </c>
      <c r="AT151">
        <f ca="1">IF(AND(ISNUMBER($AT$321),$B$183=1),$AT$321,HLOOKUP(INDIRECT(ADDRESS(2,COLUMN())),OFFSET($BN$2,0,0,ROW()-1,60),ROW()-1,FALSE))</f>
        <v>91.561562120000005</v>
      </c>
      <c r="AU151">
        <f ca="1">IF(AND(ISNUMBER($AU$321),$B$183=1),$AU$321,HLOOKUP(INDIRECT(ADDRESS(2,COLUMN())),OFFSET($BN$2,0,0,ROW()-1,60),ROW()-1,FALSE))</f>
        <v>91.73445778</v>
      </c>
      <c r="AV151">
        <f ca="1">IF(AND(ISNUMBER($AV$321),$B$183=1),$AV$321,HLOOKUP(INDIRECT(ADDRESS(2,COLUMN())),OFFSET($BN$2,0,0,ROW()-1,60),ROW()-1,FALSE))</f>
        <v>91.620791269999998</v>
      </c>
      <c r="AW151">
        <f ca="1">IF(AND(ISNUMBER($AW$321),$B$183=1),$AW$321,HLOOKUP(INDIRECT(ADDRESS(2,COLUMN())),OFFSET($BN$2,0,0,ROW()-1,60),ROW()-1,FALSE))</f>
        <v>91.196881750000003</v>
      </c>
      <c r="AX151">
        <f ca="1">IF(AND(ISNUMBER($AX$321),$B$183=1),$AX$321,HLOOKUP(INDIRECT(ADDRESS(2,COLUMN())),OFFSET($BN$2,0,0,ROW()-1,60),ROW()-1,FALSE))</f>
        <v>91.321421270000002</v>
      </c>
      <c r="AY151">
        <f ca="1">IF(AND(ISNUMBER($AY$321),$B$183=1),$AY$321,HLOOKUP(INDIRECT(ADDRESS(2,COLUMN())),OFFSET($BN$2,0,0,ROW()-1,60),ROW()-1,FALSE))</f>
        <v>91.398166279999998</v>
      </c>
      <c r="AZ151">
        <f ca="1">IF(AND(ISNUMBER($AZ$321),$B$183=1),$AZ$321,HLOOKUP(INDIRECT(ADDRESS(2,COLUMN())),OFFSET($BN$2,0,0,ROW()-1,60),ROW()-1,FALSE))</f>
        <v>90.470097429999996</v>
      </c>
      <c r="BA151">
        <f ca="1">IF(AND(ISNUMBER($BA$321),$B$183=1),$BA$321,HLOOKUP(INDIRECT(ADDRESS(2,COLUMN())),OFFSET($BN$2,0,0,ROW()-1,60),ROW()-1,FALSE))</f>
        <v>90.219640679999998</v>
      </c>
      <c r="BB151">
        <f ca="1">IF(AND(ISNUMBER($BB$321),$B$183=1),$BB$321,HLOOKUP(INDIRECT(ADDRESS(2,COLUMN())),OFFSET($BN$2,0,0,ROW()-1,60),ROW()-1,FALSE))</f>
        <v>90.202611669999996</v>
      </c>
      <c r="BC151">
        <f ca="1">IF(AND(ISNUMBER($BC$321),$B$183=1),$BC$321,HLOOKUP(INDIRECT(ADDRESS(2,COLUMN())),OFFSET($BN$2,0,0,ROW()-1,60),ROW()-1,FALSE))</f>
        <v>90.755925099999999</v>
      </c>
      <c r="BD151">
        <f ca="1">IF(AND(ISNUMBER($BD$321),$B$183=1),$BD$321,HLOOKUP(INDIRECT(ADDRESS(2,COLUMN())),OFFSET($BN$2,0,0,ROW()-1,60),ROW()-1,FALSE))</f>
        <v>90.337967599999999</v>
      </c>
      <c r="BE151">
        <f ca="1">IF(AND(ISNUMBER($BE$321),$B$183=1),$BE$321,HLOOKUP(INDIRECT(ADDRESS(2,COLUMN())),OFFSET($BN$2,0,0,ROW()-1,60),ROW()-1,FALSE))</f>
        <v>89.456845310000006</v>
      </c>
      <c r="BF151">
        <f ca="1">IF(AND(ISNUMBER($BF$321),$B$183=1),$BF$321,HLOOKUP(INDIRECT(ADDRESS(2,COLUMN())),OFFSET($BN$2,0,0,ROW()-1,60),ROW()-1,FALSE))</f>
        <v>90.328292329999996</v>
      </c>
      <c r="BG151">
        <f ca="1">IF(AND(ISNUMBER($BG$321),$B$183=1),$BG$321,HLOOKUP(INDIRECT(ADDRESS(2,COLUMN())),OFFSET($BN$2,0,0,ROW()-1,60),ROW()-1,FALSE))</f>
        <v>90.115803209999996</v>
      </c>
      <c r="BH151">
        <f ca="1">IF(AND(ISNUMBER($BH$321),$B$183=1),$BH$321,HLOOKUP(INDIRECT(ADDRESS(2,COLUMN())),OFFSET($BN$2,0,0,ROW()-1,60),ROW()-1,FALSE))</f>
        <v>89.957359800000006</v>
      </c>
      <c r="BI151">
        <f ca="1">IF(AND(ISNUMBER($BI$321),$B$183=1),$BI$321,HLOOKUP(INDIRECT(ADDRESS(2,COLUMN())),OFFSET($BN$2,0,0,ROW()-1,60),ROW()-1,FALSE))</f>
        <v>89.370341159999995</v>
      </c>
      <c r="BJ151">
        <f ca="1">IF(AND(ISNUMBER($BJ$321),$B$183=1),$BJ$321,HLOOKUP(INDIRECT(ADDRESS(2,COLUMN())),OFFSET($BN$2,0,0,ROW()-1,60),ROW()-1,FALSE))</f>
        <v>89.112787589999996</v>
      </c>
      <c r="BK151">
        <f ca="1">IF(AND(ISNUMBER($BK$321),$B$183=1),$BK$321,HLOOKUP(INDIRECT(ADDRESS(2,COLUMN())),OFFSET($BN$2,0,0,ROW()-1,60),ROW()-1,FALSE))</f>
        <v>89.30599599</v>
      </c>
      <c r="BL151">
        <f ca="1">IF(AND(ISNUMBER($BL$321),$B$183=1),$BL$321,HLOOKUP(INDIRECT(ADDRESS(2,COLUMN())),OFFSET($BN$2,0,0,ROW()-1,60),ROW()-1,FALSE))</f>
        <v>88.86156665</v>
      </c>
      <c r="BM151">
        <f ca="1">IF(AND(ISNUMBER($BM$321),$B$183=1),$BM$321,HLOOKUP(INDIRECT(ADDRESS(2,COLUMN())),OFFSET($BN$2,0,0,ROW()-1,60),ROW()-1,FALSE))</f>
        <v>88.252004790000001</v>
      </c>
      <c r="BN151">
        <f>93.83902077</f>
        <v>93.839020770000005</v>
      </c>
      <c r="BO151">
        <f>93.63723519</f>
        <v>93.637235189999998</v>
      </c>
      <c r="BP151">
        <f>93.44981932</f>
        <v>93.449819320000003</v>
      </c>
      <c r="BQ151">
        <f>93.35394978</f>
        <v>93.353949779999994</v>
      </c>
      <c r="BR151">
        <f>93.65348532</f>
        <v>93.653485320000001</v>
      </c>
      <c r="BS151">
        <f>93.69695175</f>
        <v>93.696951749999997</v>
      </c>
      <c r="BT151">
        <f>93.63070519</f>
        <v>93.63070519</v>
      </c>
      <c r="BU151">
        <f>93.13938237</f>
        <v>93.139382370000007</v>
      </c>
      <c r="BV151">
        <f>93.32941284</f>
        <v>93.329412840000003</v>
      </c>
      <c r="BW151">
        <f>93.24583326</f>
        <v>93.245833259999998</v>
      </c>
      <c r="BX151">
        <f>93.36078721</f>
        <v>93.360787209999998</v>
      </c>
      <c r="BY151">
        <f>92.8576221</f>
        <v>92.8576221</v>
      </c>
      <c r="BZ151">
        <f>93.17733524</f>
        <v>93.177335240000005</v>
      </c>
      <c r="CA151">
        <f>93.38055242</f>
        <v>93.380552420000001</v>
      </c>
      <c r="CB151">
        <f>93.24065722</f>
        <v>93.240657220000003</v>
      </c>
      <c r="CC151">
        <f>92.6250648</f>
        <v>92.625064800000004</v>
      </c>
      <c r="CD151">
        <f>92.78366596</f>
        <v>92.783665959999993</v>
      </c>
      <c r="CE151">
        <f>92.25077742</f>
        <v>92.250777420000006</v>
      </c>
      <c r="CF151">
        <f>92.18030519</f>
        <v>92.180305189999999</v>
      </c>
      <c r="CG151">
        <f>91.02063905</f>
        <v>91.02063905</v>
      </c>
      <c r="CH151">
        <f>91.3482313</f>
        <v>91.348231299999995</v>
      </c>
      <c r="CI151">
        <f>91.33764997</f>
        <v>91.337649970000001</v>
      </c>
      <c r="CJ151">
        <f>90.7390602</f>
        <v>90.739060199999997</v>
      </c>
      <c r="CK151">
        <f>89.75013455</f>
        <v>89.750134549999999</v>
      </c>
      <c r="CL151">
        <f>89.84377199</f>
        <v>89.843771989999993</v>
      </c>
      <c r="CM151">
        <f>90.05410473</f>
        <v>90.054104730000006</v>
      </c>
      <c r="CN151">
        <f>89.69601228</f>
        <v>89.696012280000005</v>
      </c>
      <c r="CO151">
        <f>88.25873468</f>
        <v>88.258734680000003</v>
      </c>
      <c r="CP151">
        <f>88.89033389</f>
        <v>88.890333889999994</v>
      </c>
      <c r="CQ151">
        <f>89.16192244</f>
        <v>89.161922439999998</v>
      </c>
      <c r="CR151">
        <f>88.7877332</f>
        <v>88.787733200000005</v>
      </c>
      <c r="CS151">
        <f>87.62635139</f>
        <v>87.626351389999996</v>
      </c>
      <c r="CT151">
        <f>88.03120349</f>
        <v>88.031203489999996</v>
      </c>
      <c r="CU151">
        <f>88.12570554</f>
        <v>88.125705539999998</v>
      </c>
      <c r="CV151">
        <f>89.06348867</f>
        <v>89.063488669999998</v>
      </c>
      <c r="CW151">
        <f>88.57493536</f>
        <v>88.574935359999998</v>
      </c>
      <c r="CX151">
        <f>90.55956452</f>
        <v>90.559564519999995</v>
      </c>
      <c r="CY151">
        <f>91.41609999</f>
        <v>91.416099990000006</v>
      </c>
      <c r="CZ151">
        <f>91.27322413</f>
        <v>91.273224130000003</v>
      </c>
      <c r="DA151">
        <f>90.56788685</f>
        <v>90.567886849999994</v>
      </c>
      <c r="DB151">
        <f>91.56156212</f>
        <v>91.561562120000005</v>
      </c>
      <c r="DC151">
        <f>91.73445778</f>
        <v>91.73445778</v>
      </c>
      <c r="DD151">
        <f>91.62079127</f>
        <v>91.620791269999998</v>
      </c>
      <c r="DE151">
        <f>91.19688175</f>
        <v>91.196881750000003</v>
      </c>
      <c r="DF151">
        <f>91.32142127</f>
        <v>91.321421270000002</v>
      </c>
      <c r="DG151">
        <f>91.39816628</f>
        <v>91.398166279999998</v>
      </c>
      <c r="DH151">
        <f>90.47009743</f>
        <v>90.470097429999996</v>
      </c>
      <c r="DI151">
        <f>90.21964068</f>
        <v>90.219640679999998</v>
      </c>
      <c r="DJ151">
        <f>90.20261167</f>
        <v>90.202611669999996</v>
      </c>
      <c r="DK151">
        <f>90.7559251</f>
        <v>90.755925099999999</v>
      </c>
      <c r="DL151">
        <f>90.3379676</f>
        <v>90.337967599999999</v>
      </c>
      <c r="DM151">
        <f>89.45684531</f>
        <v>89.456845310000006</v>
      </c>
      <c r="DN151">
        <f>90.32829233</f>
        <v>90.328292329999996</v>
      </c>
      <c r="DO151">
        <f>90.11580321</f>
        <v>90.115803209999996</v>
      </c>
      <c r="DP151">
        <f>89.9573598</f>
        <v>89.957359800000006</v>
      </c>
      <c r="DQ151">
        <f>89.37034116</f>
        <v>89.370341159999995</v>
      </c>
      <c r="DR151">
        <f>89.11278759</f>
        <v>89.112787589999996</v>
      </c>
      <c r="DS151">
        <f>89.30599599</f>
        <v>89.30599599</v>
      </c>
      <c r="DT151">
        <f>88.86156665</f>
        <v>88.86156665</v>
      </c>
      <c r="DU151">
        <f>88.25200479</f>
        <v>88.252004790000001</v>
      </c>
    </row>
    <row r="152" spans="1:125">
      <c r="A152" t="str">
        <f>"    Apartment REITs"</f>
        <v xml:space="preserve">    Apartment REITs</v>
      </c>
      <c r="B152" t="str">
        <f>"RECFAVAP Index"</f>
        <v>RECFAVAP Index</v>
      </c>
      <c r="C152" t="str">
        <f>"PR005"</f>
        <v>PR005</v>
      </c>
      <c r="D152" t="str">
        <f>"PX_LAST"</f>
        <v>PX_LAST</v>
      </c>
      <c r="E152" t="str">
        <f>"动态"</f>
        <v>动态</v>
      </c>
      <c r="F152">
        <f ca="1">IF(AND(ISNUMBER($F$322),$B$183=1),$F$322,HLOOKUP(INDIRECT(ADDRESS(2,COLUMN())),OFFSET($BN$2,0,0,ROW()-1,60),ROW()-1,FALSE))</f>
        <v>95.695894269999997</v>
      </c>
      <c r="G152">
        <f ca="1">IF(AND(ISNUMBER($G$322),$B$183=1),$G$322,HLOOKUP(INDIRECT(ADDRESS(2,COLUMN())),OFFSET($BN$2,0,0,ROW()-1,60),ROW()-1,FALSE))</f>
        <v>94.038482939999994</v>
      </c>
      <c r="H152">
        <f ca="1">IF(AND(ISNUMBER($H$322),$B$183=1),$H$322,HLOOKUP(INDIRECT(ADDRESS(2,COLUMN())),OFFSET($BN$2,0,0,ROW()-1,60),ROW()-1,FALSE))</f>
        <v>94.014835349999998</v>
      </c>
      <c r="I152">
        <f ca="1">IF(AND(ISNUMBER($I$322),$B$183=1),$I$322,HLOOKUP(INDIRECT(ADDRESS(2,COLUMN())),OFFSET($BN$2,0,0,ROW()-1,60),ROW()-1,FALSE))</f>
        <v>95.114441679999999</v>
      </c>
      <c r="J152">
        <f ca="1">IF(AND(ISNUMBER($J$322),$B$183=1),$J$322,HLOOKUP(INDIRECT(ADDRESS(2,COLUMN())),OFFSET($BN$2,0,0,ROW()-1,60),ROW()-1,FALSE))</f>
        <v>95.100766030000003</v>
      </c>
      <c r="K152">
        <f ca="1">IF(AND(ISNUMBER($K$322),$B$183=1),$K$322,HLOOKUP(INDIRECT(ADDRESS(2,COLUMN())),OFFSET($BN$2,0,0,ROW()-1,60),ROW()-1,FALSE))</f>
        <v>94.508641760000003</v>
      </c>
      <c r="L152">
        <f ca="1">IF(AND(ISNUMBER($L$322),$B$183=1),$L$322,HLOOKUP(INDIRECT(ADDRESS(2,COLUMN())),OFFSET($BN$2,0,0,ROW()-1,60),ROW()-1,FALSE))</f>
        <v>94.219786130000003</v>
      </c>
      <c r="M152">
        <f ca="1">IF(AND(ISNUMBER($M$322),$B$183=1),$M$322,HLOOKUP(INDIRECT(ADDRESS(2,COLUMN())),OFFSET($BN$2,0,0,ROW()-1,60),ROW()-1,FALSE))</f>
        <v>95.170143170000003</v>
      </c>
      <c r="N152">
        <f ca="1">IF(AND(ISNUMBER($N$322),$B$183=1),$N$322,HLOOKUP(INDIRECT(ADDRESS(2,COLUMN())),OFFSET($BN$2,0,0,ROW()-1,60),ROW()-1,FALSE))</f>
        <v>95.180003069999998</v>
      </c>
      <c r="O152">
        <f ca="1">IF(AND(ISNUMBER($O$322),$B$183=1),$O$322,HLOOKUP(INDIRECT(ADDRESS(2,COLUMN())),OFFSET($BN$2,0,0,ROW()-1,60),ROW()-1,FALSE))</f>
        <v>94.086792299999999</v>
      </c>
      <c r="P152">
        <f ca="1">IF(AND(ISNUMBER($P$322),$B$183=1),$P$322,HLOOKUP(INDIRECT(ADDRESS(2,COLUMN())),OFFSET($BN$2,0,0,ROW()-1,60),ROW()-1,FALSE))</f>
        <v>94.461427779999994</v>
      </c>
      <c r="Q152">
        <f ca="1">IF(AND(ISNUMBER($Q$322),$B$183=1),$Q$322,HLOOKUP(INDIRECT(ADDRESS(2,COLUMN())),OFFSET($BN$2,0,0,ROW()-1,60),ROW()-1,FALSE))</f>
        <v>95.404404119999995</v>
      </c>
      <c r="R152">
        <f ca="1">IF(AND(ISNUMBER($R$322),$B$183=1),$R$322,HLOOKUP(INDIRECT(ADDRESS(2,COLUMN())),OFFSET($BN$2,0,0,ROW()-1,60),ROW()-1,FALSE))</f>
        <v>95.173413999999994</v>
      </c>
      <c r="S152">
        <f ca="1">IF(AND(ISNUMBER($S$322),$B$183=1),$S$322,HLOOKUP(INDIRECT(ADDRESS(2,COLUMN())),OFFSET($BN$2,0,0,ROW()-1,60),ROW()-1,FALSE))</f>
        <v>94.899925890000006</v>
      </c>
      <c r="T152">
        <f ca="1">IF(AND(ISNUMBER($T$322),$B$183=1),$T$322,HLOOKUP(INDIRECT(ADDRESS(2,COLUMN())),OFFSET($BN$2,0,0,ROW()-1,60),ROW()-1,FALSE))</f>
        <v>94.545527089999993</v>
      </c>
      <c r="U152">
        <f ca="1">IF(AND(ISNUMBER($U$322),$B$183=1),$U$322,HLOOKUP(INDIRECT(ADDRESS(2,COLUMN())),OFFSET($BN$2,0,0,ROW()-1,60),ROW()-1,FALSE))</f>
        <v>94.928373579999999</v>
      </c>
      <c r="V152">
        <f ca="1">IF(AND(ISNUMBER($V$322),$B$183=1),$V$322,HLOOKUP(INDIRECT(ADDRESS(2,COLUMN())),OFFSET($BN$2,0,0,ROW()-1,60),ROW()-1,FALSE))</f>
        <v>94.644578999999993</v>
      </c>
      <c r="W152">
        <f ca="1">IF(AND(ISNUMBER($W$322),$B$183=1),$W$322,HLOOKUP(INDIRECT(ADDRESS(2,COLUMN())),OFFSET($BN$2,0,0,ROW()-1,60),ROW()-1,FALSE))</f>
        <v>94.430190670000002</v>
      </c>
      <c r="X152">
        <f ca="1">IF(AND(ISNUMBER($X$322),$B$183=1),$X$322,HLOOKUP(INDIRECT(ADDRESS(2,COLUMN())),OFFSET($BN$2,0,0,ROW()-1,60),ROW()-1,FALSE))</f>
        <v>94.342628199999993</v>
      </c>
      <c r="Y152">
        <f ca="1">IF(AND(ISNUMBER($Y$322),$B$183=1),$Y$322,HLOOKUP(INDIRECT(ADDRESS(2,COLUMN())),OFFSET($BN$2,0,0,ROW()-1,60),ROW()-1,FALSE))</f>
        <v>95.037719319999994</v>
      </c>
      <c r="Z152">
        <f ca="1">IF(AND(ISNUMBER($Z$322),$B$183=1),$Z$322,HLOOKUP(INDIRECT(ADDRESS(2,COLUMN())),OFFSET($BN$2,0,0,ROW()-1,60),ROW()-1,FALSE))</f>
        <v>94.701269269999997</v>
      </c>
      <c r="AA152">
        <f ca="1">IF(AND(ISNUMBER($AA$322),$B$183=1),$AA$322,HLOOKUP(INDIRECT(ADDRESS(2,COLUMN())),OFFSET($BN$2,0,0,ROW()-1,60),ROW()-1,FALSE))</f>
        <v>94.857585709999995</v>
      </c>
      <c r="AB152">
        <f ca="1">IF(AND(ISNUMBER($AB$322),$B$183=1),$AB$322,HLOOKUP(INDIRECT(ADDRESS(2,COLUMN())),OFFSET($BN$2,0,0,ROW()-1,60),ROW()-1,FALSE))</f>
        <v>94.797411089999997</v>
      </c>
      <c r="AC152">
        <f ca="1">IF(AND(ISNUMBER($AC$322),$B$183=1),$AC$322,HLOOKUP(INDIRECT(ADDRESS(2,COLUMN())),OFFSET($BN$2,0,0,ROW()-1,60),ROW()-1,FALSE))</f>
        <v>94.93660989</v>
      </c>
      <c r="AD152">
        <f ca="1">IF(AND(ISNUMBER($AD$322),$B$183=1),$AD$322,HLOOKUP(INDIRECT(ADDRESS(2,COLUMN())),OFFSET($BN$2,0,0,ROW()-1,60),ROW()-1,FALSE))</f>
        <v>94.594109419999995</v>
      </c>
      <c r="AE152">
        <f ca="1">IF(AND(ISNUMBER($AE$322),$B$183=1),$AE$322,HLOOKUP(INDIRECT(ADDRESS(2,COLUMN())),OFFSET($BN$2,0,0,ROW()-1,60),ROW()-1,FALSE))</f>
        <v>94.874988970000004</v>
      </c>
      <c r="AF152">
        <f ca="1">IF(AND(ISNUMBER($AF$322),$B$183=1),$AF$322,HLOOKUP(INDIRECT(ADDRESS(2,COLUMN())),OFFSET($BN$2,0,0,ROW()-1,60),ROW()-1,FALSE))</f>
        <v>94.864143609999999</v>
      </c>
      <c r="AG152">
        <f ca="1">IF(AND(ISNUMBER($AG$322),$B$183=1),$AG$322,HLOOKUP(INDIRECT(ADDRESS(2,COLUMN())),OFFSET($BN$2,0,0,ROW()-1,60),ROW()-1,FALSE))</f>
        <v>94.990902750000004</v>
      </c>
      <c r="AH152">
        <f ca="1">IF(AND(ISNUMBER($AH$322),$B$183=1),$AH$322,HLOOKUP(INDIRECT(ADDRESS(2,COLUMN())),OFFSET($BN$2,0,0,ROW()-1,60),ROW()-1,FALSE))</f>
        <v>94.374151830000002</v>
      </c>
      <c r="AI152">
        <f ca="1">IF(AND(ISNUMBER($AI$322),$B$183=1),$AI$322,HLOOKUP(INDIRECT(ADDRESS(2,COLUMN())),OFFSET($BN$2,0,0,ROW()-1,60),ROW()-1,FALSE))</f>
        <v>94.581091869999995</v>
      </c>
      <c r="AJ152">
        <f ca="1">IF(AND(ISNUMBER($AJ$322),$B$183=1),$AJ$322,HLOOKUP(INDIRECT(ADDRESS(2,COLUMN())),OFFSET($BN$2,0,0,ROW()-1,60),ROW()-1,FALSE))</f>
        <v>94.302038339999996</v>
      </c>
      <c r="AK152">
        <f ca="1">IF(AND(ISNUMBER($AK$322),$B$183=1),$AK$322,HLOOKUP(INDIRECT(ADDRESS(2,COLUMN())),OFFSET($BN$2,0,0,ROW()-1,60),ROW()-1,FALSE))</f>
        <v>94.410003979999999</v>
      </c>
      <c r="AL152">
        <f ca="1">IF(AND(ISNUMBER($AL$322),$B$183=1),$AL$322,HLOOKUP(INDIRECT(ADDRESS(2,COLUMN())),OFFSET($BN$2,0,0,ROW()-1,60),ROW()-1,FALSE))</f>
        <v>94.166688859999994</v>
      </c>
      <c r="AM152">
        <f ca="1">IF(AND(ISNUMBER($AM$322),$B$183=1),$AM$322,HLOOKUP(INDIRECT(ADDRESS(2,COLUMN())),OFFSET($BN$2,0,0,ROW()-1,60),ROW()-1,FALSE))</f>
        <v>93.828456369999998</v>
      </c>
      <c r="AN152">
        <f ca="1">IF(AND(ISNUMBER($AN$322),$B$183=1),$AN$322,HLOOKUP(INDIRECT(ADDRESS(2,COLUMN())),OFFSET($BN$2,0,0,ROW()-1,60),ROW()-1,FALSE))</f>
        <v>93.261447750000002</v>
      </c>
      <c r="AO152">
        <f ca="1">IF(AND(ISNUMBER($AO$322),$B$183=1),$AO$322,HLOOKUP(INDIRECT(ADDRESS(2,COLUMN())),OFFSET($BN$2,0,0,ROW()-1,60),ROW()-1,FALSE))</f>
        <v>93.313847920000001</v>
      </c>
      <c r="AP152">
        <f ca="1">IF(AND(ISNUMBER($AP$322),$B$183=1),$AP$322,HLOOKUP(INDIRECT(ADDRESS(2,COLUMN())),OFFSET($BN$2,0,0,ROW()-1,60),ROW()-1,FALSE))</f>
        <v>93.398596810000001</v>
      </c>
      <c r="AQ152">
        <f ca="1">IF(AND(ISNUMBER($AQ$322),$B$183=1),$AQ$322,HLOOKUP(INDIRECT(ADDRESS(2,COLUMN())),OFFSET($BN$2,0,0,ROW()-1,60),ROW()-1,FALSE))</f>
        <v>94.720909879999994</v>
      </c>
      <c r="AR152">
        <f ca="1">IF(AND(ISNUMBER($AR$322),$B$183=1),$AR$322,HLOOKUP(INDIRECT(ADDRESS(2,COLUMN())),OFFSET($BN$2,0,0,ROW()-1,60),ROW()-1,FALSE))</f>
        <v>92.374716500000005</v>
      </c>
      <c r="AS152">
        <f ca="1">IF(AND(ISNUMBER($AS$322),$B$183=1),$AS$322,HLOOKUP(INDIRECT(ADDRESS(2,COLUMN())),OFFSET($BN$2,0,0,ROW()-1,60),ROW()-1,FALSE))</f>
        <v>93.462990520000005</v>
      </c>
      <c r="AT152">
        <f ca="1">IF(AND(ISNUMBER($AT$322),$B$183=1),$AT$322,HLOOKUP(INDIRECT(ADDRESS(2,COLUMN())),OFFSET($BN$2,0,0,ROW()-1,60),ROW()-1,FALSE))</f>
        <v>93.176707789999995</v>
      </c>
      <c r="AU152">
        <f ca="1">IF(AND(ISNUMBER($AU$322),$B$183=1),$AU$322,HLOOKUP(INDIRECT(ADDRESS(2,COLUMN())),OFFSET($BN$2,0,0,ROW()-1,60),ROW()-1,FALSE))</f>
        <v>93.896769950000007</v>
      </c>
      <c r="AV152">
        <f ca="1">IF(AND(ISNUMBER($AV$322),$B$183=1),$AV$322,HLOOKUP(INDIRECT(ADDRESS(2,COLUMN())),OFFSET($BN$2,0,0,ROW()-1,60),ROW()-1,FALSE))</f>
        <v>93.263467500000004</v>
      </c>
      <c r="AW152">
        <f ca="1">IF(AND(ISNUMBER($AW$322),$B$183=1),$AW$322,HLOOKUP(INDIRECT(ADDRESS(2,COLUMN())),OFFSET($BN$2,0,0,ROW()-1,60),ROW()-1,FALSE))</f>
        <v>93.519480470000005</v>
      </c>
      <c r="AX152">
        <f ca="1">IF(AND(ISNUMBER($AX$322),$B$183=1),$AX$322,HLOOKUP(INDIRECT(ADDRESS(2,COLUMN())),OFFSET($BN$2,0,0,ROW()-1,60),ROW()-1,FALSE))</f>
        <v>93.688273980000005</v>
      </c>
      <c r="AY152">
        <f ca="1">IF(AND(ISNUMBER($AY$322),$B$183=1),$AY$322,HLOOKUP(INDIRECT(ADDRESS(2,COLUMN())),OFFSET($BN$2,0,0,ROW()-1,60),ROW()-1,FALSE))</f>
        <v>94.268315139999999</v>
      </c>
      <c r="AZ152">
        <f ca="1">IF(AND(ISNUMBER($AZ$322),$B$183=1),$AZ$322,HLOOKUP(INDIRECT(ADDRESS(2,COLUMN())),OFFSET($BN$2,0,0,ROW()-1,60),ROW()-1,FALSE))</f>
        <v>94.136888870000007</v>
      </c>
      <c r="BA152">
        <f ca="1">IF(AND(ISNUMBER($BA$322),$B$183=1),$BA$322,HLOOKUP(INDIRECT(ADDRESS(2,COLUMN())),OFFSET($BN$2,0,0,ROW()-1,60),ROW()-1,FALSE))</f>
        <v>94.966185769999996</v>
      </c>
      <c r="BB152">
        <f ca="1">IF(AND(ISNUMBER($BB$322),$B$183=1),$BB$322,HLOOKUP(INDIRECT(ADDRESS(2,COLUMN())),OFFSET($BN$2,0,0,ROW()-1,60),ROW()-1,FALSE))</f>
        <v>94.229379510000001</v>
      </c>
      <c r="BC152">
        <f ca="1">IF(AND(ISNUMBER($BC$322),$B$183=1),$BC$322,HLOOKUP(INDIRECT(ADDRESS(2,COLUMN())),OFFSET($BN$2,0,0,ROW()-1,60),ROW()-1,FALSE))</f>
        <v>94.967780529999999</v>
      </c>
      <c r="BD152">
        <f ca="1">IF(AND(ISNUMBER($BD$322),$B$183=1),$BD$322,HLOOKUP(INDIRECT(ADDRESS(2,COLUMN())),OFFSET($BN$2,0,0,ROW()-1,60),ROW()-1,FALSE))</f>
        <v>94.128579419999994</v>
      </c>
      <c r="BE152">
        <f ca="1">IF(AND(ISNUMBER($BE$322),$B$183=1),$BE$322,HLOOKUP(INDIRECT(ADDRESS(2,COLUMN())),OFFSET($BN$2,0,0,ROW()-1,60),ROW()-1,FALSE))</f>
        <v>93.844436650000006</v>
      </c>
      <c r="BF152">
        <f ca="1">IF(AND(ISNUMBER($BF$322),$B$183=1),$BF$322,HLOOKUP(INDIRECT(ADDRESS(2,COLUMN())),OFFSET($BN$2,0,0,ROW()-1,60),ROW()-1,FALSE))</f>
        <v>93.546542509999995</v>
      </c>
      <c r="BG152">
        <f ca="1">IF(AND(ISNUMBER($BG$322),$B$183=1),$BG$322,HLOOKUP(INDIRECT(ADDRESS(2,COLUMN())),OFFSET($BN$2,0,0,ROW()-1,60),ROW()-1,FALSE))</f>
        <v>94.359349469999998</v>
      </c>
      <c r="BH152">
        <f ca="1">IF(AND(ISNUMBER($BH$322),$B$183=1),$BH$322,HLOOKUP(INDIRECT(ADDRESS(2,COLUMN())),OFFSET($BN$2,0,0,ROW()-1,60),ROW()-1,FALSE))</f>
        <v>94.101068920000003</v>
      </c>
      <c r="BI152">
        <f ca="1">IF(AND(ISNUMBER($BI$322),$B$183=1),$BI$322,HLOOKUP(INDIRECT(ADDRESS(2,COLUMN())),OFFSET($BN$2,0,0,ROW()-1,60),ROW()-1,FALSE))</f>
        <v>93.844498759999993</v>
      </c>
      <c r="BJ152">
        <f ca="1">IF(AND(ISNUMBER($BJ$322),$B$183=1),$BJ$322,HLOOKUP(INDIRECT(ADDRESS(2,COLUMN())),OFFSET($BN$2,0,0,ROW()-1,60),ROW()-1,FALSE))</f>
        <v>92.885629800000004</v>
      </c>
      <c r="BK152">
        <f ca="1">IF(AND(ISNUMBER($BK$322),$B$183=1),$BK$322,HLOOKUP(INDIRECT(ADDRESS(2,COLUMN())),OFFSET($BN$2,0,0,ROW()-1,60),ROW()-1,FALSE))</f>
        <v>93.067995909999993</v>
      </c>
      <c r="BL152">
        <f ca="1">IF(AND(ISNUMBER($BL$322),$B$183=1),$BL$322,HLOOKUP(INDIRECT(ADDRESS(2,COLUMN())),OFFSET($BN$2,0,0,ROW()-1,60),ROW()-1,FALSE))</f>
        <v>93.003353219999994</v>
      </c>
      <c r="BM152">
        <f ca="1">IF(AND(ISNUMBER($BM$322),$B$183=1),$BM$322,HLOOKUP(INDIRECT(ADDRESS(2,COLUMN())),OFFSET($BN$2,0,0,ROW()-1,60),ROW()-1,FALSE))</f>
        <v>91.500287310000004</v>
      </c>
      <c r="BN152">
        <f>95.69589427</f>
        <v>95.695894269999997</v>
      </c>
      <c r="BO152">
        <f>94.03848294</f>
        <v>94.038482939999994</v>
      </c>
      <c r="BP152">
        <f>94.01483535</f>
        <v>94.014835349999998</v>
      </c>
      <c r="BQ152">
        <f>95.11444168</f>
        <v>95.114441679999999</v>
      </c>
      <c r="BR152">
        <f>95.10076603</f>
        <v>95.100766030000003</v>
      </c>
      <c r="BS152">
        <f>94.50864176</f>
        <v>94.508641760000003</v>
      </c>
      <c r="BT152">
        <f>94.21978613</f>
        <v>94.219786130000003</v>
      </c>
      <c r="BU152">
        <f>95.17014317</f>
        <v>95.170143170000003</v>
      </c>
      <c r="BV152">
        <f>95.18000307</f>
        <v>95.180003069999998</v>
      </c>
      <c r="BW152">
        <f>94.0867923</f>
        <v>94.086792299999999</v>
      </c>
      <c r="BX152">
        <f>94.46142778</f>
        <v>94.461427779999994</v>
      </c>
      <c r="BY152">
        <f>95.40440412</f>
        <v>95.404404119999995</v>
      </c>
      <c r="BZ152">
        <f>95.173414</f>
        <v>95.173413999999994</v>
      </c>
      <c r="CA152">
        <f>94.89992589</f>
        <v>94.899925890000006</v>
      </c>
      <c r="CB152">
        <f>94.54552709</f>
        <v>94.545527089999993</v>
      </c>
      <c r="CC152">
        <f>94.92837358</f>
        <v>94.928373579999999</v>
      </c>
      <c r="CD152">
        <f>94.644579</f>
        <v>94.644578999999993</v>
      </c>
      <c r="CE152">
        <f>94.43019067</f>
        <v>94.430190670000002</v>
      </c>
      <c r="CF152">
        <f>94.3426282</f>
        <v>94.342628199999993</v>
      </c>
      <c r="CG152">
        <f>95.03771932</f>
        <v>95.037719319999994</v>
      </c>
      <c r="CH152">
        <f>94.70126927</f>
        <v>94.701269269999997</v>
      </c>
      <c r="CI152">
        <f>94.85758571</f>
        <v>94.857585709999995</v>
      </c>
      <c r="CJ152">
        <f>94.79741109</f>
        <v>94.797411089999997</v>
      </c>
      <c r="CK152">
        <f>94.93660989</f>
        <v>94.93660989</v>
      </c>
      <c r="CL152">
        <f>94.59410942</f>
        <v>94.594109419999995</v>
      </c>
      <c r="CM152">
        <f>94.87498897</f>
        <v>94.874988970000004</v>
      </c>
      <c r="CN152">
        <f>94.86414361</f>
        <v>94.864143609999999</v>
      </c>
      <c r="CO152">
        <f>94.99090275</f>
        <v>94.990902750000004</v>
      </c>
      <c r="CP152">
        <f>94.37415183</f>
        <v>94.374151830000002</v>
      </c>
      <c r="CQ152">
        <f>94.58109187</f>
        <v>94.581091869999995</v>
      </c>
      <c r="CR152">
        <f>94.30203834</f>
        <v>94.302038339999996</v>
      </c>
      <c r="CS152">
        <f>94.41000398</f>
        <v>94.410003979999999</v>
      </c>
      <c r="CT152">
        <f>94.16668886</f>
        <v>94.166688859999994</v>
      </c>
      <c r="CU152">
        <f>93.82845637</f>
        <v>93.828456369999998</v>
      </c>
      <c r="CV152">
        <f>93.26144775</f>
        <v>93.261447750000002</v>
      </c>
      <c r="CW152">
        <f>93.31384792</f>
        <v>93.313847920000001</v>
      </c>
      <c r="CX152">
        <f>93.39859681</f>
        <v>93.398596810000001</v>
      </c>
      <c r="CY152">
        <f>94.72090988</f>
        <v>94.720909879999994</v>
      </c>
      <c r="CZ152">
        <f>92.3747165</f>
        <v>92.374716500000005</v>
      </c>
      <c r="DA152">
        <f>93.46299052</f>
        <v>93.462990520000005</v>
      </c>
      <c r="DB152">
        <f>93.17670779</f>
        <v>93.176707789999995</v>
      </c>
      <c r="DC152">
        <f>93.89676995</f>
        <v>93.896769950000007</v>
      </c>
      <c r="DD152">
        <f>93.2634675</f>
        <v>93.263467500000004</v>
      </c>
      <c r="DE152">
        <f>93.51948047</f>
        <v>93.519480470000005</v>
      </c>
      <c r="DF152">
        <f>93.68827398</f>
        <v>93.688273980000005</v>
      </c>
      <c r="DG152">
        <f>94.26831514</f>
        <v>94.268315139999999</v>
      </c>
      <c r="DH152">
        <f>94.13688887</f>
        <v>94.136888870000007</v>
      </c>
      <c r="DI152">
        <f>94.96618577</f>
        <v>94.966185769999996</v>
      </c>
      <c r="DJ152">
        <f>94.22937951</f>
        <v>94.229379510000001</v>
      </c>
      <c r="DK152">
        <f>94.96778053</f>
        <v>94.967780529999999</v>
      </c>
      <c r="DL152">
        <f>94.12857942</f>
        <v>94.128579419999994</v>
      </c>
      <c r="DM152">
        <f>93.84443665</f>
        <v>93.844436650000006</v>
      </c>
      <c r="DN152">
        <f>93.54654251</f>
        <v>93.546542509999995</v>
      </c>
      <c r="DO152">
        <f>94.35934947</f>
        <v>94.359349469999998</v>
      </c>
      <c r="DP152">
        <f>94.10106892</f>
        <v>94.101068920000003</v>
      </c>
      <c r="DQ152">
        <f>93.84449876</f>
        <v>93.844498759999993</v>
      </c>
      <c r="DR152">
        <f>92.8856298</f>
        <v>92.885629800000004</v>
      </c>
      <c r="DS152">
        <f>93.06799591</f>
        <v>93.067995909999993</v>
      </c>
      <c r="DT152">
        <f>93.00335322</f>
        <v>93.003353219999994</v>
      </c>
      <c r="DU152">
        <f>91.50028731</f>
        <v>91.500287310000004</v>
      </c>
    </row>
    <row r="153" spans="1:125">
      <c r="A153" t="str">
        <f>"    Retail REITs"</f>
        <v xml:space="preserve">    Retail REITs</v>
      </c>
      <c r="B153" t="str">
        <f>"RECFAVRT Index"</f>
        <v>RECFAVRT Index</v>
      </c>
      <c r="C153" t="str">
        <f>"PR005"</f>
        <v>PR005</v>
      </c>
      <c r="D153" t="str">
        <f>"PX_LAST"</f>
        <v>PX_LAST</v>
      </c>
      <c r="E153" t="str">
        <f>"动态"</f>
        <v>动态</v>
      </c>
      <c r="F153">
        <f ca="1">IF(AND(ISNUMBER($F$323),$B$183=1),$F$323,HLOOKUP(INDIRECT(ADDRESS(2,COLUMN())),OFFSET($BN$2,0,0,ROW()-1,60),ROW()-1,FALSE))</f>
        <v>95.821447309999996</v>
      </c>
      <c r="G153">
        <f ca="1">IF(AND(ISNUMBER($G$323),$B$183=1),$G$323,HLOOKUP(INDIRECT(ADDRESS(2,COLUMN())),OFFSET($BN$2,0,0,ROW()-1,60),ROW()-1,FALSE))</f>
        <v>95.426039799999998</v>
      </c>
      <c r="H153">
        <f ca="1">IF(AND(ISNUMBER($H$323),$B$183=1),$H$323,HLOOKUP(INDIRECT(ADDRESS(2,COLUMN())),OFFSET($BN$2,0,0,ROW()-1,60),ROW()-1,FALSE))</f>
        <v>95.178818579999998</v>
      </c>
      <c r="I153">
        <f ca="1">IF(AND(ISNUMBER($I$323),$B$183=1),$I$323,HLOOKUP(INDIRECT(ADDRESS(2,COLUMN())),OFFSET($BN$2,0,0,ROW()-1,60),ROW()-1,FALSE))</f>
        <v>95.383843519999999</v>
      </c>
      <c r="J153">
        <f ca="1">IF(AND(ISNUMBER($J$323),$B$183=1),$J$323,HLOOKUP(INDIRECT(ADDRESS(2,COLUMN())),OFFSET($BN$2,0,0,ROW()-1,60),ROW()-1,FALSE))</f>
        <v>96.122713160000004</v>
      </c>
      <c r="K153">
        <f ca="1">IF(AND(ISNUMBER($K$323),$B$183=1),$K$323,HLOOKUP(INDIRECT(ADDRESS(2,COLUMN())),OFFSET($BN$2,0,0,ROW()-1,60),ROW()-1,FALSE))</f>
        <v>95.874294340000006</v>
      </c>
      <c r="L153">
        <f ca="1">IF(AND(ISNUMBER($L$323),$B$183=1),$L$323,HLOOKUP(INDIRECT(ADDRESS(2,COLUMN())),OFFSET($BN$2,0,0,ROW()-1,60),ROW()-1,FALSE))</f>
        <v>95.814612740000001</v>
      </c>
      <c r="M153">
        <f ca="1">IF(AND(ISNUMBER($M$323),$B$183=1),$M$323,HLOOKUP(INDIRECT(ADDRESS(2,COLUMN())),OFFSET($BN$2,0,0,ROW()-1,60),ROW()-1,FALSE))</f>
        <v>95.667681810000005</v>
      </c>
      <c r="N153">
        <f ca="1">IF(AND(ISNUMBER($N$323),$B$183=1),$N$323,HLOOKUP(INDIRECT(ADDRESS(2,COLUMN())),OFFSET($BN$2,0,0,ROW()-1,60),ROW()-1,FALSE))</f>
        <v>95.965453440000005</v>
      </c>
      <c r="O153">
        <f ca="1">IF(AND(ISNUMBER($O$323),$B$183=1),$O$323,HLOOKUP(INDIRECT(ADDRESS(2,COLUMN())),OFFSET($BN$2,0,0,ROW()-1,60),ROW()-1,FALSE))</f>
        <v>95.735079279999994</v>
      </c>
      <c r="P153">
        <f ca="1">IF(AND(ISNUMBER($P$323),$B$183=1),$P$323,HLOOKUP(INDIRECT(ADDRESS(2,COLUMN())),OFFSET($BN$2,0,0,ROW()-1,60),ROW()-1,FALSE))</f>
        <v>95.301366060000007</v>
      </c>
      <c r="Q153">
        <f ca="1">IF(AND(ISNUMBER($Q$323),$B$183=1),$Q$323,HLOOKUP(INDIRECT(ADDRESS(2,COLUMN())),OFFSET($BN$2,0,0,ROW()-1,60),ROW()-1,FALSE))</f>
        <v>95.526291689999994</v>
      </c>
      <c r="R153">
        <f ca="1">IF(AND(ISNUMBER($R$323),$B$183=1),$R$323,HLOOKUP(INDIRECT(ADDRESS(2,COLUMN())),OFFSET($BN$2,0,0,ROW()-1,60),ROW()-1,FALSE))</f>
        <v>96.339548519999994</v>
      </c>
      <c r="S153">
        <f ca="1">IF(AND(ISNUMBER($S$323),$B$183=1),$S$323,HLOOKUP(INDIRECT(ADDRESS(2,COLUMN())),OFFSET($BN$2,0,0,ROW()-1,60),ROW()-1,FALSE))</f>
        <v>95.903189260000005</v>
      </c>
      <c r="T153">
        <f ca="1">IF(AND(ISNUMBER($T$323),$B$183=1),$T$323,HLOOKUP(INDIRECT(ADDRESS(2,COLUMN())),OFFSET($BN$2,0,0,ROW()-1,60),ROW()-1,FALSE))</f>
        <v>95.66214076</v>
      </c>
      <c r="U153">
        <f ca="1">IF(AND(ISNUMBER($U$323),$B$183=1),$U$323,HLOOKUP(INDIRECT(ADDRESS(2,COLUMN())),OFFSET($BN$2,0,0,ROW()-1,60),ROW()-1,FALSE))</f>
        <v>95.54289378</v>
      </c>
      <c r="V153">
        <f ca="1">IF(AND(ISNUMBER($V$323),$B$183=1),$V$323,HLOOKUP(INDIRECT(ADDRESS(2,COLUMN())),OFFSET($BN$2,0,0,ROW()-1,60),ROW()-1,FALSE))</f>
        <v>95.556497329999999</v>
      </c>
      <c r="W153">
        <f ca="1">IF(AND(ISNUMBER($W$323),$B$183=1),$W$323,HLOOKUP(INDIRECT(ADDRESS(2,COLUMN())),OFFSET($BN$2,0,0,ROW()-1,60),ROW()-1,FALSE))</f>
        <v>95.663597929999995</v>
      </c>
      <c r="X153">
        <f ca="1">IF(AND(ISNUMBER($X$323),$B$183=1),$X$323,HLOOKUP(INDIRECT(ADDRESS(2,COLUMN())),OFFSET($BN$2,0,0,ROW()-1,60),ROW()-1,FALSE))</f>
        <v>95.234216750000002</v>
      </c>
      <c r="Y153">
        <f ca="1">IF(AND(ISNUMBER($Y$323),$B$183=1),$Y$323,HLOOKUP(INDIRECT(ADDRESS(2,COLUMN())),OFFSET($BN$2,0,0,ROW()-1,60),ROW()-1,FALSE))</f>
        <v>94.506528360000004</v>
      </c>
      <c r="Z153">
        <f ca="1">IF(AND(ISNUMBER($Z$323),$B$183=1),$Z$323,HLOOKUP(INDIRECT(ADDRESS(2,COLUMN())),OFFSET($BN$2,0,0,ROW()-1,60),ROW()-1,FALSE))</f>
        <v>94.772415780000003</v>
      </c>
      <c r="AA153">
        <f ca="1">IF(AND(ISNUMBER($AA$323),$B$183=1),$AA$323,HLOOKUP(INDIRECT(ADDRESS(2,COLUMN())),OFFSET($BN$2,0,0,ROW()-1,60),ROW()-1,FALSE))</f>
        <v>94.302747120000006</v>
      </c>
      <c r="AB153">
        <f ca="1">IF(AND(ISNUMBER($AB$323),$B$183=1),$AB$323,HLOOKUP(INDIRECT(ADDRESS(2,COLUMN())),OFFSET($BN$2,0,0,ROW()-1,60),ROW()-1,FALSE))</f>
        <v>93.305031049999997</v>
      </c>
      <c r="AC153">
        <f ca="1">IF(AND(ISNUMBER($AC$323),$B$183=1),$AC$323,HLOOKUP(INDIRECT(ADDRESS(2,COLUMN())),OFFSET($BN$2,0,0,ROW()-1,60),ROW()-1,FALSE))</f>
        <v>92.962049199999996</v>
      </c>
      <c r="AD153">
        <f ca="1">IF(AND(ISNUMBER($AD$323),$B$183=1),$AD$323,HLOOKUP(INDIRECT(ADDRESS(2,COLUMN())),OFFSET($BN$2,0,0,ROW()-1,60),ROW()-1,FALSE))</f>
        <v>93.664397070000007</v>
      </c>
      <c r="AE153">
        <f ca="1">IF(AND(ISNUMBER($AE$323),$B$183=1),$AE$323,HLOOKUP(INDIRECT(ADDRESS(2,COLUMN())),OFFSET($BN$2,0,0,ROW()-1,60),ROW()-1,FALSE))</f>
        <v>92.572086290000001</v>
      </c>
      <c r="AF153">
        <f ca="1">IF(AND(ISNUMBER($AF$323),$B$183=1),$AF$323,HLOOKUP(INDIRECT(ADDRESS(2,COLUMN())),OFFSET($BN$2,0,0,ROW()-1,60),ROW()-1,FALSE))</f>
        <v>92.227880929999998</v>
      </c>
      <c r="AG153">
        <f ca="1">IF(AND(ISNUMBER($AG$323),$B$183=1),$AG$323,HLOOKUP(INDIRECT(ADDRESS(2,COLUMN())),OFFSET($BN$2,0,0,ROW()-1,60),ROW()-1,FALSE))</f>
        <v>92.189961940000003</v>
      </c>
      <c r="AH153">
        <f ca="1">IF(AND(ISNUMBER($AH$323),$B$183=1),$AH$323,HLOOKUP(INDIRECT(ADDRESS(2,COLUMN())),OFFSET($BN$2,0,0,ROW()-1,60),ROW()-1,FALSE))</f>
        <v>92.831580410000001</v>
      </c>
      <c r="AI153">
        <f ca="1">IF(AND(ISNUMBER($AI$323),$B$183=1),$AI$323,HLOOKUP(INDIRECT(ADDRESS(2,COLUMN())),OFFSET($BN$2,0,0,ROW()-1,60),ROW()-1,FALSE))</f>
        <v>92.265501099999994</v>
      </c>
      <c r="AJ153">
        <f ca="1">IF(AND(ISNUMBER($AJ$323),$B$183=1),$AJ$323,HLOOKUP(INDIRECT(ADDRESS(2,COLUMN())),OFFSET($BN$2,0,0,ROW()-1,60),ROW()-1,FALSE))</f>
        <v>91.650697219999998</v>
      </c>
      <c r="AK153">
        <f ca="1">IF(AND(ISNUMBER($AK$323),$B$183=1),$AK$323,HLOOKUP(INDIRECT(ADDRESS(2,COLUMN())),OFFSET($BN$2,0,0,ROW()-1,60),ROW()-1,FALSE))</f>
        <v>91.460100359999998</v>
      </c>
      <c r="AL153">
        <f ca="1">IF(AND(ISNUMBER($AL$323),$B$183=1),$AL$323,HLOOKUP(INDIRECT(ADDRESS(2,COLUMN())),OFFSET($BN$2,0,0,ROW()-1,60),ROW()-1,FALSE))</f>
        <v>91.817056350000001</v>
      </c>
      <c r="AM153">
        <f ca="1">IF(AND(ISNUMBER($AM$323),$B$183=1),$AM$323,HLOOKUP(INDIRECT(ADDRESS(2,COLUMN())),OFFSET($BN$2,0,0,ROW()-1,60),ROW()-1,FALSE))</f>
        <v>91.595716429999996</v>
      </c>
      <c r="AN153">
        <f ca="1">IF(AND(ISNUMBER($AN$323),$B$183=1),$AN$323,HLOOKUP(INDIRECT(ADDRESS(2,COLUMN())),OFFSET($BN$2,0,0,ROW()-1,60),ROW()-1,FALSE))</f>
        <v>91.293292579999999</v>
      </c>
      <c r="AO153">
        <f ca="1">IF(AND(ISNUMBER($AO$323),$B$183=1),$AO$323,HLOOKUP(INDIRECT(ADDRESS(2,COLUMN())),OFFSET($BN$2,0,0,ROW()-1,60),ROW()-1,FALSE))</f>
        <v>91.414189870000001</v>
      </c>
      <c r="AP153">
        <f ca="1">IF(AND(ISNUMBER($AP$323),$B$183=1),$AP$323,HLOOKUP(INDIRECT(ADDRESS(2,COLUMN())),OFFSET($BN$2,0,0,ROW()-1,60),ROW()-1,FALSE))</f>
        <v>92.99626524</v>
      </c>
      <c r="AQ153">
        <f ca="1">IF(AND(ISNUMBER($AQ$323),$B$183=1),$AQ$323,HLOOKUP(INDIRECT(ADDRESS(2,COLUMN())),OFFSET($BN$2,0,0,ROW()-1,60),ROW()-1,FALSE))</f>
        <v>93.328640980000003</v>
      </c>
      <c r="AR153">
        <f ca="1">IF(AND(ISNUMBER($AR$323),$B$183=1),$AR$323,HLOOKUP(INDIRECT(ADDRESS(2,COLUMN())),OFFSET($BN$2,0,0,ROW()-1,60),ROW()-1,FALSE))</f>
        <v>93.553881649999994</v>
      </c>
      <c r="AS153">
        <f ca="1">IF(AND(ISNUMBER($AS$323),$B$183=1),$AS$323,HLOOKUP(INDIRECT(ADDRESS(2,COLUMN())),OFFSET($BN$2,0,0,ROW()-1,60),ROW()-1,FALSE))</f>
        <v>93.440123319999998</v>
      </c>
      <c r="AT153">
        <f ca="1">IF(AND(ISNUMBER($AT$323),$B$183=1),$AT$323,HLOOKUP(INDIRECT(ADDRESS(2,COLUMN())),OFFSET($BN$2,0,0,ROW()-1,60),ROW()-1,FALSE))</f>
        <v>94.609185190000005</v>
      </c>
      <c r="AU153">
        <f ca="1">IF(AND(ISNUMBER($AU$323),$B$183=1),$AU$323,HLOOKUP(INDIRECT(ADDRESS(2,COLUMN())),OFFSET($BN$2,0,0,ROW()-1,60),ROW()-1,FALSE))</f>
        <v>94.0372792</v>
      </c>
      <c r="AV153">
        <f ca="1">IF(AND(ISNUMBER($AV$323),$B$183=1),$AV$323,HLOOKUP(INDIRECT(ADDRESS(2,COLUMN())),OFFSET($BN$2,0,0,ROW()-1,60),ROW()-1,FALSE))</f>
        <v>93.999389230000006</v>
      </c>
      <c r="AW153">
        <f ca="1">IF(AND(ISNUMBER($AW$323),$B$183=1),$AW$323,HLOOKUP(INDIRECT(ADDRESS(2,COLUMN())),OFFSET($BN$2,0,0,ROW()-1,60),ROW()-1,FALSE))</f>
        <v>93.855647219999994</v>
      </c>
      <c r="AX153">
        <f ca="1">IF(AND(ISNUMBER($AX$323),$B$183=1),$AX$323,HLOOKUP(INDIRECT(ADDRESS(2,COLUMN())),OFFSET($BN$2,0,0,ROW()-1,60),ROW()-1,FALSE))</f>
        <v>94.555984449999997</v>
      </c>
      <c r="AY153">
        <f ca="1">IF(AND(ISNUMBER($AY$323),$B$183=1),$AY$323,HLOOKUP(INDIRECT(ADDRESS(2,COLUMN())),OFFSET($BN$2,0,0,ROW()-1,60),ROW()-1,FALSE))</f>
        <v>93.657158240000001</v>
      </c>
      <c r="AZ153">
        <f ca="1">IF(AND(ISNUMBER($AZ$323),$B$183=1),$AZ$323,HLOOKUP(INDIRECT(ADDRESS(2,COLUMN())),OFFSET($BN$2,0,0,ROW()-1,60),ROW()-1,FALSE))</f>
        <v>93.000856959999993</v>
      </c>
      <c r="BA153">
        <f ca="1">IF(AND(ISNUMBER($BA$323),$B$183=1),$BA$323,HLOOKUP(INDIRECT(ADDRESS(2,COLUMN())),OFFSET($BN$2,0,0,ROW()-1,60),ROW()-1,FALSE))</f>
        <v>93.055642090000006</v>
      </c>
      <c r="BB153">
        <f ca="1">IF(AND(ISNUMBER($BB$323),$B$183=1),$BB$323,HLOOKUP(INDIRECT(ADDRESS(2,COLUMN())),OFFSET($BN$2,0,0,ROW()-1,60),ROW()-1,FALSE))</f>
        <v>94.495120099999994</v>
      </c>
      <c r="BC153">
        <f ca="1">IF(AND(ISNUMBER($BC$323),$B$183=1),$BC$323,HLOOKUP(INDIRECT(ADDRESS(2,COLUMN())),OFFSET($BN$2,0,0,ROW()-1,60),ROW()-1,FALSE))</f>
        <v>93.43043772</v>
      </c>
      <c r="BD153">
        <f ca="1">IF(AND(ISNUMBER($BD$323),$B$183=1),$BD$323,HLOOKUP(INDIRECT(ADDRESS(2,COLUMN())),OFFSET($BN$2,0,0,ROW()-1,60),ROW()-1,FALSE))</f>
        <v>92.650271520000004</v>
      </c>
      <c r="BE153">
        <f ca="1">IF(AND(ISNUMBER($BE$323),$B$183=1),$BE$323,HLOOKUP(INDIRECT(ADDRESS(2,COLUMN())),OFFSET($BN$2,0,0,ROW()-1,60),ROW()-1,FALSE))</f>
        <v>92.257705680000001</v>
      </c>
      <c r="BF153">
        <f ca="1">IF(AND(ISNUMBER($BF$323),$B$183=1),$BF$323,HLOOKUP(INDIRECT(ADDRESS(2,COLUMN())),OFFSET($BN$2,0,0,ROW()-1,60),ROW()-1,FALSE))</f>
        <v>93.792983199999995</v>
      </c>
      <c r="BG153">
        <f ca="1">IF(AND(ISNUMBER($BG$323),$B$183=1),$BG$323,HLOOKUP(INDIRECT(ADDRESS(2,COLUMN())),OFFSET($BN$2,0,0,ROW()-1,60),ROW()-1,FALSE))</f>
        <v>92.675318369999999</v>
      </c>
      <c r="BH153">
        <f ca="1">IF(AND(ISNUMBER($BH$323),$B$183=1),$BH$323,HLOOKUP(INDIRECT(ADDRESS(2,COLUMN())),OFFSET($BN$2,0,0,ROW()-1,60),ROW()-1,FALSE))</f>
        <v>92.301376419999997</v>
      </c>
      <c r="BI153">
        <f ca="1">IF(AND(ISNUMBER($BI$323),$B$183=1),$BI$323,HLOOKUP(INDIRECT(ADDRESS(2,COLUMN())),OFFSET($BN$2,0,0,ROW()-1,60),ROW()-1,FALSE))</f>
        <v>91.879332509999998</v>
      </c>
      <c r="BJ153">
        <f ca="1">IF(AND(ISNUMBER($BJ$323),$B$183=1),$BJ$323,HLOOKUP(INDIRECT(ADDRESS(2,COLUMN())),OFFSET($BN$2,0,0,ROW()-1,60),ROW()-1,FALSE))</f>
        <v>93.369280110000005</v>
      </c>
      <c r="BK153">
        <f ca="1">IF(AND(ISNUMBER($BK$323),$B$183=1),$BK$323,HLOOKUP(INDIRECT(ADDRESS(2,COLUMN())),OFFSET($BN$2,0,0,ROW()-1,60),ROW()-1,FALSE))</f>
        <v>92.131637339999997</v>
      </c>
      <c r="BL153">
        <f ca="1">IF(AND(ISNUMBER($BL$323),$B$183=1),$BL$323,HLOOKUP(INDIRECT(ADDRESS(2,COLUMN())),OFFSET($BN$2,0,0,ROW()-1,60),ROW()-1,FALSE))</f>
        <v>92.066426120000003</v>
      </c>
      <c r="BM153">
        <f ca="1">IF(AND(ISNUMBER($BM$323),$B$183=1),$BM$323,HLOOKUP(INDIRECT(ADDRESS(2,COLUMN())),OFFSET($BN$2,0,0,ROW()-1,60),ROW()-1,FALSE))</f>
        <v>92.096786960000003</v>
      </c>
      <c r="BN153">
        <f>95.82144731</f>
        <v>95.821447309999996</v>
      </c>
      <c r="BO153">
        <f>95.4260398</f>
        <v>95.426039799999998</v>
      </c>
      <c r="BP153">
        <f>95.17881858</f>
        <v>95.178818579999998</v>
      </c>
      <c r="BQ153">
        <f>95.38384352</f>
        <v>95.383843519999999</v>
      </c>
      <c r="BR153">
        <f>96.12271316</f>
        <v>96.122713160000004</v>
      </c>
      <c r="BS153">
        <f>95.87429434</f>
        <v>95.874294340000006</v>
      </c>
      <c r="BT153">
        <f>95.81461274</f>
        <v>95.814612740000001</v>
      </c>
      <c r="BU153">
        <f>95.66768181</f>
        <v>95.667681810000005</v>
      </c>
      <c r="BV153">
        <f>95.96545344</f>
        <v>95.965453440000005</v>
      </c>
      <c r="BW153">
        <f>95.73507928</f>
        <v>95.735079279999994</v>
      </c>
      <c r="BX153">
        <f>95.30136606</f>
        <v>95.301366060000007</v>
      </c>
      <c r="BY153">
        <f>95.52629169</f>
        <v>95.526291689999994</v>
      </c>
      <c r="BZ153">
        <f>96.33954852</f>
        <v>96.339548519999994</v>
      </c>
      <c r="CA153">
        <f>95.90318926</f>
        <v>95.903189260000005</v>
      </c>
      <c r="CB153">
        <f>95.66214076</f>
        <v>95.66214076</v>
      </c>
      <c r="CC153">
        <f>95.54289378</f>
        <v>95.54289378</v>
      </c>
      <c r="CD153">
        <f>95.55649733</f>
        <v>95.556497329999999</v>
      </c>
      <c r="CE153">
        <f>95.66359793</f>
        <v>95.663597929999995</v>
      </c>
      <c r="CF153">
        <f>95.23421675</f>
        <v>95.234216750000002</v>
      </c>
      <c r="CG153">
        <f>94.50652836</f>
        <v>94.506528360000004</v>
      </c>
      <c r="CH153">
        <f>94.77241578</f>
        <v>94.772415780000003</v>
      </c>
      <c r="CI153">
        <f>94.30274712</f>
        <v>94.302747120000006</v>
      </c>
      <c r="CJ153">
        <f>93.30503105</f>
        <v>93.305031049999997</v>
      </c>
      <c r="CK153">
        <f>92.9620492</f>
        <v>92.962049199999996</v>
      </c>
      <c r="CL153">
        <f>93.66439707</f>
        <v>93.664397070000007</v>
      </c>
      <c r="CM153">
        <f>92.57208629</f>
        <v>92.572086290000001</v>
      </c>
      <c r="CN153">
        <f>92.22788093</f>
        <v>92.227880929999998</v>
      </c>
      <c r="CO153">
        <f>92.18996194</f>
        <v>92.189961940000003</v>
      </c>
      <c r="CP153">
        <f>92.83158041</f>
        <v>92.831580410000001</v>
      </c>
      <c r="CQ153">
        <f>92.2655011</f>
        <v>92.265501099999994</v>
      </c>
      <c r="CR153">
        <f>91.65069722</f>
        <v>91.650697219999998</v>
      </c>
      <c r="CS153">
        <f>91.46010036</f>
        <v>91.460100359999998</v>
      </c>
      <c r="CT153">
        <f>91.81705635</f>
        <v>91.817056350000001</v>
      </c>
      <c r="CU153">
        <f>91.59571643</f>
        <v>91.595716429999996</v>
      </c>
      <c r="CV153">
        <f>91.29329258</f>
        <v>91.293292579999999</v>
      </c>
      <c r="CW153">
        <f>91.41418987</f>
        <v>91.414189870000001</v>
      </c>
      <c r="CX153">
        <f>92.99626524</f>
        <v>92.99626524</v>
      </c>
      <c r="CY153">
        <f>93.32864098</f>
        <v>93.328640980000003</v>
      </c>
      <c r="CZ153">
        <f>93.55388165</f>
        <v>93.553881649999994</v>
      </c>
      <c r="DA153">
        <f>93.44012332</f>
        <v>93.440123319999998</v>
      </c>
      <c r="DB153">
        <f>94.60918519</f>
        <v>94.609185190000005</v>
      </c>
      <c r="DC153">
        <f>94.0372792</f>
        <v>94.0372792</v>
      </c>
      <c r="DD153">
        <f>93.99938923</f>
        <v>93.999389230000006</v>
      </c>
      <c r="DE153">
        <f>93.85564722</f>
        <v>93.855647219999994</v>
      </c>
      <c r="DF153">
        <f>94.55598445</f>
        <v>94.555984449999997</v>
      </c>
      <c r="DG153">
        <f>93.65715824</f>
        <v>93.657158240000001</v>
      </c>
      <c r="DH153">
        <f>93.00085696</f>
        <v>93.000856959999993</v>
      </c>
      <c r="DI153">
        <f>93.05564209</f>
        <v>93.055642090000006</v>
      </c>
      <c r="DJ153">
        <f>94.4951201</f>
        <v>94.495120099999994</v>
      </c>
      <c r="DK153">
        <f>93.43043772</f>
        <v>93.43043772</v>
      </c>
      <c r="DL153">
        <f>92.65027152</f>
        <v>92.650271520000004</v>
      </c>
      <c r="DM153">
        <f>92.25770568</f>
        <v>92.257705680000001</v>
      </c>
      <c r="DN153">
        <f>93.7929832</f>
        <v>93.792983199999995</v>
      </c>
      <c r="DO153">
        <f>92.67531837</f>
        <v>92.675318369999999</v>
      </c>
      <c r="DP153">
        <f>92.30137642</f>
        <v>92.301376419999997</v>
      </c>
      <c r="DQ153">
        <f>91.87933251</f>
        <v>91.879332509999998</v>
      </c>
      <c r="DR153">
        <f>93.36928011</f>
        <v>93.369280110000005</v>
      </c>
      <c r="DS153">
        <f>92.13163734</f>
        <v>92.131637339999997</v>
      </c>
      <c r="DT153">
        <f>92.06642612</f>
        <v>92.066426120000003</v>
      </c>
      <c r="DU153">
        <f>92.09678696</f>
        <v>92.096786960000003</v>
      </c>
    </row>
    <row r="154" spans="1:125">
      <c r="A154" t="str">
        <f>"    Industrial REITs"</f>
        <v xml:space="preserve">    Industrial REITs</v>
      </c>
      <c r="B154" t="str">
        <f>"RECFAVIN Index"</f>
        <v>RECFAVIN Index</v>
      </c>
      <c r="C154" t="str">
        <f>"PR005"</f>
        <v>PR005</v>
      </c>
      <c r="D154" t="str">
        <f>"PX_LAST"</f>
        <v>PX_LAST</v>
      </c>
      <c r="E154" t="str">
        <f>"动态"</f>
        <v>动态</v>
      </c>
      <c r="F154">
        <f ca="1">IF(AND(ISNUMBER($F$324),$B$183=1),$F$324,HLOOKUP(INDIRECT(ADDRESS(2,COLUMN())),OFFSET($BN$2,0,0,ROW()-1,60),ROW()-1,FALSE))</f>
        <v>96.805147779999999</v>
      </c>
      <c r="G154">
        <f ca="1">IF(AND(ISNUMBER($G$324),$B$183=1),$G$324,HLOOKUP(INDIRECT(ADDRESS(2,COLUMN())),OFFSET($BN$2,0,0,ROW()-1,60),ROW()-1,FALSE))</f>
        <v>96.226056270000001</v>
      </c>
      <c r="H154">
        <f ca="1">IF(AND(ISNUMBER($H$324),$B$183=1),$H$324,HLOOKUP(INDIRECT(ADDRESS(2,COLUMN())),OFFSET($BN$2,0,0,ROW()-1,60),ROW()-1,FALSE))</f>
        <v>96.076528510000003</v>
      </c>
      <c r="I154">
        <f ca="1">IF(AND(ISNUMBER($I$324),$B$183=1),$I$324,HLOOKUP(INDIRECT(ADDRESS(2,COLUMN())),OFFSET($BN$2,0,0,ROW()-1,60),ROW()-1,FALSE))</f>
        <v>96.317442779999993</v>
      </c>
      <c r="J154">
        <f ca="1">IF(AND(ISNUMBER($J$324),$B$183=1),$J$324,HLOOKUP(INDIRECT(ADDRESS(2,COLUMN())),OFFSET($BN$2,0,0,ROW()-1,60),ROW()-1,FALSE))</f>
        <v>96.646901790000001</v>
      </c>
      <c r="K154">
        <f ca="1">IF(AND(ISNUMBER($K$324),$B$183=1),$K$324,HLOOKUP(INDIRECT(ADDRESS(2,COLUMN())),OFFSET($BN$2,0,0,ROW()-1,60),ROW()-1,FALSE))</f>
        <v>96.238260060000002</v>
      </c>
      <c r="L154">
        <f ca="1">IF(AND(ISNUMBER($L$324),$B$183=1),$L$324,HLOOKUP(INDIRECT(ADDRESS(2,COLUMN())),OFFSET($BN$2,0,0,ROW()-1,60),ROW()-1,FALSE))</f>
        <v>95.709791370000005</v>
      </c>
      <c r="M154">
        <f ca="1">IF(AND(ISNUMBER($M$324),$B$183=1),$M$324,HLOOKUP(INDIRECT(ADDRESS(2,COLUMN())),OFFSET($BN$2,0,0,ROW()-1,60),ROW()-1,FALSE))</f>
        <v>95.296728430000002</v>
      </c>
      <c r="N154">
        <f ca="1">IF(AND(ISNUMBER($N$324),$B$183=1),$N$324,HLOOKUP(INDIRECT(ADDRESS(2,COLUMN())),OFFSET($BN$2,0,0,ROW()-1,60),ROW()-1,FALSE))</f>
        <v>95.566132679999996</v>
      </c>
      <c r="O154">
        <f ca="1">IF(AND(ISNUMBER($O$324),$B$183=1),$O$324,HLOOKUP(INDIRECT(ADDRESS(2,COLUMN())),OFFSET($BN$2,0,0,ROW()-1,60),ROW()-1,FALSE))</f>
        <v>95.066270729999999</v>
      </c>
      <c r="P154">
        <f ca="1">IF(AND(ISNUMBER($P$324),$B$183=1),$P$324,HLOOKUP(INDIRECT(ADDRESS(2,COLUMN())),OFFSET($BN$2,0,0,ROW()-1,60),ROW()-1,FALSE))</f>
        <v>94.657607060000004</v>
      </c>
      <c r="Q154">
        <f ca="1">IF(AND(ISNUMBER($Q$324),$B$183=1),$Q$324,HLOOKUP(INDIRECT(ADDRESS(2,COLUMN())),OFFSET($BN$2,0,0,ROW()-1,60),ROW()-1,FALSE))</f>
        <v>94.719723799999997</v>
      </c>
      <c r="R154">
        <f ca="1">IF(AND(ISNUMBER($R$324),$B$183=1),$R$324,HLOOKUP(INDIRECT(ADDRESS(2,COLUMN())),OFFSET($BN$2,0,0,ROW()-1,60),ROW()-1,FALSE))</f>
        <v>94.911063490000004</v>
      </c>
      <c r="S154">
        <f ca="1">IF(AND(ISNUMBER($S$324),$B$183=1),$S$324,HLOOKUP(INDIRECT(ADDRESS(2,COLUMN())),OFFSET($BN$2,0,0,ROW()-1,60),ROW()-1,FALSE))</f>
        <v>94.319611710000004</v>
      </c>
      <c r="T154">
        <f ca="1">IF(AND(ISNUMBER($T$324),$B$183=1),$T$324,HLOOKUP(INDIRECT(ADDRESS(2,COLUMN())),OFFSET($BN$2,0,0,ROW()-1,60),ROW()-1,FALSE))</f>
        <v>93.787603169999997</v>
      </c>
      <c r="U154">
        <f ca="1">IF(AND(ISNUMBER($U$324),$B$183=1),$U$324,HLOOKUP(INDIRECT(ADDRESS(2,COLUMN())),OFFSET($BN$2,0,0,ROW()-1,60),ROW()-1,FALSE))</f>
        <v>93.368892930000001</v>
      </c>
      <c r="V154">
        <f ca="1">IF(AND(ISNUMBER($V$324),$B$183=1),$V$324,HLOOKUP(INDIRECT(ADDRESS(2,COLUMN())),OFFSET($BN$2,0,0,ROW()-1,60),ROW()-1,FALSE))</f>
        <v>93.475083729999994</v>
      </c>
      <c r="W154">
        <f ca="1">IF(AND(ISNUMBER($W$324),$B$183=1),$W$324,HLOOKUP(INDIRECT(ADDRESS(2,COLUMN())),OFFSET($BN$2,0,0,ROW()-1,60),ROW()-1,FALSE))</f>
        <v>93.097410370000006</v>
      </c>
      <c r="X154">
        <f ca="1">IF(AND(ISNUMBER($X$324),$B$183=1),$X$324,HLOOKUP(INDIRECT(ADDRESS(2,COLUMN())),OFFSET($BN$2,0,0,ROW()-1,60),ROW()-1,FALSE))</f>
        <v>92.998557230000003</v>
      </c>
      <c r="Y154">
        <f ca="1">IF(AND(ISNUMBER($Y$324),$B$183=1),$Y$324,HLOOKUP(INDIRECT(ADDRESS(2,COLUMN())),OFFSET($BN$2,0,0,ROW()-1,60),ROW()-1,FALSE))</f>
        <v>92.621592489999998</v>
      </c>
      <c r="Z154">
        <f ca="1">IF(AND(ISNUMBER($Z$324),$B$183=1),$Z$324,HLOOKUP(INDIRECT(ADDRESS(2,COLUMN())),OFFSET($BN$2,0,0,ROW()-1,60),ROW()-1,FALSE))</f>
        <v>92.873771000000005</v>
      </c>
      <c r="AA154">
        <f ca="1">IF(AND(ISNUMBER($AA$324),$B$183=1),$AA$324,HLOOKUP(INDIRECT(ADDRESS(2,COLUMN())),OFFSET($BN$2,0,0,ROW()-1,60),ROW()-1,FALSE))</f>
        <v>92.360431579999997</v>
      </c>
      <c r="AB154">
        <f ca="1">IF(AND(ISNUMBER($AB$324),$B$183=1),$AB$324,HLOOKUP(INDIRECT(ADDRESS(2,COLUMN())),OFFSET($BN$2,0,0,ROW()-1,60),ROW()-1,FALSE))</f>
        <v>91.6671549</v>
      </c>
      <c r="AC154">
        <f ca="1">IF(AND(ISNUMBER($AC$324),$B$183=1),$AC$324,HLOOKUP(INDIRECT(ADDRESS(2,COLUMN())),OFFSET($BN$2,0,0,ROW()-1,60),ROW()-1,FALSE))</f>
        <v>91.596153180000002</v>
      </c>
      <c r="AD154">
        <f ca="1">IF(AND(ISNUMBER($AD$324),$B$183=1),$AD$324,HLOOKUP(INDIRECT(ADDRESS(2,COLUMN())),OFFSET($BN$2,0,0,ROW()-1,60),ROW()-1,FALSE))</f>
        <v>91.535506999999996</v>
      </c>
      <c r="AE154">
        <f ca="1">IF(AND(ISNUMBER($AE$324),$B$183=1),$AE$324,HLOOKUP(INDIRECT(ADDRESS(2,COLUMN())),OFFSET($BN$2,0,0,ROW()-1,60),ROW()-1,FALSE))</f>
        <v>90.672566320000001</v>
      </c>
      <c r="AF154">
        <f ca="1">IF(AND(ISNUMBER($AF$324),$B$183=1),$AF$324,HLOOKUP(INDIRECT(ADDRESS(2,COLUMN())),OFFSET($BN$2,0,0,ROW()-1,60),ROW()-1,FALSE))</f>
        <v>90.036614569999998</v>
      </c>
      <c r="AG154">
        <f ca="1">IF(AND(ISNUMBER($AG$324),$B$183=1),$AG$324,HLOOKUP(INDIRECT(ADDRESS(2,COLUMN())),OFFSET($BN$2,0,0,ROW()-1,60),ROW()-1,FALSE))</f>
        <v>89.56166322</v>
      </c>
      <c r="AH154">
        <f ca="1">IF(AND(ISNUMBER($AH$324),$B$183=1),$AH$324,HLOOKUP(INDIRECT(ADDRESS(2,COLUMN())),OFFSET($BN$2,0,0,ROW()-1,60),ROW()-1,FALSE))</f>
        <v>90.084729289999999</v>
      </c>
      <c r="AI154">
        <f ca="1">IF(AND(ISNUMBER($AI$324),$B$183=1),$AI$324,HLOOKUP(INDIRECT(ADDRESS(2,COLUMN())),OFFSET($BN$2,0,0,ROW()-1,60),ROW()-1,FALSE))</f>
        <v>89.505811859999994</v>
      </c>
      <c r="AJ154">
        <f ca="1">IF(AND(ISNUMBER($AJ$324),$B$183=1),$AJ$324,HLOOKUP(INDIRECT(ADDRESS(2,COLUMN())),OFFSET($BN$2,0,0,ROW()-1,60),ROW()-1,FALSE))</f>
        <v>88.833573380000004</v>
      </c>
      <c r="AK154">
        <f ca="1">IF(AND(ISNUMBER($AK$324),$B$183=1),$AK$324,HLOOKUP(INDIRECT(ADDRESS(2,COLUMN())),OFFSET($BN$2,0,0,ROW()-1,60),ROW()-1,FALSE))</f>
        <v>88.530827680000002</v>
      </c>
      <c r="AL154">
        <f ca="1">IF(AND(ISNUMBER($AL$324),$B$183=1),$AL$324,HLOOKUP(INDIRECT(ADDRESS(2,COLUMN())),OFFSET($BN$2,0,0,ROW()-1,60),ROW()-1,FALSE))</f>
        <v>88.877908039999994</v>
      </c>
      <c r="AM154">
        <f ca="1">IF(AND(ISNUMBER($AM$324),$B$183=1),$AM$324,HLOOKUP(INDIRECT(ADDRESS(2,COLUMN())),OFFSET($BN$2,0,0,ROW()-1,60),ROW()-1,FALSE))</f>
        <v>88.586485710000005</v>
      </c>
      <c r="AN154">
        <f ca="1">IF(AND(ISNUMBER($AN$324),$B$183=1),$AN$324,HLOOKUP(INDIRECT(ADDRESS(2,COLUMN())),OFFSET($BN$2,0,0,ROW()-1,60),ROW()-1,FALSE))</f>
        <v>88.413808779999997</v>
      </c>
      <c r="AO154">
        <f ca="1">IF(AND(ISNUMBER($AO$324),$B$183=1),$AO$324,HLOOKUP(INDIRECT(ADDRESS(2,COLUMN())),OFFSET($BN$2,0,0,ROW()-1,60),ROW()-1,FALSE))</f>
        <v>89.529342830000004</v>
      </c>
      <c r="AP154">
        <f ca="1">IF(AND(ISNUMBER($AP$324),$B$183=1),$AP$324,HLOOKUP(INDIRECT(ADDRESS(2,COLUMN())),OFFSET($BN$2,0,0,ROW()-1,60),ROW()-1,FALSE))</f>
        <v>91.559113850000003</v>
      </c>
      <c r="AQ154">
        <f ca="1">IF(AND(ISNUMBER($AQ$324),$B$183=1),$AQ$324,HLOOKUP(INDIRECT(ADDRESS(2,COLUMN())),OFFSET($BN$2,0,0,ROW()-1,60),ROW()-1,FALSE))</f>
        <v>91.572307309999999</v>
      </c>
      <c r="AR154">
        <f ca="1">IF(AND(ISNUMBER($AR$324),$B$183=1),$AR$324,HLOOKUP(INDIRECT(ADDRESS(2,COLUMN())),OFFSET($BN$2,0,0,ROW()-1,60),ROW()-1,FALSE))</f>
        <v>91.619677030000005</v>
      </c>
      <c r="AS154">
        <f ca="1">IF(AND(ISNUMBER($AS$324),$B$183=1),$AS$324,HLOOKUP(INDIRECT(ADDRESS(2,COLUMN())),OFFSET($BN$2,0,0,ROW()-1,60),ROW()-1,FALSE))</f>
        <v>91.564034539999994</v>
      </c>
      <c r="AT154">
        <f ca="1">IF(AND(ISNUMBER($AT$324),$B$183=1),$AT$324,HLOOKUP(INDIRECT(ADDRESS(2,COLUMN())),OFFSET($BN$2,0,0,ROW()-1,60),ROW()-1,FALSE))</f>
        <v>92.936812900000007</v>
      </c>
      <c r="AU154">
        <f ca="1">IF(AND(ISNUMBER($AU$324),$B$183=1),$AU$324,HLOOKUP(INDIRECT(ADDRESS(2,COLUMN())),OFFSET($BN$2,0,0,ROW()-1,60),ROW()-1,FALSE))</f>
        <v>93.326976329999994</v>
      </c>
      <c r="AV154">
        <f ca="1">IF(AND(ISNUMBER($AV$324),$B$183=1),$AV$324,HLOOKUP(INDIRECT(ADDRESS(2,COLUMN())),OFFSET($BN$2,0,0,ROW()-1,60),ROW()-1,FALSE))</f>
        <v>93.263921339999996</v>
      </c>
      <c r="AW154">
        <f ca="1">IF(AND(ISNUMBER($AW$324),$B$183=1),$AW$324,HLOOKUP(INDIRECT(ADDRESS(2,COLUMN())),OFFSET($BN$2,0,0,ROW()-1,60),ROW()-1,FALSE))</f>
        <v>93.105802670000003</v>
      </c>
      <c r="AX154">
        <f ca="1">IF(AND(ISNUMBER($AX$324),$B$183=1),$AX$324,HLOOKUP(INDIRECT(ADDRESS(2,COLUMN())),OFFSET($BN$2,0,0,ROW()-1,60),ROW()-1,FALSE))</f>
        <v>93.513785049999996</v>
      </c>
      <c r="AY154">
        <f ca="1">IF(AND(ISNUMBER($AY$324),$B$183=1),$AY$324,HLOOKUP(INDIRECT(ADDRESS(2,COLUMN())),OFFSET($BN$2,0,0,ROW()-1,60),ROW()-1,FALSE))</f>
        <v>93.209208050000001</v>
      </c>
      <c r="AZ154">
        <f ca="1">IF(AND(ISNUMBER($AZ$324),$B$183=1),$AZ$324,HLOOKUP(INDIRECT(ADDRESS(2,COLUMN())),OFFSET($BN$2,0,0,ROW()-1,60),ROW()-1,FALSE))</f>
        <v>92.90044795</v>
      </c>
      <c r="BA154">
        <f ca="1">IF(AND(ISNUMBER($BA$324),$B$183=1),$BA$324,HLOOKUP(INDIRECT(ADDRESS(2,COLUMN())),OFFSET($BN$2,0,0,ROW()-1,60),ROW()-1,FALSE))</f>
        <v>92.596444660000003</v>
      </c>
      <c r="BB154">
        <f ca="1">IF(AND(ISNUMBER($BB$324),$B$183=1),$BB$324,HLOOKUP(INDIRECT(ADDRESS(2,COLUMN())),OFFSET($BN$2,0,0,ROW()-1,60),ROW()-1,FALSE))</f>
        <v>92.801308160000005</v>
      </c>
      <c r="BC154">
        <f ca="1">IF(AND(ISNUMBER($BC$324),$B$183=1),$BC$324,HLOOKUP(INDIRECT(ADDRESS(2,COLUMN())),OFFSET($BN$2,0,0,ROW()-1,60),ROW()-1,FALSE))</f>
        <v>91.619605390000004</v>
      </c>
      <c r="BD154">
        <f ca="1">IF(AND(ISNUMBER($BD$324),$B$183=1),$BD$324,HLOOKUP(INDIRECT(ADDRESS(2,COLUMN())),OFFSET($BN$2,0,0,ROW()-1,60),ROW()-1,FALSE))</f>
        <v>91.822580380000005</v>
      </c>
      <c r="BE154">
        <f ca="1">IF(AND(ISNUMBER($BE$324),$B$183=1),$BE$324,HLOOKUP(INDIRECT(ADDRESS(2,COLUMN())),OFFSET($BN$2,0,0,ROW()-1,60),ROW()-1,FALSE))</f>
        <v>92.0606729</v>
      </c>
      <c r="BF154">
        <f ca="1">IF(AND(ISNUMBER($BF$324),$B$183=1),$BF$324,HLOOKUP(INDIRECT(ADDRESS(2,COLUMN())),OFFSET($BN$2,0,0,ROW()-1,60),ROW()-1,FALSE))</f>
        <v>92.103414830000006</v>
      </c>
      <c r="BG154">
        <f ca="1">IF(AND(ISNUMBER($BG$324),$B$183=1),$BG$324,HLOOKUP(INDIRECT(ADDRESS(2,COLUMN())),OFFSET($BN$2,0,0,ROW()-1,60),ROW()-1,FALSE))</f>
        <v>91.551477120000001</v>
      </c>
      <c r="BH154">
        <f ca="1">IF(AND(ISNUMBER($BH$324),$B$183=1),$BH$324,HLOOKUP(INDIRECT(ADDRESS(2,COLUMN())),OFFSET($BN$2,0,0,ROW()-1,60),ROW()-1,FALSE))</f>
        <v>91.322501520000003</v>
      </c>
      <c r="BI154">
        <f ca="1">IF(AND(ISNUMBER($BI$324),$B$183=1),$BI$324,HLOOKUP(INDIRECT(ADDRESS(2,COLUMN())),OFFSET($BN$2,0,0,ROW()-1,60),ROW()-1,FALSE))</f>
        <v>90.993880579999995</v>
      </c>
      <c r="BJ154">
        <f ca="1">IF(AND(ISNUMBER($BJ$324),$B$183=1),$BJ$324,HLOOKUP(INDIRECT(ADDRESS(2,COLUMN())),OFFSET($BN$2,0,0,ROW()-1,60),ROW()-1,FALSE))</f>
        <v>90.00084305</v>
      </c>
      <c r="BK154">
        <f ca="1">IF(AND(ISNUMBER($BK$324),$B$183=1),$BK$324,HLOOKUP(INDIRECT(ADDRESS(2,COLUMN())),OFFSET($BN$2,0,0,ROW()-1,60),ROW()-1,FALSE))</f>
        <v>90.253464210000004</v>
      </c>
      <c r="BL154">
        <f ca="1">IF(AND(ISNUMBER($BL$324),$B$183=1),$BL$324,HLOOKUP(INDIRECT(ADDRESS(2,COLUMN())),OFFSET($BN$2,0,0,ROW()-1,60),ROW()-1,FALSE))</f>
        <v>90.046783809999994</v>
      </c>
      <c r="BM154">
        <f ca="1">IF(AND(ISNUMBER($BM$324),$B$183=1),$BM$324,HLOOKUP(INDIRECT(ADDRESS(2,COLUMN())),OFFSET($BN$2,0,0,ROW()-1,60),ROW()-1,FALSE))</f>
        <v>89.522784239999993</v>
      </c>
      <c r="BN154">
        <f>96.80514778</f>
        <v>96.805147779999999</v>
      </c>
      <c r="BO154">
        <f>96.22605627</f>
        <v>96.226056270000001</v>
      </c>
      <c r="BP154">
        <f>96.07652851</f>
        <v>96.076528510000003</v>
      </c>
      <c r="BQ154">
        <f>96.31744278</f>
        <v>96.317442779999993</v>
      </c>
      <c r="BR154">
        <f>96.64690179</f>
        <v>96.646901790000001</v>
      </c>
      <c r="BS154">
        <f>96.23826006</f>
        <v>96.238260060000002</v>
      </c>
      <c r="BT154">
        <f>95.70979137</f>
        <v>95.709791370000005</v>
      </c>
      <c r="BU154">
        <f>95.29672843</f>
        <v>95.296728430000002</v>
      </c>
      <c r="BV154">
        <f>95.56613268</f>
        <v>95.566132679999996</v>
      </c>
      <c r="BW154">
        <f>95.06627073</f>
        <v>95.066270729999999</v>
      </c>
      <c r="BX154">
        <f>94.65760706</f>
        <v>94.657607060000004</v>
      </c>
      <c r="BY154">
        <f>94.7197238</f>
        <v>94.719723799999997</v>
      </c>
      <c r="BZ154">
        <f>94.91106349</f>
        <v>94.911063490000004</v>
      </c>
      <c r="CA154">
        <f>94.31961171</f>
        <v>94.319611710000004</v>
      </c>
      <c r="CB154">
        <f>93.78760317</f>
        <v>93.787603169999997</v>
      </c>
      <c r="CC154">
        <f>93.36889293</f>
        <v>93.368892930000001</v>
      </c>
      <c r="CD154">
        <f>93.47508373</f>
        <v>93.475083729999994</v>
      </c>
      <c r="CE154">
        <f>93.09741037</f>
        <v>93.097410370000006</v>
      </c>
      <c r="CF154">
        <f>92.99855723</f>
        <v>92.998557230000003</v>
      </c>
      <c r="CG154">
        <f>92.62159249</f>
        <v>92.621592489999998</v>
      </c>
      <c r="CH154">
        <f>92.873771</f>
        <v>92.873771000000005</v>
      </c>
      <c r="CI154">
        <f>92.36043158</f>
        <v>92.360431579999997</v>
      </c>
      <c r="CJ154">
        <f>91.6671549</f>
        <v>91.6671549</v>
      </c>
      <c r="CK154">
        <f>91.59615318</f>
        <v>91.596153180000002</v>
      </c>
      <c r="CL154">
        <f>91.535507</f>
        <v>91.535506999999996</v>
      </c>
      <c r="CM154">
        <f>90.67256632</f>
        <v>90.672566320000001</v>
      </c>
      <c r="CN154">
        <f>90.03661457</f>
        <v>90.036614569999998</v>
      </c>
      <c r="CO154">
        <f>89.56166322</f>
        <v>89.56166322</v>
      </c>
      <c r="CP154">
        <f>90.08472929</f>
        <v>90.084729289999999</v>
      </c>
      <c r="CQ154">
        <f>89.50581186</f>
        <v>89.505811859999994</v>
      </c>
      <c r="CR154">
        <f>88.83357338</f>
        <v>88.833573380000004</v>
      </c>
      <c r="CS154">
        <f>88.53082768</f>
        <v>88.530827680000002</v>
      </c>
      <c r="CT154">
        <f>88.87790804</f>
        <v>88.877908039999994</v>
      </c>
      <c r="CU154">
        <f>88.58648571</f>
        <v>88.586485710000005</v>
      </c>
      <c r="CV154">
        <f>88.41380878</f>
        <v>88.413808779999997</v>
      </c>
      <c r="CW154">
        <f>89.52934283</f>
        <v>89.529342830000004</v>
      </c>
      <c r="CX154">
        <f>91.55911385</f>
        <v>91.559113850000003</v>
      </c>
      <c r="CY154">
        <f>91.57230731</f>
        <v>91.572307309999999</v>
      </c>
      <c r="CZ154">
        <f>91.61967703</f>
        <v>91.619677030000005</v>
      </c>
      <c r="DA154">
        <f>91.56403454</f>
        <v>91.564034539999994</v>
      </c>
      <c r="DB154">
        <f>92.9368129</f>
        <v>92.936812900000007</v>
      </c>
      <c r="DC154">
        <f>93.32697633</f>
        <v>93.326976329999994</v>
      </c>
      <c r="DD154">
        <f>93.26392134</f>
        <v>93.263921339999996</v>
      </c>
      <c r="DE154">
        <f>93.10580267</f>
        <v>93.105802670000003</v>
      </c>
      <c r="DF154">
        <f>93.51378505</f>
        <v>93.513785049999996</v>
      </c>
      <c r="DG154">
        <f>93.20920805</f>
        <v>93.209208050000001</v>
      </c>
      <c r="DH154">
        <f>92.90044795</f>
        <v>92.90044795</v>
      </c>
      <c r="DI154">
        <f>92.59644466</f>
        <v>92.596444660000003</v>
      </c>
      <c r="DJ154">
        <f>92.80130816</f>
        <v>92.801308160000005</v>
      </c>
      <c r="DK154">
        <f>91.61960539</f>
        <v>91.619605390000004</v>
      </c>
      <c r="DL154">
        <f>91.82258038</f>
        <v>91.822580380000005</v>
      </c>
      <c r="DM154">
        <f>92.0606729</f>
        <v>92.0606729</v>
      </c>
      <c r="DN154">
        <f>92.10341483</f>
        <v>92.103414830000006</v>
      </c>
      <c r="DO154">
        <f>91.55147712</f>
        <v>91.551477120000001</v>
      </c>
      <c r="DP154">
        <f>91.32250152</f>
        <v>91.322501520000003</v>
      </c>
      <c r="DQ154">
        <f>90.99388058</f>
        <v>90.993880579999995</v>
      </c>
      <c r="DR154">
        <f>90.00084305</f>
        <v>90.00084305</v>
      </c>
      <c r="DS154">
        <f>90.25346421</f>
        <v>90.253464210000004</v>
      </c>
      <c r="DT154">
        <f>90.04678381</f>
        <v>90.046783809999994</v>
      </c>
      <c r="DU154">
        <f>89.52278424</f>
        <v>89.522784239999993</v>
      </c>
    </row>
    <row r="155" spans="1:125">
      <c r="A155" t="str">
        <f>"    Office REITs"</f>
        <v xml:space="preserve">    Office REITs</v>
      </c>
      <c r="B155" t="str">
        <f>"RECFAVOF Index"</f>
        <v>RECFAVOF Index</v>
      </c>
      <c r="C155" t="str">
        <f>"PR005"</f>
        <v>PR005</v>
      </c>
      <c r="D155" t="str">
        <f>"PX_LAST"</f>
        <v>PX_LAST</v>
      </c>
      <c r="E155" t="str">
        <f>"动态"</f>
        <v>动态</v>
      </c>
      <c r="F155">
        <f ca="1">IF(AND(ISNUMBER($F$325),$B$183=1),$F$325,HLOOKUP(INDIRECT(ADDRESS(2,COLUMN())),OFFSET($BN$2,0,0,ROW()-1,60),ROW()-1,FALSE))</f>
        <v>91.855484039999993</v>
      </c>
      <c r="G155">
        <f ca="1">IF(AND(ISNUMBER($G$325),$B$183=1),$G$325,HLOOKUP(INDIRECT(ADDRESS(2,COLUMN())),OFFSET($BN$2,0,0,ROW()-1,60),ROW()-1,FALSE))</f>
        <v>91.344438729999993</v>
      </c>
      <c r="H155">
        <f ca="1">IF(AND(ISNUMBER($H$325),$B$183=1),$H$325,HLOOKUP(INDIRECT(ADDRESS(2,COLUMN())),OFFSET($BN$2,0,0,ROW()-1,60),ROW()-1,FALSE))</f>
        <v>91.186470130000004</v>
      </c>
      <c r="I155">
        <f ca="1">IF(AND(ISNUMBER($I$325),$B$183=1),$I$325,HLOOKUP(INDIRECT(ADDRESS(2,COLUMN())),OFFSET($BN$2,0,0,ROW()-1,60),ROW()-1,FALSE))</f>
        <v>90.980479829999993</v>
      </c>
      <c r="J155">
        <f ca="1">IF(AND(ISNUMBER($J$325),$B$183=1),$J$325,HLOOKUP(INDIRECT(ADDRESS(2,COLUMN())),OFFSET($BN$2,0,0,ROW()-1,60),ROW()-1,FALSE))</f>
        <v>91.929307019999996</v>
      </c>
      <c r="K155">
        <f ca="1">IF(AND(ISNUMBER($K$325),$B$183=1),$K$325,HLOOKUP(INDIRECT(ADDRESS(2,COLUMN())),OFFSET($BN$2,0,0,ROW()-1,60),ROW()-1,FALSE))</f>
        <v>91.138496459999999</v>
      </c>
      <c r="L155">
        <f ca="1">IF(AND(ISNUMBER($L$325),$B$183=1),$L$325,HLOOKUP(INDIRECT(ADDRESS(2,COLUMN())),OFFSET($BN$2,0,0,ROW()-1,60),ROW()-1,FALSE))</f>
        <v>91.214136569999994</v>
      </c>
      <c r="M155">
        <f ca="1">IF(AND(ISNUMBER($M$325),$B$183=1),$M$325,HLOOKUP(INDIRECT(ADDRESS(2,COLUMN())),OFFSET($BN$2,0,0,ROW()-1,60),ROW()-1,FALSE))</f>
        <v>92.029696209999997</v>
      </c>
      <c r="N155">
        <f ca="1">IF(AND(ISNUMBER($N$325),$B$183=1),$N$325,HLOOKUP(INDIRECT(ADDRESS(2,COLUMN())),OFFSET($BN$2,0,0,ROW()-1,60),ROW()-1,FALSE))</f>
        <v>91.685472700000005</v>
      </c>
      <c r="O155">
        <f ca="1">IF(AND(ISNUMBER($O$325),$B$183=1),$O$325,HLOOKUP(INDIRECT(ADDRESS(2,COLUMN())),OFFSET($BN$2,0,0,ROW()-1,60),ROW()-1,FALSE))</f>
        <v>91.275559270000002</v>
      </c>
      <c r="P155">
        <f ca="1">IF(AND(ISNUMBER($P$325),$B$183=1),$P$325,HLOOKUP(INDIRECT(ADDRESS(2,COLUMN())),OFFSET($BN$2,0,0,ROW()-1,60),ROW()-1,FALSE))</f>
        <v>91.399770889999999</v>
      </c>
      <c r="Q155">
        <f ca="1">IF(AND(ISNUMBER($Q$325),$B$183=1),$Q$325,HLOOKUP(INDIRECT(ADDRESS(2,COLUMN())),OFFSET($BN$2,0,0,ROW()-1,60),ROW()-1,FALSE))</f>
        <v>90.663645130000006</v>
      </c>
      <c r="R155">
        <f ca="1">IF(AND(ISNUMBER($R$325),$B$183=1),$R$325,HLOOKUP(INDIRECT(ADDRESS(2,COLUMN())),OFFSET($BN$2,0,0,ROW()-1,60),ROW()-1,FALSE))</f>
        <v>90.686209919999996</v>
      </c>
      <c r="S155">
        <f ca="1">IF(AND(ISNUMBER($S$325),$B$183=1),$S$325,HLOOKUP(INDIRECT(ADDRESS(2,COLUMN())),OFFSET($BN$2,0,0,ROW()-1,60),ROW()-1,FALSE))</f>
        <v>90.554403649999998</v>
      </c>
      <c r="T155">
        <f ca="1">IF(AND(ISNUMBER($T$325),$B$183=1),$T$325,HLOOKUP(INDIRECT(ADDRESS(2,COLUMN())),OFFSET($BN$2,0,0,ROW()-1,60),ROW()-1,FALSE))</f>
        <v>90.779080210000004</v>
      </c>
      <c r="U155">
        <f ca="1">IF(AND(ISNUMBER($U$325),$B$183=1),$U$325,HLOOKUP(INDIRECT(ADDRESS(2,COLUMN())),OFFSET($BN$2,0,0,ROW()-1,60),ROW()-1,FALSE))</f>
        <v>90.846091909999998</v>
      </c>
      <c r="V155">
        <f ca="1">IF(AND(ISNUMBER($V$325),$B$183=1),$V$325,HLOOKUP(INDIRECT(ADDRESS(2,COLUMN())),OFFSET($BN$2,0,0,ROW()-1,60),ROW()-1,FALSE))</f>
        <v>91.176086049999995</v>
      </c>
      <c r="W155">
        <f ca="1">IF(AND(ISNUMBER($W$325),$B$183=1),$W$325,HLOOKUP(INDIRECT(ADDRESS(2,COLUMN())),OFFSET($BN$2,0,0,ROW()-1,60),ROW()-1,FALSE))</f>
        <v>91.002148320000003</v>
      </c>
      <c r="X155">
        <f ca="1">IF(AND(ISNUMBER($X$325),$B$183=1),$X$325,HLOOKUP(INDIRECT(ADDRESS(2,COLUMN())),OFFSET($BN$2,0,0,ROW()-1,60),ROW()-1,FALSE))</f>
        <v>90.331488059999998</v>
      </c>
      <c r="Y155">
        <f ca="1">IF(AND(ISNUMBER($Y$325),$B$183=1),$Y$325,HLOOKUP(INDIRECT(ADDRESS(2,COLUMN())),OFFSET($BN$2,0,0,ROW()-1,60),ROW()-1,FALSE))</f>
        <v>89.678297520000001</v>
      </c>
      <c r="Z155">
        <f ca="1">IF(AND(ISNUMBER($Z$325),$B$183=1),$Z$325,HLOOKUP(INDIRECT(ADDRESS(2,COLUMN())),OFFSET($BN$2,0,0,ROW()-1,60),ROW()-1,FALSE))</f>
        <v>89.829140960000004</v>
      </c>
      <c r="AA155">
        <f ca="1">IF(AND(ISNUMBER($AA$325),$B$183=1),$AA$325,HLOOKUP(INDIRECT(ADDRESS(2,COLUMN())),OFFSET($BN$2,0,0,ROW()-1,60),ROW()-1,FALSE))</f>
        <v>88.741269070000001</v>
      </c>
      <c r="AB155">
        <f ca="1">IF(AND(ISNUMBER($AB$325),$B$183=1),$AB$325,HLOOKUP(INDIRECT(ADDRESS(2,COLUMN())),OFFSET($BN$2,0,0,ROW()-1,60),ROW()-1,FALSE))</f>
        <v>88.95819865</v>
      </c>
      <c r="AC155">
        <f ca="1">IF(AND(ISNUMBER($AC$325),$B$183=1),$AC$325,HLOOKUP(INDIRECT(ADDRESS(2,COLUMN())),OFFSET($BN$2,0,0,ROW()-1,60),ROW()-1,FALSE))</f>
        <v>88.931884789999998</v>
      </c>
      <c r="AD155">
        <f ca="1">IF(AND(ISNUMBER($AD$325),$B$183=1),$AD$325,HLOOKUP(INDIRECT(ADDRESS(2,COLUMN())),OFFSET($BN$2,0,0,ROW()-1,60),ROW()-1,FALSE))</f>
        <v>88.658478970000004</v>
      </c>
      <c r="AE155">
        <f ca="1">IF(AND(ISNUMBER($AE$325),$B$183=1),$AE$325,HLOOKUP(INDIRECT(ADDRESS(2,COLUMN())),OFFSET($BN$2,0,0,ROW()-1,60),ROW()-1,FALSE))</f>
        <v>88.383146670000002</v>
      </c>
      <c r="AF155">
        <f ca="1">IF(AND(ISNUMBER($AF$325),$B$183=1),$AF$325,HLOOKUP(INDIRECT(ADDRESS(2,COLUMN())),OFFSET($BN$2,0,0,ROW()-1,60),ROW()-1,FALSE))</f>
        <v>88.595616120000003</v>
      </c>
      <c r="AG155">
        <f ca="1">IF(AND(ISNUMBER($AG$325),$B$183=1),$AG$325,HLOOKUP(INDIRECT(ADDRESS(2,COLUMN())),OFFSET($BN$2,0,0,ROW()-1,60),ROW()-1,FALSE))</f>
        <v>88.019002610000001</v>
      </c>
      <c r="AH155">
        <f ca="1">IF(AND(ISNUMBER($AH$325),$B$183=1),$AH$325,HLOOKUP(INDIRECT(ADDRESS(2,COLUMN())),OFFSET($BN$2,0,0,ROW()-1,60),ROW()-1,FALSE))</f>
        <v>88.675381759999993</v>
      </c>
      <c r="AI155">
        <f ca="1">IF(AND(ISNUMBER($AI$325),$B$183=1),$AI$325,HLOOKUP(INDIRECT(ADDRESS(2,COLUMN())),OFFSET($BN$2,0,0,ROW()-1,60),ROW()-1,FALSE))</f>
        <v>87.918039620000002</v>
      </c>
      <c r="AJ155">
        <f ca="1">IF(AND(ISNUMBER($AJ$325),$B$183=1),$AJ$325,HLOOKUP(INDIRECT(ADDRESS(2,COLUMN())),OFFSET($BN$2,0,0,ROW()-1,60),ROW()-1,FALSE))</f>
        <v>87.975553410000003</v>
      </c>
      <c r="AK155">
        <f ca="1">IF(AND(ISNUMBER($AK$325),$B$183=1),$AK$325,HLOOKUP(INDIRECT(ADDRESS(2,COLUMN())),OFFSET($BN$2,0,0,ROW()-1,60),ROW()-1,FALSE))</f>
        <v>87.839192569999994</v>
      </c>
      <c r="AL155">
        <f ca="1">IF(AND(ISNUMBER($AL$325),$B$183=1),$AL$325,HLOOKUP(INDIRECT(ADDRESS(2,COLUMN())),OFFSET($BN$2,0,0,ROW()-1,60),ROW()-1,FALSE))</f>
        <v>88.732352809999995</v>
      </c>
      <c r="AM155">
        <f ca="1">IF(AND(ISNUMBER($AM$325),$B$183=1),$AM$325,HLOOKUP(INDIRECT(ADDRESS(2,COLUMN())),OFFSET($BN$2,0,0,ROW()-1,60),ROW()-1,FALSE))</f>
        <v>88.712703320000003</v>
      </c>
      <c r="AN155">
        <f ca="1">IF(AND(ISNUMBER($AN$325),$B$183=1),$AN$325,HLOOKUP(INDIRECT(ADDRESS(2,COLUMN())),OFFSET($BN$2,0,0,ROW()-1,60),ROW()-1,FALSE))</f>
        <v>89.133439050000007</v>
      </c>
      <c r="AO155">
        <f ca="1">IF(AND(ISNUMBER($AO$325),$B$183=1),$AO$325,HLOOKUP(INDIRECT(ADDRESS(2,COLUMN())),OFFSET($BN$2,0,0,ROW()-1,60),ROW()-1,FALSE))</f>
        <v>90.038582469999994</v>
      </c>
      <c r="AP155">
        <f ca="1">IF(AND(ISNUMBER($AP$325),$B$183=1),$AP$325,HLOOKUP(INDIRECT(ADDRESS(2,COLUMN())),OFFSET($BN$2,0,0,ROW()-1,60),ROW()-1,FALSE))</f>
        <v>90.768096999999997</v>
      </c>
      <c r="AQ155">
        <f ca="1">IF(AND(ISNUMBER($AQ$325),$B$183=1),$AQ$325,HLOOKUP(INDIRECT(ADDRESS(2,COLUMN())),OFFSET($BN$2,0,0,ROW()-1,60),ROW()-1,FALSE))</f>
        <v>91.285400460000005</v>
      </c>
      <c r="AR155">
        <f ca="1">IF(AND(ISNUMBER($AR$325),$B$183=1),$AR$325,HLOOKUP(INDIRECT(ADDRESS(2,COLUMN())),OFFSET($BN$2,0,0,ROW()-1,60),ROW()-1,FALSE))</f>
        <v>91.416728989999996</v>
      </c>
      <c r="AS155">
        <f ca="1">IF(AND(ISNUMBER($AS$325),$B$183=1),$AS$325,HLOOKUP(INDIRECT(ADDRESS(2,COLUMN())),OFFSET($BN$2,0,0,ROW()-1,60),ROW()-1,FALSE))</f>
        <v>91.497210280000004</v>
      </c>
      <c r="AT155">
        <f ca="1">IF(AND(ISNUMBER($AT$325),$B$183=1),$AT$325,HLOOKUP(INDIRECT(ADDRESS(2,COLUMN())),OFFSET($BN$2,0,0,ROW()-1,60),ROW()-1,FALSE))</f>
        <v>91.854679599999997</v>
      </c>
      <c r="AU155">
        <f ca="1">IF(AND(ISNUMBER($AU$325),$B$183=1),$AU$325,HLOOKUP(INDIRECT(ADDRESS(2,COLUMN())),OFFSET($BN$2,0,0,ROW()-1,60),ROW()-1,FALSE))</f>
        <v>91.412150600000004</v>
      </c>
      <c r="AV155">
        <f ca="1">IF(AND(ISNUMBER($AV$325),$B$183=1),$AV$325,HLOOKUP(INDIRECT(ADDRESS(2,COLUMN())),OFFSET($BN$2,0,0,ROW()-1,60),ROW()-1,FALSE))</f>
        <v>91.105825620000005</v>
      </c>
      <c r="AW155">
        <f ca="1">IF(AND(ISNUMBER($AW$325),$B$183=1),$AW$325,HLOOKUP(INDIRECT(ADDRESS(2,COLUMN())),OFFSET($BN$2,0,0,ROW()-1,60),ROW()-1,FALSE))</f>
        <v>91.11459223</v>
      </c>
      <c r="AX155">
        <f ca="1">IF(AND(ISNUMBER($AX$325),$B$183=1),$AX$325,HLOOKUP(INDIRECT(ADDRESS(2,COLUMN())),OFFSET($BN$2,0,0,ROW()-1,60),ROW()-1,FALSE))</f>
        <v>91.719706090000003</v>
      </c>
      <c r="AY155">
        <f ca="1">IF(AND(ISNUMBER($AY$325),$B$183=1),$AY$325,HLOOKUP(INDIRECT(ADDRESS(2,COLUMN())),OFFSET($BN$2,0,0,ROW()-1,60),ROW()-1,FALSE))</f>
        <v>91.433660990000007</v>
      </c>
      <c r="AZ155">
        <f ca="1">IF(AND(ISNUMBER($AZ$325),$B$183=1),$AZ$325,HLOOKUP(INDIRECT(ADDRESS(2,COLUMN())),OFFSET($BN$2,0,0,ROW()-1,60),ROW()-1,FALSE))</f>
        <v>90.909155170000005</v>
      </c>
      <c r="BA155">
        <f ca="1">IF(AND(ISNUMBER($BA$325),$B$183=1),$BA$325,HLOOKUP(INDIRECT(ADDRESS(2,COLUMN())),OFFSET($BN$2,0,0,ROW()-1,60),ROW()-1,FALSE))</f>
        <v>90.984844480000007</v>
      </c>
      <c r="BB155">
        <f ca="1">IF(AND(ISNUMBER($BB$325),$B$183=1),$BB$325,HLOOKUP(INDIRECT(ADDRESS(2,COLUMN())),OFFSET($BN$2,0,0,ROW()-1,60),ROW()-1,FALSE))</f>
        <v>90.844650619999996</v>
      </c>
      <c r="BC155">
        <f ca="1">IF(AND(ISNUMBER($BC$325),$B$183=1),$BC$325,HLOOKUP(INDIRECT(ADDRESS(2,COLUMN())),OFFSET($BN$2,0,0,ROW()-1,60),ROW()-1,FALSE))</f>
        <v>90.329008680000001</v>
      </c>
      <c r="BD155">
        <f ca="1">IF(AND(ISNUMBER($BD$325),$B$183=1),$BD$325,HLOOKUP(INDIRECT(ADDRESS(2,COLUMN())),OFFSET($BN$2,0,0,ROW()-1,60),ROW()-1,FALSE))</f>
        <v>89.803835280000001</v>
      </c>
      <c r="BE155">
        <f ca="1">IF(AND(ISNUMBER($BE$325),$B$183=1),$BE$325,HLOOKUP(INDIRECT(ADDRESS(2,COLUMN())),OFFSET($BN$2,0,0,ROW()-1,60),ROW()-1,FALSE))</f>
        <v>90.110291770000003</v>
      </c>
      <c r="BF155">
        <f ca="1">IF(AND(ISNUMBER($BF$325),$B$183=1),$BF$325,HLOOKUP(INDIRECT(ADDRESS(2,COLUMN())),OFFSET($BN$2,0,0,ROW()-1,60),ROW()-1,FALSE))</f>
        <v>90.412511420000001</v>
      </c>
      <c r="BG155">
        <f ca="1">IF(AND(ISNUMBER($BG$325),$B$183=1),$BG$325,HLOOKUP(INDIRECT(ADDRESS(2,COLUMN())),OFFSET($BN$2,0,0,ROW()-1,60),ROW()-1,FALSE))</f>
        <v>90.309410850000006</v>
      </c>
      <c r="BH155">
        <f ca="1">IF(AND(ISNUMBER($BH$325),$B$183=1),$BH$325,HLOOKUP(INDIRECT(ADDRESS(2,COLUMN())),OFFSET($BN$2,0,0,ROW()-1,60),ROW()-1,FALSE))</f>
        <v>90.261910490000005</v>
      </c>
      <c r="BI155">
        <f ca="1">IF(AND(ISNUMBER($BI$325),$B$183=1),$BI$325,HLOOKUP(INDIRECT(ADDRESS(2,COLUMN())),OFFSET($BN$2,0,0,ROW()-1,60),ROW()-1,FALSE))</f>
        <v>89.715663390000003</v>
      </c>
      <c r="BJ155">
        <f ca="1">IF(AND(ISNUMBER($BJ$325),$B$183=1),$BJ$325,HLOOKUP(INDIRECT(ADDRESS(2,COLUMN())),OFFSET($BN$2,0,0,ROW()-1,60),ROW()-1,FALSE))</f>
        <v>90.596995849999999</v>
      </c>
      <c r="BK155">
        <f ca="1">IF(AND(ISNUMBER($BK$325),$B$183=1),$BK$325,HLOOKUP(INDIRECT(ADDRESS(2,COLUMN())),OFFSET($BN$2,0,0,ROW()-1,60),ROW()-1,FALSE))</f>
        <v>89.717458629999996</v>
      </c>
      <c r="BL155">
        <f ca="1">IF(AND(ISNUMBER($BL$325),$B$183=1),$BL$325,HLOOKUP(INDIRECT(ADDRESS(2,COLUMN())),OFFSET($BN$2,0,0,ROW()-1,60),ROW()-1,FALSE))</f>
        <v>90.290558009999998</v>
      </c>
      <c r="BM155">
        <f ca="1">IF(AND(ISNUMBER($BM$325),$B$183=1),$BM$325,HLOOKUP(INDIRECT(ADDRESS(2,COLUMN())),OFFSET($BN$2,0,0,ROW()-1,60),ROW()-1,FALSE))</f>
        <v>90.923698439999995</v>
      </c>
      <c r="BN155">
        <f>91.85548404</f>
        <v>91.855484039999993</v>
      </c>
      <c r="BO155">
        <f>91.34443873</f>
        <v>91.344438729999993</v>
      </c>
      <c r="BP155">
        <f>91.18647013</f>
        <v>91.186470130000004</v>
      </c>
      <c r="BQ155">
        <f>90.98047983</f>
        <v>90.980479829999993</v>
      </c>
      <c r="BR155">
        <f>91.92930702</f>
        <v>91.929307019999996</v>
      </c>
      <c r="BS155">
        <f>91.13849646</f>
        <v>91.138496459999999</v>
      </c>
      <c r="BT155">
        <f>91.21413657</f>
        <v>91.214136569999994</v>
      </c>
      <c r="BU155">
        <f>92.02969621</f>
        <v>92.029696209999997</v>
      </c>
      <c r="BV155">
        <f>91.6854727</f>
        <v>91.685472700000005</v>
      </c>
      <c r="BW155">
        <f>91.27555927</f>
        <v>91.275559270000002</v>
      </c>
      <c r="BX155">
        <f>91.39977089</f>
        <v>91.399770889999999</v>
      </c>
      <c r="BY155">
        <f>90.66364513</f>
        <v>90.663645130000006</v>
      </c>
      <c r="BZ155">
        <f>90.68620992</f>
        <v>90.686209919999996</v>
      </c>
      <c r="CA155">
        <f>90.55440365</f>
        <v>90.554403649999998</v>
      </c>
      <c r="CB155">
        <f>90.77908021</f>
        <v>90.779080210000004</v>
      </c>
      <c r="CC155">
        <f>90.84609191</f>
        <v>90.846091909999998</v>
      </c>
      <c r="CD155">
        <f>91.17608605</f>
        <v>91.176086049999995</v>
      </c>
      <c r="CE155">
        <f>91.00214832</f>
        <v>91.002148320000003</v>
      </c>
      <c r="CF155">
        <f>90.33148806</f>
        <v>90.331488059999998</v>
      </c>
      <c r="CG155">
        <f>89.67829752</f>
        <v>89.678297520000001</v>
      </c>
      <c r="CH155">
        <f>89.82914096</f>
        <v>89.829140960000004</v>
      </c>
      <c r="CI155">
        <f>88.74126907</f>
        <v>88.741269070000001</v>
      </c>
      <c r="CJ155">
        <f>88.95819865</f>
        <v>88.95819865</v>
      </c>
      <c r="CK155">
        <f>88.93188479</f>
        <v>88.931884789999998</v>
      </c>
      <c r="CL155">
        <f>88.65847897</f>
        <v>88.658478970000004</v>
      </c>
      <c r="CM155">
        <f>88.38314667</f>
        <v>88.383146670000002</v>
      </c>
      <c r="CN155">
        <f>88.59561612</f>
        <v>88.595616120000003</v>
      </c>
      <c r="CO155">
        <f>88.01900261</f>
        <v>88.019002610000001</v>
      </c>
      <c r="CP155">
        <f>88.67538176</f>
        <v>88.675381759999993</v>
      </c>
      <c r="CQ155">
        <f>87.91803962</f>
        <v>87.918039620000002</v>
      </c>
      <c r="CR155">
        <f>87.97555341</f>
        <v>87.975553410000003</v>
      </c>
      <c r="CS155">
        <f>87.83919257</f>
        <v>87.839192569999994</v>
      </c>
      <c r="CT155">
        <f>88.73235281</f>
        <v>88.732352809999995</v>
      </c>
      <c r="CU155">
        <f>88.71270332</f>
        <v>88.712703320000003</v>
      </c>
      <c r="CV155">
        <f>89.13343905</f>
        <v>89.133439050000007</v>
      </c>
      <c r="CW155">
        <f>90.03858247</f>
        <v>90.038582469999994</v>
      </c>
      <c r="CX155">
        <f>90.768097</f>
        <v>90.768096999999997</v>
      </c>
      <c r="CY155">
        <f>91.28540046</f>
        <v>91.285400460000005</v>
      </c>
      <c r="CZ155">
        <f>91.41672899</f>
        <v>91.416728989999996</v>
      </c>
      <c r="DA155">
        <f>91.49721028</f>
        <v>91.497210280000004</v>
      </c>
      <c r="DB155">
        <f>91.8546796</f>
        <v>91.854679599999997</v>
      </c>
      <c r="DC155">
        <f>91.4121506</f>
        <v>91.412150600000004</v>
      </c>
      <c r="DD155">
        <f>91.10582562</f>
        <v>91.105825620000005</v>
      </c>
      <c r="DE155">
        <f>91.11459223</f>
        <v>91.11459223</v>
      </c>
      <c r="DF155">
        <f>91.71970609</f>
        <v>91.719706090000003</v>
      </c>
      <c r="DG155">
        <f>91.43366099</f>
        <v>91.433660990000007</v>
      </c>
      <c r="DH155">
        <f>90.90915517</f>
        <v>90.909155170000005</v>
      </c>
      <c r="DI155">
        <f>90.98484448</f>
        <v>90.984844480000007</v>
      </c>
      <c r="DJ155">
        <f>90.84465062</f>
        <v>90.844650619999996</v>
      </c>
      <c r="DK155">
        <f>90.32900868</f>
        <v>90.329008680000001</v>
      </c>
      <c r="DL155">
        <f>89.80383528</f>
        <v>89.803835280000001</v>
      </c>
      <c r="DM155">
        <f>90.11029177</f>
        <v>90.110291770000003</v>
      </c>
      <c r="DN155">
        <f>90.41251142</f>
        <v>90.412511420000001</v>
      </c>
      <c r="DO155">
        <f>90.30941085</f>
        <v>90.309410850000006</v>
      </c>
      <c r="DP155">
        <f>90.26191049</f>
        <v>90.261910490000005</v>
      </c>
      <c r="DQ155">
        <f>89.71566339</f>
        <v>89.715663390000003</v>
      </c>
      <c r="DR155">
        <f>90.59699585</f>
        <v>90.596995849999999</v>
      </c>
      <c r="DS155">
        <f>89.71745863</f>
        <v>89.717458629999996</v>
      </c>
      <c r="DT155">
        <f>90.29055801</f>
        <v>90.290558009999998</v>
      </c>
      <c r="DU155">
        <f>90.92369844</f>
        <v>90.923698439999995</v>
      </c>
    </row>
    <row r="156" spans="1:125">
      <c r="A156" t="str">
        <f>"    "</f>
        <v xml:space="preserve">    </v>
      </c>
      <c r="B156" t="str">
        <f>""</f>
        <v/>
      </c>
      <c r="E156" t="str">
        <f>"静态"</f>
        <v>静态</v>
      </c>
      <c r="F156" t="str">
        <f t="shared" ref="F156:O157" ca="1" si="39">HLOOKUP(INDIRECT(ADDRESS(2,COLUMN())),OFFSET($BN$2,0,0,ROW()-1,60),ROW()-1,FALSE)</f>
        <v/>
      </c>
      <c r="G156" t="str">
        <f t="shared" ca="1" si="39"/>
        <v/>
      </c>
      <c r="H156" t="str">
        <f t="shared" ca="1" si="39"/>
        <v/>
      </c>
      <c r="I156" t="str">
        <f t="shared" ca="1" si="39"/>
        <v/>
      </c>
      <c r="J156" t="str">
        <f t="shared" ca="1" si="39"/>
        <v/>
      </c>
      <c r="K156" t="str">
        <f t="shared" ca="1" si="39"/>
        <v/>
      </c>
      <c r="L156" t="str">
        <f t="shared" ca="1" si="39"/>
        <v/>
      </c>
      <c r="M156" t="str">
        <f t="shared" ca="1" si="39"/>
        <v/>
      </c>
      <c r="N156" t="str">
        <f t="shared" ca="1" si="39"/>
        <v/>
      </c>
      <c r="O156" t="str">
        <f t="shared" ca="1" si="39"/>
        <v/>
      </c>
      <c r="P156" t="str">
        <f t="shared" ref="P156:Y157" ca="1" si="40">HLOOKUP(INDIRECT(ADDRESS(2,COLUMN())),OFFSET($BN$2,0,0,ROW()-1,60),ROW()-1,FALSE)</f>
        <v/>
      </c>
      <c r="Q156" t="str">
        <f t="shared" ca="1" si="40"/>
        <v/>
      </c>
      <c r="R156" t="str">
        <f t="shared" ca="1" si="40"/>
        <v/>
      </c>
      <c r="S156" t="str">
        <f t="shared" ca="1" si="40"/>
        <v/>
      </c>
      <c r="T156" t="str">
        <f t="shared" ca="1" si="40"/>
        <v/>
      </c>
      <c r="U156" t="str">
        <f t="shared" ca="1" si="40"/>
        <v/>
      </c>
      <c r="V156" t="str">
        <f t="shared" ca="1" si="40"/>
        <v/>
      </c>
      <c r="W156" t="str">
        <f t="shared" ca="1" si="40"/>
        <v/>
      </c>
      <c r="X156" t="str">
        <f t="shared" ca="1" si="40"/>
        <v/>
      </c>
      <c r="Y156" t="str">
        <f t="shared" ca="1" si="40"/>
        <v/>
      </c>
      <c r="Z156" t="str">
        <f t="shared" ref="Z156:AI157" ca="1" si="41">HLOOKUP(INDIRECT(ADDRESS(2,COLUMN())),OFFSET($BN$2,0,0,ROW()-1,60),ROW()-1,FALSE)</f>
        <v/>
      </c>
      <c r="AA156" t="str">
        <f t="shared" ca="1" si="41"/>
        <v/>
      </c>
      <c r="AB156" t="str">
        <f t="shared" ca="1" si="41"/>
        <v/>
      </c>
      <c r="AC156" t="str">
        <f t="shared" ca="1" si="41"/>
        <v/>
      </c>
      <c r="AD156" t="str">
        <f t="shared" ca="1" si="41"/>
        <v/>
      </c>
      <c r="AE156" t="str">
        <f t="shared" ca="1" si="41"/>
        <v/>
      </c>
      <c r="AF156" t="str">
        <f t="shared" ca="1" si="41"/>
        <v/>
      </c>
      <c r="AG156" t="str">
        <f t="shared" ca="1" si="41"/>
        <v/>
      </c>
      <c r="AH156" t="str">
        <f t="shared" ca="1" si="41"/>
        <v/>
      </c>
      <c r="AI156" t="str">
        <f t="shared" ca="1" si="41"/>
        <v/>
      </c>
      <c r="AJ156" t="str">
        <f t="shared" ref="AJ156:AS157" ca="1" si="42">HLOOKUP(INDIRECT(ADDRESS(2,COLUMN())),OFFSET($BN$2,0,0,ROW()-1,60),ROW()-1,FALSE)</f>
        <v/>
      </c>
      <c r="AK156" t="str">
        <f t="shared" ca="1" si="42"/>
        <v/>
      </c>
      <c r="AL156" t="str">
        <f t="shared" ca="1" si="42"/>
        <v/>
      </c>
      <c r="AM156" t="str">
        <f t="shared" ca="1" si="42"/>
        <v/>
      </c>
      <c r="AN156" t="str">
        <f t="shared" ca="1" si="42"/>
        <v/>
      </c>
      <c r="AO156" t="str">
        <f t="shared" ca="1" si="42"/>
        <v/>
      </c>
      <c r="AP156" t="str">
        <f t="shared" ca="1" si="42"/>
        <v/>
      </c>
      <c r="AQ156" t="str">
        <f t="shared" ca="1" si="42"/>
        <v/>
      </c>
      <c r="AR156" t="str">
        <f t="shared" ca="1" si="42"/>
        <v/>
      </c>
      <c r="AS156" t="str">
        <f t="shared" ca="1" si="42"/>
        <v/>
      </c>
      <c r="AT156" t="str">
        <f t="shared" ref="AT156:BC157" ca="1" si="43">HLOOKUP(INDIRECT(ADDRESS(2,COLUMN())),OFFSET($BN$2,0,0,ROW()-1,60),ROW()-1,FALSE)</f>
        <v/>
      </c>
      <c r="AU156" t="str">
        <f t="shared" ca="1" si="43"/>
        <v/>
      </c>
      <c r="AV156" t="str">
        <f t="shared" ca="1" si="43"/>
        <v/>
      </c>
      <c r="AW156" t="str">
        <f t="shared" ca="1" si="43"/>
        <v/>
      </c>
      <c r="AX156" t="str">
        <f t="shared" ca="1" si="43"/>
        <v/>
      </c>
      <c r="AY156" t="str">
        <f t="shared" ca="1" si="43"/>
        <v/>
      </c>
      <c r="AZ156" t="str">
        <f t="shared" ca="1" si="43"/>
        <v/>
      </c>
      <c r="BA156" t="str">
        <f t="shared" ca="1" si="43"/>
        <v/>
      </c>
      <c r="BB156" t="str">
        <f t="shared" ca="1" si="43"/>
        <v/>
      </c>
      <c r="BC156" t="str">
        <f t="shared" ca="1" si="43"/>
        <v/>
      </c>
      <c r="BD156" t="str">
        <f t="shared" ref="BD156:BM157" ca="1" si="44">HLOOKUP(INDIRECT(ADDRESS(2,COLUMN())),OFFSET($BN$2,0,0,ROW()-1,60),ROW()-1,FALSE)</f>
        <v/>
      </c>
      <c r="BE156" t="str">
        <f t="shared" ca="1" si="44"/>
        <v/>
      </c>
      <c r="BF156" t="str">
        <f t="shared" ca="1" si="44"/>
        <v/>
      </c>
      <c r="BG156" t="str">
        <f t="shared" ca="1" si="44"/>
        <v/>
      </c>
      <c r="BH156" t="str">
        <f t="shared" ca="1" si="44"/>
        <v/>
      </c>
      <c r="BI156" t="str">
        <f t="shared" ca="1" si="44"/>
        <v/>
      </c>
      <c r="BJ156" t="str">
        <f t="shared" ca="1" si="44"/>
        <v/>
      </c>
      <c r="BK156" t="str">
        <f t="shared" ca="1" si="44"/>
        <v/>
      </c>
      <c r="BL156" t="str">
        <f t="shared" ca="1" si="44"/>
        <v/>
      </c>
      <c r="BM156" t="str">
        <f t="shared" ca="1" si="44"/>
        <v/>
      </c>
      <c r="BN156" t="str">
        <f>""</f>
        <v/>
      </c>
      <c r="BO156" t="str">
        <f>""</f>
        <v/>
      </c>
      <c r="BP156" t="str">
        <f>""</f>
        <v/>
      </c>
      <c r="BQ156" t="str">
        <f>""</f>
        <v/>
      </c>
      <c r="BR156" t="str">
        <f>""</f>
        <v/>
      </c>
      <c r="BS156" t="str">
        <f>""</f>
        <v/>
      </c>
      <c r="BT156" t="str">
        <f>""</f>
        <v/>
      </c>
      <c r="BU156" t="str">
        <f>""</f>
        <v/>
      </c>
      <c r="BV156" t="str">
        <f>""</f>
        <v/>
      </c>
      <c r="BW156" t="str">
        <f>""</f>
        <v/>
      </c>
      <c r="BX156" t="str">
        <f>""</f>
        <v/>
      </c>
      <c r="BY156" t="str">
        <f>""</f>
        <v/>
      </c>
      <c r="BZ156" t="str">
        <f>""</f>
        <v/>
      </c>
      <c r="CA156" t="str">
        <f>""</f>
        <v/>
      </c>
      <c r="CB156" t="str">
        <f>""</f>
        <v/>
      </c>
      <c r="CC156" t="str">
        <f>""</f>
        <v/>
      </c>
      <c r="CD156" t="str">
        <f>""</f>
        <v/>
      </c>
      <c r="CE156" t="str">
        <f>""</f>
        <v/>
      </c>
      <c r="CF156" t="str">
        <f>""</f>
        <v/>
      </c>
      <c r="CG156" t="str">
        <f>""</f>
        <v/>
      </c>
      <c r="CH156" t="str">
        <f>""</f>
        <v/>
      </c>
      <c r="CI156" t="str">
        <f>""</f>
        <v/>
      </c>
      <c r="CJ156" t="str">
        <f>""</f>
        <v/>
      </c>
      <c r="CK156" t="str">
        <f>""</f>
        <v/>
      </c>
      <c r="CL156" t="str">
        <f>""</f>
        <v/>
      </c>
      <c r="CM156" t="str">
        <f>""</f>
        <v/>
      </c>
      <c r="CN156" t="str">
        <f>""</f>
        <v/>
      </c>
      <c r="CO156" t="str">
        <f>""</f>
        <v/>
      </c>
      <c r="CP156" t="str">
        <f>""</f>
        <v/>
      </c>
      <c r="CQ156" t="str">
        <f>""</f>
        <v/>
      </c>
      <c r="CR156" t="str">
        <f>""</f>
        <v/>
      </c>
      <c r="CS156" t="str">
        <f>""</f>
        <v/>
      </c>
      <c r="CT156" t="str">
        <f>""</f>
        <v/>
      </c>
      <c r="CU156" t="str">
        <f>""</f>
        <v/>
      </c>
      <c r="CV156" t="str">
        <f>""</f>
        <v/>
      </c>
      <c r="CW156" t="str">
        <f>""</f>
        <v/>
      </c>
      <c r="CX156" t="str">
        <f>""</f>
        <v/>
      </c>
      <c r="CY156" t="str">
        <f>""</f>
        <v/>
      </c>
      <c r="CZ156" t="str">
        <f>""</f>
        <v/>
      </c>
      <c r="DA156" t="str">
        <f>""</f>
        <v/>
      </c>
      <c r="DB156" t="str">
        <f>""</f>
        <v/>
      </c>
      <c r="DC156" t="str">
        <f>""</f>
        <v/>
      </c>
      <c r="DD156" t="str">
        <f>""</f>
        <v/>
      </c>
      <c r="DE156" t="str">
        <f>""</f>
        <v/>
      </c>
      <c r="DF156" t="str">
        <f>""</f>
        <v/>
      </c>
      <c r="DG156" t="str">
        <f>""</f>
        <v/>
      </c>
      <c r="DH156" t="str">
        <f>""</f>
        <v/>
      </c>
      <c r="DI156" t="str">
        <f>""</f>
        <v/>
      </c>
      <c r="DJ156" t="str">
        <f>""</f>
        <v/>
      </c>
      <c r="DK156" t="str">
        <f>""</f>
        <v/>
      </c>
      <c r="DL156" t="str">
        <f>""</f>
        <v/>
      </c>
      <c r="DM156" t="str">
        <f>""</f>
        <v/>
      </c>
      <c r="DN156" t="str">
        <f>""</f>
        <v/>
      </c>
      <c r="DO156" t="str">
        <f>""</f>
        <v/>
      </c>
      <c r="DP156" t="str">
        <f>""</f>
        <v/>
      </c>
      <c r="DQ156" t="str">
        <f>""</f>
        <v/>
      </c>
      <c r="DR156" t="str">
        <f>""</f>
        <v/>
      </c>
      <c r="DS156" t="str">
        <f>""</f>
        <v/>
      </c>
      <c r="DT156" t="str">
        <f>""</f>
        <v/>
      </c>
      <c r="DU156" t="str">
        <f>""</f>
        <v/>
      </c>
    </row>
    <row r="157" spans="1:125">
      <c r="A157" t="str">
        <f>"房地产投资信托关键比率"</f>
        <v>房地产投资信托关键比率</v>
      </c>
      <c r="B157" t="str">
        <f>""</f>
        <v/>
      </c>
      <c r="E157" t="str">
        <f>"静态"</f>
        <v>静态</v>
      </c>
      <c r="F157" t="str">
        <f t="shared" ca="1" si="39"/>
        <v/>
      </c>
      <c r="G157" t="str">
        <f t="shared" ca="1" si="39"/>
        <v/>
      </c>
      <c r="H157" t="str">
        <f t="shared" ca="1" si="39"/>
        <v/>
      </c>
      <c r="I157" t="str">
        <f t="shared" ca="1" si="39"/>
        <v/>
      </c>
      <c r="J157" t="str">
        <f t="shared" ca="1" si="39"/>
        <v/>
      </c>
      <c r="K157" t="str">
        <f t="shared" ca="1" si="39"/>
        <v/>
      </c>
      <c r="L157" t="str">
        <f t="shared" ca="1" si="39"/>
        <v/>
      </c>
      <c r="M157" t="str">
        <f t="shared" ca="1" si="39"/>
        <v/>
      </c>
      <c r="N157" t="str">
        <f t="shared" ca="1" si="39"/>
        <v/>
      </c>
      <c r="O157" t="str">
        <f t="shared" ca="1" si="39"/>
        <v/>
      </c>
      <c r="P157" t="str">
        <f t="shared" ca="1" si="40"/>
        <v/>
      </c>
      <c r="Q157" t="str">
        <f t="shared" ca="1" si="40"/>
        <v/>
      </c>
      <c r="R157" t="str">
        <f t="shared" ca="1" si="40"/>
        <v/>
      </c>
      <c r="S157" t="str">
        <f t="shared" ca="1" si="40"/>
        <v/>
      </c>
      <c r="T157" t="str">
        <f t="shared" ca="1" si="40"/>
        <v/>
      </c>
      <c r="U157" t="str">
        <f t="shared" ca="1" si="40"/>
        <v/>
      </c>
      <c r="V157" t="str">
        <f t="shared" ca="1" si="40"/>
        <v/>
      </c>
      <c r="W157" t="str">
        <f t="shared" ca="1" si="40"/>
        <v/>
      </c>
      <c r="X157" t="str">
        <f t="shared" ca="1" si="40"/>
        <v/>
      </c>
      <c r="Y157" t="str">
        <f t="shared" ca="1" si="40"/>
        <v/>
      </c>
      <c r="Z157" t="str">
        <f t="shared" ca="1" si="41"/>
        <v/>
      </c>
      <c r="AA157" t="str">
        <f t="shared" ca="1" si="41"/>
        <v/>
      </c>
      <c r="AB157" t="str">
        <f t="shared" ca="1" si="41"/>
        <v/>
      </c>
      <c r="AC157" t="str">
        <f t="shared" ca="1" si="41"/>
        <v/>
      </c>
      <c r="AD157" t="str">
        <f t="shared" ca="1" si="41"/>
        <v/>
      </c>
      <c r="AE157" t="str">
        <f t="shared" ca="1" si="41"/>
        <v/>
      </c>
      <c r="AF157" t="str">
        <f t="shared" ca="1" si="41"/>
        <v/>
      </c>
      <c r="AG157" t="str">
        <f t="shared" ca="1" si="41"/>
        <v/>
      </c>
      <c r="AH157" t="str">
        <f t="shared" ca="1" si="41"/>
        <v/>
      </c>
      <c r="AI157" t="str">
        <f t="shared" ca="1" si="41"/>
        <v/>
      </c>
      <c r="AJ157" t="str">
        <f t="shared" ca="1" si="42"/>
        <v/>
      </c>
      <c r="AK157" t="str">
        <f t="shared" ca="1" si="42"/>
        <v/>
      </c>
      <c r="AL157" t="str">
        <f t="shared" ca="1" si="42"/>
        <v/>
      </c>
      <c r="AM157" t="str">
        <f t="shared" ca="1" si="42"/>
        <v/>
      </c>
      <c r="AN157" t="str">
        <f t="shared" ca="1" si="42"/>
        <v/>
      </c>
      <c r="AO157" t="str">
        <f t="shared" ca="1" si="42"/>
        <v/>
      </c>
      <c r="AP157" t="str">
        <f t="shared" ca="1" si="42"/>
        <v/>
      </c>
      <c r="AQ157" t="str">
        <f t="shared" ca="1" si="42"/>
        <v/>
      </c>
      <c r="AR157" t="str">
        <f t="shared" ca="1" si="42"/>
        <v/>
      </c>
      <c r="AS157" t="str">
        <f t="shared" ca="1" si="42"/>
        <v/>
      </c>
      <c r="AT157" t="str">
        <f t="shared" ca="1" si="43"/>
        <v/>
      </c>
      <c r="AU157" t="str">
        <f t="shared" ca="1" si="43"/>
        <v/>
      </c>
      <c r="AV157" t="str">
        <f t="shared" ca="1" si="43"/>
        <v/>
      </c>
      <c r="AW157" t="str">
        <f t="shared" ca="1" si="43"/>
        <v/>
      </c>
      <c r="AX157" t="str">
        <f t="shared" ca="1" si="43"/>
        <v/>
      </c>
      <c r="AY157" t="str">
        <f t="shared" ca="1" si="43"/>
        <v/>
      </c>
      <c r="AZ157" t="str">
        <f t="shared" ca="1" si="43"/>
        <v/>
      </c>
      <c r="BA157" t="str">
        <f t="shared" ca="1" si="43"/>
        <v/>
      </c>
      <c r="BB157" t="str">
        <f t="shared" ca="1" si="43"/>
        <v/>
      </c>
      <c r="BC157" t="str">
        <f t="shared" ca="1" si="43"/>
        <v/>
      </c>
      <c r="BD157" t="str">
        <f t="shared" ca="1" si="44"/>
        <v/>
      </c>
      <c r="BE157" t="str">
        <f t="shared" ca="1" si="44"/>
        <v/>
      </c>
      <c r="BF157" t="str">
        <f t="shared" ca="1" si="44"/>
        <v/>
      </c>
      <c r="BG157" t="str">
        <f t="shared" ca="1" si="44"/>
        <v/>
      </c>
      <c r="BH157" t="str">
        <f t="shared" ca="1" si="44"/>
        <v/>
      </c>
      <c r="BI157" t="str">
        <f t="shared" ca="1" si="44"/>
        <v/>
      </c>
      <c r="BJ157" t="str">
        <f t="shared" ca="1" si="44"/>
        <v/>
      </c>
      <c r="BK157" t="str">
        <f t="shared" ca="1" si="44"/>
        <v/>
      </c>
      <c r="BL157" t="str">
        <f t="shared" ca="1" si="44"/>
        <v/>
      </c>
      <c r="BM157" t="str">
        <f t="shared" ca="1" si="44"/>
        <v/>
      </c>
      <c r="BN157" t="str">
        <f>""</f>
        <v/>
      </c>
      <c r="BO157" t="str">
        <f>""</f>
        <v/>
      </c>
      <c r="BP157" t="str">
        <f>""</f>
        <v/>
      </c>
      <c r="BQ157" t="str">
        <f>""</f>
        <v/>
      </c>
      <c r="BR157" t="str">
        <f>""</f>
        <v/>
      </c>
      <c r="BS157" t="str">
        <f>""</f>
        <v/>
      </c>
      <c r="BT157" t="str">
        <f>""</f>
        <v/>
      </c>
      <c r="BU157" t="str">
        <f>""</f>
        <v/>
      </c>
      <c r="BV157" t="str">
        <f>""</f>
        <v/>
      </c>
      <c r="BW157" t="str">
        <f>""</f>
        <v/>
      </c>
      <c r="BX157" t="str">
        <f>""</f>
        <v/>
      </c>
      <c r="BY157" t="str">
        <f>""</f>
        <v/>
      </c>
      <c r="BZ157" t="str">
        <f>""</f>
        <v/>
      </c>
      <c r="CA157" t="str">
        <f>""</f>
        <v/>
      </c>
      <c r="CB157" t="str">
        <f>""</f>
        <v/>
      </c>
      <c r="CC157" t="str">
        <f>""</f>
        <v/>
      </c>
      <c r="CD157" t="str">
        <f>""</f>
        <v/>
      </c>
      <c r="CE157" t="str">
        <f>""</f>
        <v/>
      </c>
      <c r="CF157" t="str">
        <f>""</f>
        <v/>
      </c>
      <c r="CG157" t="str">
        <f>""</f>
        <v/>
      </c>
      <c r="CH157" t="str">
        <f>""</f>
        <v/>
      </c>
      <c r="CI157" t="str">
        <f>""</f>
        <v/>
      </c>
      <c r="CJ157" t="str">
        <f>""</f>
        <v/>
      </c>
      <c r="CK157" t="str">
        <f>""</f>
        <v/>
      </c>
      <c r="CL157" t="str">
        <f>""</f>
        <v/>
      </c>
      <c r="CM157" t="str">
        <f>""</f>
        <v/>
      </c>
      <c r="CN157" t="str">
        <f>""</f>
        <v/>
      </c>
      <c r="CO157" t="str">
        <f>""</f>
        <v/>
      </c>
      <c r="CP157" t="str">
        <f>""</f>
        <v/>
      </c>
      <c r="CQ157" t="str">
        <f>""</f>
        <v/>
      </c>
      <c r="CR157" t="str">
        <f>""</f>
        <v/>
      </c>
      <c r="CS157" t="str">
        <f>""</f>
        <v/>
      </c>
      <c r="CT157" t="str">
        <f>""</f>
        <v/>
      </c>
      <c r="CU157" t="str">
        <f>""</f>
        <v/>
      </c>
      <c r="CV157" t="str">
        <f>""</f>
        <v/>
      </c>
      <c r="CW157" t="str">
        <f>""</f>
        <v/>
      </c>
      <c r="CX157" t="str">
        <f>""</f>
        <v/>
      </c>
      <c r="CY157" t="str">
        <f>""</f>
        <v/>
      </c>
      <c r="CZ157" t="str">
        <f>""</f>
        <v/>
      </c>
      <c r="DA157" t="str">
        <f>""</f>
        <v/>
      </c>
      <c r="DB157" t="str">
        <f>""</f>
        <v/>
      </c>
      <c r="DC157" t="str">
        <f>""</f>
        <v/>
      </c>
      <c r="DD157" t="str">
        <f>""</f>
        <v/>
      </c>
      <c r="DE157" t="str">
        <f>""</f>
        <v/>
      </c>
      <c r="DF157" t="str">
        <f>""</f>
        <v/>
      </c>
      <c r="DG157" t="str">
        <f>""</f>
        <v/>
      </c>
      <c r="DH157" t="str">
        <f>""</f>
        <v/>
      </c>
      <c r="DI157" t="str">
        <f>""</f>
        <v/>
      </c>
      <c r="DJ157" t="str">
        <f>""</f>
        <v/>
      </c>
      <c r="DK157" t="str">
        <f>""</f>
        <v/>
      </c>
      <c r="DL157" t="str">
        <f>""</f>
        <v/>
      </c>
      <c r="DM157" t="str">
        <f>""</f>
        <v/>
      </c>
      <c r="DN157" t="str">
        <f>""</f>
        <v/>
      </c>
      <c r="DO157" t="str">
        <f>""</f>
        <v/>
      </c>
      <c r="DP157" t="str">
        <f>""</f>
        <v/>
      </c>
      <c r="DQ157" t="str">
        <f>""</f>
        <v/>
      </c>
      <c r="DR157" t="str">
        <f>""</f>
        <v/>
      </c>
      <c r="DS157" t="str">
        <f>""</f>
        <v/>
      </c>
      <c r="DT157" t="str">
        <f>""</f>
        <v/>
      </c>
      <c r="DU157" t="str">
        <f>""</f>
        <v/>
      </c>
    </row>
    <row r="158" spans="1:125">
      <c r="A158" t="str">
        <f>"    NAREIT Average Price-to-FFO - All Equity REITs"</f>
        <v xml:space="preserve">    NAREIT Average Price-to-FFO - All Equity REITs</v>
      </c>
      <c r="B158" t="str">
        <f>"RECFAVPF Index"</f>
        <v>RECFAVPF Index</v>
      </c>
      <c r="C158" t="str">
        <f t="shared" ref="C158:C166" si="45">"PR005"</f>
        <v>PR005</v>
      </c>
      <c r="D158" t="str">
        <f t="shared" ref="D158:D166" si="46">"PX_LAST"</f>
        <v>PX_LAST</v>
      </c>
      <c r="E158" t="str">
        <f t="shared" ref="E158:E166" si="47">"动态"</f>
        <v>动态</v>
      </c>
      <c r="F158">
        <f ca="1">IF(AND(ISNUMBER($F$326),$B$183=1),$F$326,HLOOKUP(INDIRECT(ADDRESS(2,COLUMN())),OFFSET($BN$2,0,0,ROW()-1,60),ROW()-1,FALSE))</f>
        <v>17.36703327</v>
      </c>
      <c r="G158">
        <f ca="1">IF(AND(ISNUMBER($G$326),$B$183=1),$G$326,HLOOKUP(INDIRECT(ADDRESS(2,COLUMN())),OFFSET($BN$2,0,0,ROW()-1,60),ROW()-1,FALSE))</f>
        <v>16.995394789999999</v>
      </c>
      <c r="H158">
        <f ca="1">IF(AND(ISNUMBER($H$326),$B$183=1),$H$326,HLOOKUP(INDIRECT(ADDRESS(2,COLUMN())),OFFSET($BN$2,0,0,ROW()-1,60),ROW()-1,FALSE))</f>
        <v>16.945618159999999</v>
      </c>
      <c r="I158">
        <f ca="1">IF(AND(ISNUMBER($I$326),$B$183=1),$I$326,HLOOKUP(INDIRECT(ADDRESS(2,COLUMN())),OFFSET($BN$2,0,0,ROW()-1,60),ROW()-1,FALSE))</f>
        <v>16.749221309999999</v>
      </c>
      <c r="J158">
        <f ca="1">IF(AND(ISNUMBER($J$326),$B$183=1),$J$326,HLOOKUP(INDIRECT(ADDRESS(2,COLUMN())),OFFSET($BN$2,0,0,ROW()-1,60),ROW()-1,FALSE))</f>
        <v>16.466992309999998</v>
      </c>
      <c r="K158">
        <f ca="1">IF(AND(ISNUMBER($K$326),$B$183=1),$K$326,HLOOKUP(INDIRECT(ADDRESS(2,COLUMN())),OFFSET($BN$2,0,0,ROW()-1,60),ROW()-1,FALSE))</f>
        <v>17.88831107</v>
      </c>
      <c r="L158">
        <f ca="1">IF(AND(ISNUMBER($L$326),$B$183=1),$L$326,HLOOKUP(INDIRECT(ADDRESS(2,COLUMN())),OFFSET($BN$2,0,0,ROW()-1,60),ROW()-1,FALSE))</f>
        <v>18.446308729999998</v>
      </c>
      <c r="M158">
        <f ca="1">IF(AND(ISNUMBER($M$326),$B$183=1),$M$326,HLOOKUP(INDIRECT(ADDRESS(2,COLUMN())),OFFSET($BN$2,0,0,ROW()-1,60),ROW()-1,FALSE))</f>
        <v>17.586401110000001</v>
      </c>
      <c r="N158">
        <f ca="1">IF(AND(ISNUMBER($N$326),$B$183=1),$N$326,HLOOKUP(INDIRECT(ADDRESS(2,COLUMN())),OFFSET($BN$2,0,0,ROW()-1,60),ROW()-1,FALSE))</f>
        <v>17.313076410000001</v>
      </c>
      <c r="O158">
        <f ca="1">IF(AND(ISNUMBER($O$326),$B$183=1),$O$326,HLOOKUP(INDIRECT(ADDRESS(2,COLUMN())),OFFSET($BN$2,0,0,ROW()-1,60),ROW()-1,FALSE))</f>
        <v>16.25928983</v>
      </c>
      <c r="P158">
        <f ca="1">IF(AND(ISNUMBER($P$326),$B$183=1),$P$326,HLOOKUP(INDIRECT(ADDRESS(2,COLUMN())),OFFSET($BN$2,0,0,ROW()-1,60),ROW()-1,FALSE))</f>
        <v>16.643536229999999</v>
      </c>
      <c r="Q158">
        <f ca="1">IF(AND(ISNUMBER($Q$326),$B$183=1),$Q$326,HLOOKUP(INDIRECT(ADDRESS(2,COLUMN())),OFFSET($BN$2,0,0,ROW()-1,60),ROW()-1,FALSE))</f>
        <v>19.073308000000001</v>
      </c>
      <c r="R158">
        <f ca="1">IF(AND(ISNUMBER($R$326),$B$183=1),$R$326,HLOOKUP(INDIRECT(ADDRESS(2,COLUMN())),OFFSET($BN$2,0,0,ROW()-1,60),ROW()-1,FALSE))</f>
        <v>18.408229049999999</v>
      </c>
      <c r="S158">
        <f ca="1">IF(AND(ISNUMBER($S$326),$B$183=1),$S$326,HLOOKUP(INDIRECT(ADDRESS(2,COLUMN())),OFFSET($BN$2,0,0,ROW()-1,60),ROW()-1,FALSE))</f>
        <v>16.572479640000001</v>
      </c>
      <c r="T158">
        <f ca="1">IF(AND(ISNUMBER($T$326),$B$183=1),$T$326,HLOOKUP(INDIRECT(ADDRESS(2,COLUMN())),OFFSET($BN$2,0,0,ROW()-1,60),ROW()-1,FALSE))</f>
        <v>18.02264482</v>
      </c>
      <c r="U158">
        <f ca="1">IF(AND(ISNUMBER($U$326),$B$183=1),$U$326,HLOOKUP(INDIRECT(ADDRESS(2,COLUMN())),OFFSET($BN$2,0,0,ROW()-1,60),ROW()-1,FALSE))</f>
        <v>17.276659479999999</v>
      </c>
      <c r="V158">
        <f ca="1">IF(AND(ISNUMBER($V$326),$B$183=1),$V$326,HLOOKUP(INDIRECT(ADDRESS(2,COLUMN())),OFFSET($BN$2,0,0,ROW()-1,60),ROW()-1,FALSE))</f>
        <v>16.221773120000002</v>
      </c>
      <c r="W158">
        <f ca="1">IF(AND(ISNUMBER($W$326),$B$183=1),$W$326,HLOOKUP(INDIRECT(ADDRESS(2,COLUMN())),OFFSET($BN$2,0,0,ROW()-1,60),ROW()-1,FALSE))</f>
        <v>16.749069840000001</v>
      </c>
      <c r="X158">
        <f ca="1">IF(AND(ISNUMBER($X$326),$B$183=1),$X$326,HLOOKUP(INDIRECT(ADDRESS(2,COLUMN())),OFFSET($BN$2,0,0,ROW()-1,60),ROW()-1,FALSE))</f>
        <v>17.670504449999999</v>
      </c>
      <c r="Y158">
        <f ca="1">IF(AND(ISNUMBER($Y$326),$B$183=1),$Y$326,HLOOKUP(INDIRECT(ADDRESS(2,COLUMN())),OFFSET($BN$2,0,0,ROW()-1,60),ROW()-1,FALSE))</f>
        <v>18.49861203</v>
      </c>
      <c r="Z158">
        <f ca="1">IF(AND(ISNUMBER($Z$326),$B$183=1),$Z$326,HLOOKUP(INDIRECT(ADDRESS(2,COLUMN())),OFFSET($BN$2,0,0,ROW()-1,60),ROW()-1,FALSE))</f>
        <v>17.431075910000001</v>
      </c>
      <c r="AA158">
        <f ca="1">IF(AND(ISNUMBER($AA$326),$B$183=1),$AA$326,HLOOKUP(INDIRECT(ADDRESS(2,COLUMN())),OFFSET($BN$2,0,0,ROW()-1,60),ROW()-1,FALSE))</f>
        <v>17.049038670000002</v>
      </c>
      <c r="AB158">
        <f ca="1">IF(AND(ISNUMBER($AB$326),$B$183=1),$AB$326,HLOOKUP(INDIRECT(ADDRESS(2,COLUMN())),OFFSET($BN$2,0,0,ROW()-1,60),ROW()-1,FALSE))</f>
        <v>17.083742390000001</v>
      </c>
      <c r="AC158">
        <f ca="1">IF(AND(ISNUMBER($AC$326),$B$183=1),$AC$326,HLOOKUP(INDIRECT(ADDRESS(2,COLUMN())),OFFSET($BN$2,0,0,ROW()-1,60),ROW()-1,FALSE))</f>
        <v>17.17231752</v>
      </c>
      <c r="AD158">
        <f ca="1">IF(AND(ISNUMBER($AD$326),$B$183=1),$AD$326,HLOOKUP(INDIRECT(ADDRESS(2,COLUMN())),OFFSET($BN$2,0,0,ROW()-1,60),ROW()-1,FALSE))</f>
        <v>15.712982070000001</v>
      </c>
      <c r="AE158">
        <f ca="1">IF(AND(ISNUMBER($AE$326),$B$183=1),$AE$326,HLOOKUP(INDIRECT(ADDRESS(2,COLUMN())),OFFSET($BN$2,0,0,ROW()-1,60),ROW()-1,FALSE))</f>
        <v>14.92819688</v>
      </c>
      <c r="AF158">
        <f ca="1">IF(AND(ISNUMBER($AF$326),$B$183=1),$AF$326,HLOOKUP(INDIRECT(ADDRESS(2,COLUMN())),OFFSET($BN$2,0,0,ROW()-1,60),ROW()-1,FALSE))</f>
        <v>18.785702870000001</v>
      </c>
      <c r="AG158">
        <f ca="1">IF(AND(ISNUMBER($AG$326),$B$183=1),$AG$326,HLOOKUP(INDIRECT(ADDRESS(2,COLUMN())),OFFSET($BN$2,0,0,ROW()-1,60),ROW()-1,FALSE))</f>
        <v>18.745313070000002</v>
      </c>
      <c r="AH158">
        <f ca="1">IF(AND(ISNUMBER($AH$326),$B$183=1),$AH$326,HLOOKUP(INDIRECT(ADDRESS(2,COLUMN())),OFFSET($BN$2,0,0,ROW()-1,60),ROW()-1,FALSE))</f>
        <v>18.404454090000002</v>
      </c>
      <c r="AI158">
        <f ca="1">IF(AND(ISNUMBER($AI$326),$B$183=1),$AI$326,HLOOKUP(INDIRECT(ADDRESS(2,COLUMN())),OFFSET($BN$2,0,0,ROW()-1,60),ROW()-1,FALSE))</f>
        <v>17.619879279999999</v>
      </c>
      <c r="AJ158">
        <f ca="1">IF(AND(ISNUMBER($AJ$326),$B$183=1),$AJ$326,HLOOKUP(INDIRECT(ADDRESS(2,COLUMN())),OFFSET($BN$2,0,0,ROW()-1,60),ROW()-1,FALSE))</f>
        <v>16.202815749999999</v>
      </c>
      <c r="AK158">
        <f ca="1">IF(AND(ISNUMBER($AK$326),$B$183=1),$AK$326,HLOOKUP(INDIRECT(ADDRESS(2,COLUMN())),OFFSET($BN$2,0,0,ROW()-1,60),ROW()-1,FALSE))</f>
        <v>17.934164379999999</v>
      </c>
      <c r="AL158">
        <f ca="1">IF(AND(ISNUMBER($AL$326),$B$183=1),$AL$326,HLOOKUP(INDIRECT(ADDRESS(2,COLUMN())),OFFSET($BN$2,0,0,ROW()-1,60),ROW()-1,FALSE))</f>
        <v>15.573207679999999</v>
      </c>
      <c r="AM158">
        <f ca="1">IF(AND(ISNUMBER($AM$326),$B$183=1),$AM$326,HLOOKUP(INDIRECT(ADDRESS(2,COLUMN())),OFFSET($BN$2,0,0,ROW()-1,60),ROW()-1,FALSE))</f>
        <v>15.15148617</v>
      </c>
      <c r="AN158">
        <f ca="1">IF(AND(ISNUMBER($AN$326),$B$183=1),$AN$326,HLOOKUP(INDIRECT(ADDRESS(2,COLUMN())),OFFSET($BN$2,0,0,ROW()-1,60),ROW()-1,FALSE))</f>
        <v>10.285594550000001</v>
      </c>
      <c r="AO158">
        <f ca="1">IF(AND(ISNUMBER($AO$326),$B$183=1),$AO$326,HLOOKUP(INDIRECT(ADDRESS(2,COLUMN())),OFFSET($BN$2,0,0,ROW()-1,60),ROW()-1,FALSE))</f>
        <v>6.4163356199999999</v>
      </c>
      <c r="AP158">
        <f ca="1">IF(AND(ISNUMBER($AP$326),$B$183=1),$AP$326,HLOOKUP(INDIRECT(ADDRESS(2,COLUMN())),OFFSET($BN$2,0,0,ROW()-1,60),ROW()-1,FALSE))</f>
        <v>9.1969763639999993</v>
      </c>
      <c r="AQ158">
        <f ca="1">IF(AND(ISNUMBER($AQ$326),$B$183=1),$AQ$326,HLOOKUP(INDIRECT(ADDRESS(2,COLUMN())),OFFSET($BN$2,0,0,ROW()-1,60),ROW()-1,FALSE))</f>
        <v>12.5256604</v>
      </c>
      <c r="AR158">
        <f ca="1">IF(AND(ISNUMBER($AR$326),$B$183=1),$AR$326,HLOOKUP(INDIRECT(ADDRESS(2,COLUMN())),OFFSET($BN$2,0,0,ROW()-1,60),ROW()-1,FALSE))</f>
        <v>11.575988479999999</v>
      </c>
      <c r="AS158">
        <f ca="1">IF(AND(ISNUMBER($AS$326),$B$183=1),$AS$326,HLOOKUP(INDIRECT(ADDRESS(2,COLUMN())),OFFSET($BN$2,0,0,ROW()-1,60),ROW()-1,FALSE))</f>
        <v>12.1385018</v>
      </c>
      <c r="AT158">
        <f ca="1">IF(AND(ISNUMBER($AT$326),$B$183=1),$AT$326,HLOOKUP(INDIRECT(ADDRESS(2,COLUMN())),OFFSET($BN$2,0,0,ROW()-1,60),ROW()-1,FALSE))</f>
        <v>12.00003364</v>
      </c>
      <c r="AU158">
        <f ca="1">IF(AND(ISNUMBER($AU$326),$B$183=1),$AU$326,HLOOKUP(INDIRECT(ADDRESS(2,COLUMN())),OFFSET($BN$2,0,0,ROW()-1,60),ROW()-1,FALSE))</f>
        <v>14.17027772</v>
      </c>
      <c r="AV158">
        <f ca="1">IF(AND(ISNUMBER($AV$326),$B$183=1),$AV$326,HLOOKUP(INDIRECT(ADDRESS(2,COLUMN())),OFFSET($BN$2,0,0,ROW()-1,60),ROW()-1,FALSE))</f>
        <v>14.91128632</v>
      </c>
      <c r="AW158">
        <f ca="1">IF(AND(ISNUMBER($AW$326),$B$183=1),$AW$326,HLOOKUP(INDIRECT(ADDRESS(2,COLUMN())),OFFSET($BN$2,0,0,ROW()-1,60),ROW()-1,FALSE))</f>
        <v>17.247847100000001</v>
      </c>
      <c r="AX158">
        <f ca="1">IF(AND(ISNUMBER($AX$326),$B$183=1),$AX$326,HLOOKUP(INDIRECT(ADDRESS(2,COLUMN())),OFFSET($BN$2,0,0,ROW()-1,60),ROW()-1,FALSE))</f>
        <v>17.65059076</v>
      </c>
      <c r="AY158">
        <f ca="1">IF(AND(ISNUMBER($AY$326),$B$183=1),$AY$326,HLOOKUP(INDIRECT(ADDRESS(2,COLUMN())),OFFSET($BN$2,0,0,ROW()-1,60),ROW()-1,FALSE))</f>
        <v>16.758452989999999</v>
      </c>
      <c r="AZ158">
        <f ca="1">IF(AND(ISNUMBER($AZ$326),$B$183=1),$AZ$326,HLOOKUP(INDIRECT(ADDRESS(2,COLUMN())),OFFSET($BN$2,0,0,ROW()-1,60),ROW()-1,FALSE))</f>
        <v>15.469722490000001</v>
      </c>
      <c r="BA158">
        <f ca="1">IF(AND(ISNUMBER($BA$326),$B$183=1),$BA$326,HLOOKUP(INDIRECT(ADDRESS(2,COLUMN())),OFFSET($BN$2,0,0,ROW()-1,60),ROW()-1,FALSE))</f>
        <v>16.442203410000001</v>
      </c>
      <c r="BB158">
        <f ca="1">IF(AND(ISNUMBER($BB$326),$B$183=1),$BB$326,HLOOKUP(INDIRECT(ADDRESS(2,COLUMN())),OFFSET($BN$2,0,0,ROW()-1,60),ROW()-1,FALSE))</f>
        <v>14.7225836</v>
      </c>
      <c r="BC158">
        <f ca="1">IF(AND(ISNUMBER($BC$326),$B$183=1),$BC$326,HLOOKUP(INDIRECT(ADDRESS(2,COLUMN())),OFFSET($BN$2,0,0,ROW()-1,60),ROW()-1,FALSE))</f>
        <v>14.5902178</v>
      </c>
      <c r="BD158">
        <f ca="1">IF(AND(ISNUMBER($BD$326),$B$183=1),$BD$326,HLOOKUP(INDIRECT(ADDRESS(2,COLUMN())),OFFSET($BN$2,0,0,ROW()-1,60),ROW()-1,FALSE))</f>
        <v>14.16960267</v>
      </c>
      <c r="BE158">
        <f ca="1">IF(AND(ISNUMBER($BE$326),$B$183=1),$BE$326,HLOOKUP(INDIRECT(ADDRESS(2,COLUMN())),OFFSET($BN$2,0,0,ROW()-1,60),ROW()-1,FALSE))</f>
        <v>12.62677317</v>
      </c>
      <c r="BF158">
        <f ca="1">IF(AND(ISNUMBER($BF$326),$B$183=1),$BF$326,HLOOKUP(INDIRECT(ADDRESS(2,COLUMN())),OFFSET($BN$2,0,0,ROW()-1,60),ROW()-1,FALSE))</f>
        <v>14.26090756</v>
      </c>
      <c r="BG158">
        <f ca="1">IF(AND(ISNUMBER($BG$326),$B$183=1),$BG$326,HLOOKUP(INDIRECT(ADDRESS(2,COLUMN())),OFFSET($BN$2,0,0,ROW()-1,60),ROW()-1,FALSE))</f>
        <v>12.958855549999999</v>
      </c>
      <c r="BH158">
        <f ca="1">IF(AND(ISNUMBER($BH$326),$B$183=1),$BH$326,HLOOKUP(INDIRECT(ADDRESS(2,COLUMN())),OFFSET($BN$2,0,0,ROW()-1,60),ROW()-1,FALSE))</f>
        <v>12.17153704</v>
      </c>
      <c r="BI158">
        <f ca="1">IF(AND(ISNUMBER($BI$326),$B$183=1),$BI$326,HLOOKUP(INDIRECT(ADDRESS(2,COLUMN())),OFFSET($BN$2,0,0,ROW()-1,60),ROW()-1,FALSE))</f>
        <v>13.340858860000001</v>
      </c>
      <c r="BJ158">
        <f ca="1">IF(AND(ISNUMBER($BJ$326),$B$183=1),$BJ$326,HLOOKUP(INDIRECT(ADDRESS(2,COLUMN())),OFFSET($BN$2,0,0,ROW()-1,60),ROW()-1,FALSE))</f>
        <v>11.734395640000001</v>
      </c>
      <c r="BK158">
        <f ca="1">IF(AND(ISNUMBER($BK$326),$B$183=1),$BK$326,HLOOKUP(INDIRECT(ADDRESS(2,COLUMN())),OFFSET($BN$2,0,0,ROW()-1,60),ROW()-1,FALSE))</f>
        <v>10.94392616</v>
      </c>
      <c r="BL158">
        <f ca="1">IF(AND(ISNUMBER($BL$326),$B$183=1),$BL$326,HLOOKUP(INDIRECT(ADDRESS(2,COLUMN())),OFFSET($BN$2,0,0,ROW()-1,60),ROW()-1,FALSE))</f>
        <v>9.8351544440000005</v>
      </c>
      <c r="BM158">
        <f ca="1">IF(AND(ISNUMBER($BM$326),$B$183=1),$BM$326,HLOOKUP(INDIRECT(ADDRESS(2,COLUMN())),OFFSET($BN$2,0,0,ROW()-1,60),ROW()-1,FALSE))</f>
        <v>8.5428741410000004</v>
      </c>
      <c r="BN158">
        <f>17.36703327</f>
        <v>17.36703327</v>
      </c>
      <c r="BO158">
        <f>16.99539479</f>
        <v>16.995394789999999</v>
      </c>
      <c r="BP158">
        <f>16.94561816</f>
        <v>16.945618159999999</v>
      </c>
      <c r="BQ158">
        <f>16.74922131</f>
        <v>16.749221309999999</v>
      </c>
      <c r="BR158">
        <f>16.46699231</f>
        <v>16.466992309999998</v>
      </c>
      <c r="BS158">
        <f>17.88831107</f>
        <v>17.88831107</v>
      </c>
      <c r="BT158">
        <f>18.44630873</f>
        <v>18.446308729999998</v>
      </c>
      <c r="BU158">
        <f>17.58640111</f>
        <v>17.586401110000001</v>
      </c>
      <c r="BV158">
        <f>17.31307641</f>
        <v>17.313076410000001</v>
      </c>
      <c r="BW158">
        <f>16.25928983</f>
        <v>16.25928983</v>
      </c>
      <c r="BX158">
        <f>16.64353623</f>
        <v>16.643536229999999</v>
      </c>
      <c r="BY158">
        <f>19.073308</f>
        <v>19.073308000000001</v>
      </c>
      <c r="BZ158">
        <f>18.40822905</f>
        <v>18.408229049999999</v>
      </c>
      <c r="CA158">
        <f>16.57247964</f>
        <v>16.572479640000001</v>
      </c>
      <c r="CB158">
        <f>18.02264482</f>
        <v>18.02264482</v>
      </c>
      <c r="CC158">
        <f>17.27665948</f>
        <v>17.276659479999999</v>
      </c>
      <c r="CD158">
        <f>16.22177312</f>
        <v>16.221773120000002</v>
      </c>
      <c r="CE158">
        <f>16.74906984</f>
        <v>16.749069840000001</v>
      </c>
      <c r="CF158">
        <f>17.67050445</f>
        <v>17.670504449999999</v>
      </c>
      <c r="CG158">
        <f>18.49861203</f>
        <v>18.49861203</v>
      </c>
      <c r="CH158">
        <f>17.43107591</f>
        <v>17.431075910000001</v>
      </c>
      <c r="CI158">
        <f>17.04903867</f>
        <v>17.049038670000002</v>
      </c>
      <c r="CJ158">
        <f>17.08374239</f>
        <v>17.083742390000001</v>
      </c>
      <c r="CK158">
        <f>17.17231752</f>
        <v>17.17231752</v>
      </c>
      <c r="CL158">
        <f>15.71298207</f>
        <v>15.712982070000001</v>
      </c>
      <c r="CM158">
        <f>14.92819688</f>
        <v>14.92819688</v>
      </c>
      <c r="CN158">
        <f>18.78570287</f>
        <v>18.785702870000001</v>
      </c>
      <c r="CO158">
        <f>18.74531307</f>
        <v>18.745313070000002</v>
      </c>
      <c r="CP158">
        <f>18.40445409</f>
        <v>18.404454090000002</v>
      </c>
      <c r="CQ158">
        <f>17.61987928</f>
        <v>17.619879279999999</v>
      </c>
      <c r="CR158">
        <f>16.20281575</f>
        <v>16.202815749999999</v>
      </c>
      <c r="CS158">
        <f>17.93416438</f>
        <v>17.934164379999999</v>
      </c>
      <c r="CT158">
        <f>15.57320768</f>
        <v>15.573207679999999</v>
      </c>
      <c r="CU158">
        <f>15.15148617</f>
        <v>15.15148617</v>
      </c>
      <c r="CV158">
        <f>10.28559455</f>
        <v>10.285594550000001</v>
      </c>
      <c r="CW158">
        <f>6.41633562</f>
        <v>6.4163356199999999</v>
      </c>
      <c r="CX158">
        <f>9.196976364</f>
        <v>9.1969763639999993</v>
      </c>
      <c r="CY158">
        <f>12.5256604</f>
        <v>12.5256604</v>
      </c>
      <c r="CZ158">
        <f>11.57598848</f>
        <v>11.575988479999999</v>
      </c>
      <c r="DA158">
        <f>12.1385018</f>
        <v>12.1385018</v>
      </c>
      <c r="DB158">
        <f>12.00003364</f>
        <v>12.00003364</v>
      </c>
      <c r="DC158">
        <f>14.17027772</f>
        <v>14.17027772</v>
      </c>
      <c r="DD158">
        <f>14.91128632</f>
        <v>14.91128632</v>
      </c>
      <c r="DE158">
        <f>17.2478471</f>
        <v>17.247847100000001</v>
      </c>
      <c r="DF158">
        <f>17.65059076</f>
        <v>17.65059076</v>
      </c>
      <c r="DG158">
        <f>16.75845299</f>
        <v>16.758452989999999</v>
      </c>
      <c r="DH158">
        <f>15.46972249</f>
        <v>15.469722490000001</v>
      </c>
      <c r="DI158">
        <f>16.44220341</f>
        <v>16.442203410000001</v>
      </c>
      <c r="DJ158">
        <f>14.7225836</f>
        <v>14.7225836</v>
      </c>
      <c r="DK158">
        <f>14.5902178</f>
        <v>14.5902178</v>
      </c>
      <c r="DL158">
        <f>14.16960267</f>
        <v>14.16960267</v>
      </c>
      <c r="DM158">
        <f>12.62677317</f>
        <v>12.62677317</v>
      </c>
      <c r="DN158">
        <f>14.26090756</f>
        <v>14.26090756</v>
      </c>
      <c r="DO158">
        <f>12.95885555</f>
        <v>12.958855549999999</v>
      </c>
      <c r="DP158">
        <f>12.17153704</f>
        <v>12.17153704</v>
      </c>
      <c r="DQ158">
        <f>13.34085886</f>
        <v>13.340858860000001</v>
      </c>
      <c r="DR158">
        <f>11.73439564</f>
        <v>11.734395640000001</v>
      </c>
      <c r="DS158">
        <f>10.94392616</f>
        <v>10.94392616</v>
      </c>
      <c r="DT158">
        <f>9.835154444</f>
        <v>9.8351544440000005</v>
      </c>
      <c r="DU158">
        <f>8.542874141</f>
        <v>8.5428741410000004</v>
      </c>
    </row>
    <row r="159" spans="1:125">
      <c r="A159" t="str">
        <f>"    房地产投资信托平均债务/资产账面价值"</f>
        <v xml:space="preserve">    房地产投资信托平均债务/资产账面价值</v>
      </c>
      <c r="B159" t="str">
        <f>"RECFAVDB Index"</f>
        <v>RECFAVDB Index</v>
      </c>
      <c r="C159" t="str">
        <f t="shared" si="45"/>
        <v>PR005</v>
      </c>
      <c r="D159" t="str">
        <f t="shared" si="46"/>
        <v>PX_LAST</v>
      </c>
      <c r="E159" t="str">
        <f t="shared" si="47"/>
        <v>动态</v>
      </c>
      <c r="F159">
        <f ca="1">IF(AND(ISNUMBER($F$327),$B$183=1),$F$327,HLOOKUP(INDIRECT(ADDRESS(2,COLUMN())),OFFSET($BN$2,0,0,ROW()-1,60),ROW()-1,FALSE))</f>
        <v>47.647199219999997</v>
      </c>
      <c r="G159">
        <f ca="1">IF(AND(ISNUMBER($G$327),$B$183=1),$G$327,HLOOKUP(INDIRECT(ADDRESS(2,COLUMN())),OFFSET($BN$2,0,0,ROW()-1,60),ROW()-1,FALSE))</f>
        <v>48.266497280000003</v>
      </c>
      <c r="H159">
        <f ca="1">IF(AND(ISNUMBER($H$327),$B$183=1),$H$327,HLOOKUP(INDIRECT(ADDRESS(2,COLUMN())),OFFSET($BN$2,0,0,ROW()-1,60),ROW()-1,FALSE))</f>
        <v>48.750863099999997</v>
      </c>
      <c r="I159">
        <f ca="1">IF(AND(ISNUMBER($I$327),$B$183=1),$I$327,HLOOKUP(INDIRECT(ADDRESS(2,COLUMN())),OFFSET($BN$2,0,0,ROW()-1,60),ROW()-1,FALSE))</f>
        <v>48.824124070000003</v>
      </c>
      <c r="J159">
        <f ca="1">IF(AND(ISNUMBER($J$327),$B$183=1),$J$327,HLOOKUP(INDIRECT(ADDRESS(2,COLUMN())),OFFSET($BN$2,0,0,ROW()-1,60),ROW()-1,FALSE))</f>
        <v>48.597206180000001</v>
      </c>
      <c r="K159">
        <f ca="1">IF(AND(ISNUMBER($K$327),$B$183=1),$K$327,HLOOKUP(INDIRECT(ADDRESS(2,COLUMN())),OFFSET($BN$2,0,0,ROW()-1,60),ROW()-1,FALSE))</f>
        <v>49.02106663</v>
      </c>
      <c r="L159">
        <f ca="1">IF(AND(ISNUMBER($L$327),$B$183=1),$L$327,HLOOKUP(INDIRECT(ADDRESS(2,COLUMN())),OFFSET($BN$2,0,0,ROW()-1,60),ROW()-1,FALSE))</f>
        <v>49.708410630000003</v>
      </c>
      <c r="M159">
        <f ca="1">IF(AND(ISNUMBER($M$327),$B$183=1),$M$327,HLOOKUP(INDIRECT(ADDRESS(2,COLUMN())),OFFSET($BN$2,0,0,ROW()-1,60),ROW()-1,FALSE))</f>
        <v>50.334755110000003</v>
      </c>
      <c r="N159">
        <f ca="1">IF(AND(ISNUMBER($N$327),$B$183=1),$N$327,HLOOKUP(INDIRECT(ADDRESS(2,COLUMN())),OFFSET($BN$2,0,0,ROW()-1,60),ROW()-1,FALSE))</f>
        <v>50.639825989999999</v>
      </c>
      <c r="O159">
        <f ca="1">IF(AND(ISNUMBER($O$327),$B$183=1),$O$327,HLOOKUP(INDIRECT(ADDRESS(2,COLUMN())),OFFSET($BN$2,0,0,ROW()-1,60),ROW()-1,FALSE))</f>
        <v>50.760151200000003</v>
      </c>
      <c r="P159">
        <f ca="1">IF(AND(ISNUMBER($P$327),$B$183=1),$P$327,HLOOKUP(INDIRECT(ADDRESS(2,COLUMN())),OFFSET($BN$2,0,0,ROW()-1,60),ROW()-1,FALSE))</f>
        <v>49.945539449999998</v>
      </c>
      <c r="Q159">
        <f ca="1">IF(AND(ISNUMBER($Q$327),$B$183=1),$Q$327,HLOOKUP(INDIRECT(ADDRESS(2,COLUMN())),OFFSET($BN$2,0,0,ROW()-1,60),ROW()-1,FALSE))</f>
        <v>49.810622930000001</v>
      </c>
      <c r="R159">
        <f ca="1">IF(AND(ISNUMBER($R$327),$B$183=1),$R$327,HLOOKUP(INDIRECT(ADDRESS(2,COLUMN())),OFFSET($BN$2,0,0,ROW()-1,60),ROW()-1,FALSE))</f>
        <v>49.717456970000001</v>
      </c>
      <c r="S159">
        <f ca="1">IF(AND(ISNUMBER($S$327),$B$183=1),$S$327,HLOOKUP(INDIRECT(ADDRESS(2,COLUMN())),OFFSET($BN$2,0,0,ROW()-1,60),ROW()-1,FALSE))</f>
        <v>49.676803900000003</v>
      </c>
      <c r="T159">
        <f ca="1">IF(AND(ISNUMBER($T$327),$B$183=1),$T$327,HLOOKUP(INDIRECT(ADDRESS(2,COLUMN())),OFFSET($BN$2,0,0,ROW()-1,60),ROW()-1,FALSE))</f>
        <v>49.545292259999997</v>
      </c>
      <c r="U159">
        <f ca="1">IF(AND(ISNUMBER($U$327),$B$183=1),$U$327,HLOOKUP(INDIRECT(ADDRESS(2,COLUMN())),OFFSET($BN$2,0,0,ROW()-1,60),ROW()-1,FALSE))</f>
        <v>49.799987989999998</v>
      </c>
      <c r="V159">
        <f ca="1">IF(AND(ISNUMBER($V$327),$B$183=1),$V$327,HLOOKUP(INDIRECT(ADDRESS(2,COLUMN())),OFFSET($BN$2,0,0,ROW()-1,60),ROW()-1,FALSE))</f>
        <v>49.480161840000001</v>
      </c>
      <c r="W159">
        <f ca="1">IF(AND(ISNUMBER($W$327),$B$183=1),$W$327,HLOOKUP(INDIRECT(ADDRESS(2,COLUMN())),OFFSET($BN$2,0,0,ROW()-1,60),ROW()-1,FALSE))</f>
        <v>49.363454419999997</v>
      </c>
      <c r="X159">
        <f ca="1">IF(AND(ISNUMBER($X$327),$B$183=1),$X$327,HLOOKUP(INDIRECT(ADDRESS(2,COLUMN())),OFFSET($BN$2,0,0,ROW()-1,60),ROW()-1,FALSE))</f>
        <v>49.088292180000003</v>
      </c>
      <c r="Y159">
        <f ca="1">IF(AND(ISNUMBER($Y$327),$B$183=1),$Y$327,HLOOKUP(INDIRECT(ADDRESS(2,COLUMN())),OFFSET($BN$2,0,0,ROW()-1,60),ROW()-1,FALSE))</f>
        <v>49.673604589999997</v>
      </c>
      <c r="Z159">
        <f ca="1">IF(AND(ISNUMBER($Z$327),$B$183=1),$Z$327,HLOOKUP(INDIRECT(ADDRESS(2,COLUMN())),OFFSET($BN$2,0,0,ROW()-1,60),ROW()-1,FALSE))</f>
        <v>50.539918180000001</v>
      </c>
      <c r="AA159">
        <f ca="1">IF(AND(ISNUMBER($AA$327),$B$183=1),$AA$327,HLOOKUP(INDIRECT(ADDRESS(2,COLUMN())),OFFSET($BN$2,0,0,ROW()-1,60),ROW()-1,FALSE))</f>
        <v>50.355637680000001</v>
      </c>
      <c r="AB159">
        <f ca="1">IF(AND(ISNUMBER($AB$327),$B$183=1),$AB$327,HLOOKUP(INDIRECT(ADDRESS(2,COLUMN())),OFFSET($BN$2,0,0,ROW()-1,60),ROW()-1,FALSE))</f>
        <v>50.729428419999998</v>
      </c>
      <c r="AC159">
        <f ca="1">IF(AND(ISNUMBER($AC$327),$B$183=1),$AC$327,HLOOKUP(INDIRECT(ADDRESS(2,COLUMN())),OFFSET($BN$2,0,0,ROW()-1,60),ROW()-1,FALSE))</f>
        <v>50.786519169999998</v>
      </c>
      <c r="AD159">
        <f ca="1">IF(AND(ISNUMBER($AD$327),$B$183=1),$AD$327,HLOOKUP(INDIRECT(ADDRESS(2,COLUMN())),OFFSET($BN$2,0,0,ROW()-1,60),ROW()-1,FALSE))</f>
        <v>50.936823599999997</v>
      </c>
      <c r="AE159">
        <f ca="1">IF(AND(ISNUMBER($AE$327),$B$183=1),$AE$327,HLOOKUP(INDIRECT(ADDRESS(2,COLUMN())),OFFSET($BN$2,0,0,ROW()-1,60),ROW()-1,FALSE))</f>
        <v>50.610556000000003</v>
      </c>
      <c r="AF159">
        <f ca="1">IF(AND(ISNUMBER($AF$327),$B$183=1),$AF$327,HLOOKUP(INDIRECT(ADDRESS(2,COLUMN())),OFFSET($BN$2,0,0,ROW()-1,60),ROW()-1,FALSE))</f>
        <v>51.000114439999997</v>
      </c>
      <c r="AG159">
        <f ca="1">IF(AND(ISNUMBER($AG$327),$B$183=1),$AG$327,HLOOKUP(INDIRECT(ADDRESS(2,COLUMN())),OFFSET($BN$2,0,0,ROW()-1,60),ROW()-1,FALSE))</f>
        <v>51.620697720000003</v>
      </c>
      <c r="AH159">
        <f ca="1">IF(AND(ISNUMBER($AH$327),$B$183=1),$AH$327,HLOOKUP(INDIRECT(ADDRESS(2,COLUMN())),OFFSET($BN$2,0,0,ROW()-1,60),ROW()-1,FALSE))</f>
        <v>52.085144939999999</v>
      </c>
      <c r="AI159">
        <f ca="1">IF(AND(ISNUMBER($AI$327),$B$183=1),$AI$327,HLOOKUP(INDIRECT(ADDRESS(2,COLUMN())),OFFSET($BN$2,0,0,ROW()-1,60),ROW()-1,FALSE))</f>
        <v>52.553561739999999</v>
      </c>
      <c r="AJ159">
        <f ca="1">IF(AND(ISNUMBER($AJ$327),$B$183=1),$AJ$327,HLOOKUP(INDIRECT(ADDRESS(2,COLUMN())),OFFSET($BN$2,0,0,ROW()-1,60),ROW()-1,FALSE))</f>
        <v>52.649303519999997</v>
      </c>
      <c r="AK159">
        <f ca="1">IF(AND(ISNUMBER($AK$327),$B$183=1),$AK$327,HLOOKUP(INDIRECT(ADDRESS(2,COLUMN())),OFFSET($BN$2,0,0,ROW()-1,60),ROW()-1,FALSE))</f>
        <v>53.63558476</v>
      </c>
      <c r="AL159">
        <f ca="1">IF(AND(ISNUMBER($AL$327),$B$183=1),$AL$327,HLOOKUP(INDIRECT(ADDRESS(2,COLUMN())),OFFSET($BN$2,0,0,ROW()-1,60),ROW()-1,FALSE))</f>
        <v>54.054258269999998</v>
      </c>
      <c r="AM159">
        <f ca="1">IF(AND(ISNUMBER($AM$327),$B$183=1),$AM$327,HLOOKUP(INDIRECT(ADDRESS(2,COLUMN())),OFFSET($BN$2,0,0,ROW()-1,60),ROW()-1,FALSE))</f>
        <v>54.092369959999999</v>
      </c>
      <c r="AN159">
        <f ca="1">IF(AND(ISNUMBER($AN$327),$B$183=1),$AN$327,HLOOKUP(INDIRECT(ADDRESS(2,COLUMN())),OFFSET($BN$2,0,0,ROW()-1,60),ROW()-1,FALSE))</f>
        <v>54.888948460000002</v>
      </c>
      <c r="AO159">
        <f ca="1">IF(AND(ISNUMBER($AO$327),$B$183=1),$AO$327,HLOOKUP(INDIRECT(ADDRESS(2,COLUMN())),OFFSET($BN$2,0,0,ROW()-1,60),ROW()-1,FALSE))</f>
        <v>57.035629669999999</v>
      </c>
      <c r="AP159">
        <f ca="1">IF(AND(ISNUMBER($AP$327),$B$183=1),$AP$327,HLOOKUP(INDIRECT(ADDRESS(2,COLUMN())),OFFSET($BN$2,0,0,ROW()-1,60),ROW()-1,FALSE))</f>
        <v>57.194794940000001</v>
      </c>
      <c r="AQ159">
        <f ca="1">IF(AND(ISNUMBER($AQ$327),$B$183=1),$AQ$327,HLOOKUP(INDIRECT(ADDRESS(2,COLUMN())),OFFSET($BN$2,0,0,ROW()-1,60),ROW()-1,FALSE))</f>
        <v>57.951690030000002</v>
      </c>
      <c r="AR159">
        <f ca="1">IF(AND(ISNUMBER($AR$327),$B$183=1),$AR$327,HLOOKUP(INDIRECT(ADDRESS(2,COLUMN())),OFFSET($BN$2,0,0,ROW()-1,60),ROW()-1,FALSE))</f>
        <v>58.024080959999999</v>
      </c>
      <c r="AS159">
        <f ca="1">IF(AND(ISNUMBER($AS$327),$B$183=1),$AS$327,HLOOKUP(INDIRECT(ADDRESS(2,COLUMN())),OFFSET($BN$2,0,0,ROW()-1,60),ROW()-1,FALSE))</f>
        <v>58.290550580000001</v>
      </c>
      <c r="AT159">
        <f ca="1">IF(AND(ISNUMBER($AT$327),$B$183=1),$AT$327,HLOOKUP(INDIRECT(ADDRESS(2,COLUMN())),OFFSET($BN$2,0,0,ROW()-1,60),ROW()-1,FALSE))</f>
        <v>57.62446285</v>
      </c>
      <c r="AU159">
        <f ca="1">IF(AND(ISNUMBER($AU$327),$B$183=1),$AU$327,HLOOKUP(INDIRECT(ADDRESS(2,COLUMN())),OFFSET($BN$2,0,0,ROW()-1,60),ROW()-1,FALSE))</f>
        <v>57.726910070000002</v>
      </c>
      <c r="AV159">
        <f ca="1">IF(AND(ISNUMBER($AV$327),$B$183=1),$AV$327,HLOOKUP(INDIRECT(ADDRESS(2,COLUMN())),OFFSET($BN$2,0,0,ROW()-1,60),ROW()-1,FALSE))</f>
        <v>56.617830240000004</v>
      </c>
      <c r="AW159">
        <f ca="1">IF(AND(ISNUMBER($AW$327),$B$183=1),$AW$327,HLOOKUP(INDIRECT(ADDRESS(2,COLUMN())),OFFSET($BN$2,0,0,ROW()-1,60),ROW()-1,FALSE))</f>
        <v>56.17194946</v>
      </c>
      <c r="AX159">
        <f ca="1">IF(AND(ISNUMBER($AX$327),$B$183=1),$AX$327,HLOOKUP(INDIRECT(ADDRESS(2,COLUMN())),OFFSET($BN$2,0,0,ROW()-1,60),ROW()-1,FALSE))</f>
        <v>55.681676619999998</v>
      </c>
      <c r="AY159">
        <f ca="1">IF(AND(ISNUMBER($AY$327),$B$183=1),$AY$327,HLOOKUP(INDIRECT(ADDRESS(2,COLUMN())),OFFSET($BN$2,0,0,ROW()-1,60),ROW()-1,FALSE))</f>
        <v>56.196348749999999</v>
      </c>
      <c r="AZ159">
        <f ca="1">IF(AND(ISNUMBER($AZ$327),$B$183=1),$AZ$327,HLOOKUP(INDIRECT(ADDRESS(2,COLUMN())),OFFSET($BN$2,0,0,ROW()-1,60),ROW()-1,FALSE))</f>
        <v>55.951256399999998</v>
      </c>
      <c r="BA159">
        <f ca="1">IF(AND(ISNUMBER($BA$327),$B$183=1),$BA$327,HLOOKUP(INDIRECT(ADDRESS(2,COLUMN())),OFFSET($BN$2,0,0,ROW()-1,60),ROW()-1,FALSE))</f>
        <v>56.240237389999997</v>
      </c>
      <c r="BB159">
        <f ca="1">IF(AND(ISNUMBER($BB$327),$B$183=1),$BB$327,HLOOKUP(INDIRECT(ADDRESS(2,COLUMN())),OFFSET($BN$2,0,0,ROW()-1,60),ROW()-1,FALSE))</f>
        <v>56.766716549999998</v>
      </c>
      <c r="BC159">
        <f ca="1">IF(AND(ISNUMBER($BC$327),$B$183=1),$BC$327,HLOOKUP(INDIRECT(ADDRESS(2,COLUMN())),OFFSET($BN$2,0,0,ROW()-1,60),ROW()-1,FALSE))</f>
        <v>55.956337040000001</v>
      </c>
      <c r="BD159">
        <f ca="1">IF(AND(ISNUMBER($BD$327),$B$183=1),$BD$327,HLOOKUP(INDIRECT(ADDRESS(2,COLUMN())),OFFSET($BN$2,0,0,ROW()-1,60),ROW()-1,FALSE))</f>
        <v>56.350374610000003</v>
      </c>
      <c r="BE159">
        <f ca="1">IF(AND(ISNUMBER($BE$327),$B$183=1),$BE$327,HLOOKUP(INDIRECT(ADDRESS(2,COLUMN())),OFFSET($BN$2,0,0,ROW()-1,60),ROW()-1,FALSE))</f>
        <v>55.766734169999999</v>
      </c>
      <c r="BF159">
        <f ca="1">IF(AND(ISNUMBER($BF$327),$B$183=1),$BF$327,HLOOKUP(INDIRECT(ADDRESS(2,COLUMN())),OFFSET($BN$2,0,0,ROW()-1,60),ROW()-1,FALSE))</f>
        <v>54.95379492</v>
      </c>
      <c r="BG159">
        <f ca="1">IF(AND(ISNUMBER($BG$327),$B$183=1),$BG$327,HLOOKUP(INDIRECT(ADDRESS(2,COLUMN())),OFFSET($BN$2,0,0,ROW()-1,60),ROW()-1,FALSE))</f>
        <v>53.958798399999999</v>
      </c>
      <c r="BH159">
        <f ca="1">IF(AND(ISNUMBER($BH$327),$B$183=1),$BH$327,HLOOKUP(INDIRECT(ADDRESS(2,COLUMN())),OFFSET($BN$2,0,0,ROW()-1,60),ROW()-1,FALSE))</f>
        <v>53.561232169999997</v>
      </c>
      <c r="BI159">
        <f ca="1">IF(AND(ISNUMBER($BI$327),$B$183=1),$BI$327,HLOOKUP(INDIRECT(ADDRESS(2,COLUMN())),OFFSET($BN$2,0,0,ROW()-1,60),ROW()-1,FALSE))</f>
        <v>53.297934689999998</v>
      </c>
      <c r="BJ159">
        <f ca="1">IF(AND(ISNUMBER($BJ$327),$B$183=1),$BJ$327,HLOOKUP(INDIRECT(ADDRESS(2,COLUMN())),OFFSET($BN$2,0,0,ROW()-1,60),ROW()-1,FALSE))</f>
        <v>52.916749170000003</v>
      </c>
      <c r="BK159">
        <f ca="1">IF(AND(ISNUMBER($BK$327),$B$183=1),$BK$327,HLOOKUP(INDIRECT(ADDRESS(2,COLUMN())),OFFSET($BN$2,0,0,ROW()-1,60),ROW()-1,FALSE))</f>
        <v>52.888377130000002</v>
      </c>
      <c r="BL159">
        <f ca="1">IF(AND(ISNUMBER($BL$327),$B$183=1),$BL$327,HLOOKUP(INDIRECT(ADDRESS(2,COLUMN())),OFFSET($BN$2,0,0,ROW()-1,60),ROW()-1,FALSE))</f>
        <v>52.721315799999999</v>
      </c>
      <c r="BM159">
        <f ca="1">IF(AND(ISNUMBER($BM$327),$B$183=1),$BM$327,HLOOKUP(INDIRECT(ADDRESS(2,COLUMN())),OFFSET($BN$2,0,0,ROW()-1,60),ROW()-1,FALSE))</f>
        <v>52.860527619999999</v>
      </c>
      <c r="BN159">
        <f>47.64719922</f>
        <v>47.647199219999997</v>
      </c>
      <c r="BO159">
        <f>48.26649728</f>
        <v>48.266497280000003</v>
      </c>
      <c r="BP159">
        <f>48.7508631</f>
        <v>48.750863099999997</v>
      </c>
      <c r="BQ159">
        <f>48.82412407</f>
        <v>48.824124070000003</v>
      </c>
      <c r="BR159">
        <f>48.59720618</f>
        <v>48.597206180000001</v>
      </c>
      <c r="BS159">
        <f>49.02106663</f>
        <v>49.02106663</v>
      </c>
      <c r="BT159">
        <f>49.70841063</f>
        <v>49.708410630000003</v>
      </c>
      <c r="BU159">
        <f>50.33475511</f>
        <v>50.334755110000003</v>
      </c>
      <c r="BV159">
        <f>50.63982599</f>
        <v>50.639825989999999</v>
      </c>
      <c r="BW159">
        <f>50.7601512</f>
        <v>50.760151200000003</v>
      </c>
      <c r="BX159">
        <f>49.94553945</f>
        <v>49.945539449999998</v>
      </c>
      <c r="BY159">
        <f>49.81062293</f>
        <v>49.810622930000001</v>
      </c>
      <c r="BZ159">
        <f>49.71745697</f>
        <v>49.717456970000001</v>
      </c>
      <c r="CA159">
        <f>49.6768039</f>
        <v>49.676803900000003</v>
      </c>
      <c r="CB159">
        <f>49.54529226</f>
        <v>49.545292259999997</v>
      </c>
      <c r="CC159">
        <f>49.79998799</f>
        <v>49.799987989999998</v>
      </c>
      <c r="CD159">
        <f>49.48016184</f>
        <v>49.480161840000001</v>
      </c>
      <c r="CE159">
        <f>49.36345442</f>
        <v>49.363454419999997</v>
      </c>
      <c r="CF159">
        <f>49.08829218</f>
        <v>49.088292180000003</v>
      </c>
      <c r="CG159">
        <f>49.67360459</f>
        <v>49.673604589999997</v>
      </c>
      <c r="CH159">
        <f>50.53991818</f>
        <v>50.539918180000001</v>
      </c>
      <c r="CI159">
        <f>50.35563768</f>
        <v>50.355637680000001</v>
      </c>
      <c r="CJ159">
        <f>50.72942842</f>
        <v>50.729428419999998</v>
      </c>
      <c r="CK159">
        <f>50.78651917</f>
        <v>50.786519169999998</v>
      </c>
      <c r="CL159">
        <f>50.9368236</f>
        <v>50.936823599999997</v>
      </c>
      <c r="CM159">
        <f>50.610556</f>
        <v>50.610556000000003</v>
      </c>
      <c r="CN159">
        <f>51.00011444</f>
        <v>51.000114439999997</v>
      </c>
      <c r="CO159">
        <f>51.62069772</f>
        <v>51.620697720000003</v>
      </c>
      <c r="CP159">
        <f>52.08514494</f>
        <v>52.085144939999999</v>
      </c>
      <c r="CQ159">
        <f>52.55356174</f>
        <v>52.553561739999999</v>
      </c>
      <c r="CR159">
        <f>52.64930352</f>
        <v>52.649303519999997</v>
      </c>
      <c r="CS159">
        <f>53.63558476</f>
        <v>53.63558476</v>
      </c>
      <c r="CT159">
        <f>54.05425827</f>
        <v>54.054258269999998</v>
      </c>
      <c r="CU159">
        <f>54.09236996</f>
        <v>54.092369959999999</v>
      </c>
      <c r="CV159">
        <f>54.88894846</f>
        <v>54.888948460000002</v>
      </c>
      <c r="CW159">
        <f>57.03562967</f>
        <v>57.035629669999999</v>
      </c>
      <c r="CX159">
        <f>57.19479494</f>
        <v>57.194794940000001</v>
      </c>
      <c r="CY159">
        <f>57.95169003</f>
        <v>57.951690030000002</v>
      </c>
      <c r="CZ159">
        <f>58.02408096</f>
        <v>58.024080959999999</v>
      </c>
      <c r="DA159">
        <f>58.29055058</f>
        <v>58.290550580000001</v>
      </c>
      <c r="DB159">
        <f>57.62446285</f>
        <v>57.62446285</v>
      </c>
      <c r="DC159">
        <f>57.72691007</f>
        <v>57.726910070000002</v>
      </c>
      <c r="DD159">
        <f>56.61783024</f>
        <v>56.617830240000004</v>
      </c>
      <c r="DE159">
        <f>56.17194946</f>
        <v>56.17194946</v>
      </c>
      <c r="DF159">
        <f>55.68167662</f>
        <v>55.681676619999998</v>
      </c>
      <c r="DG159">
        <f>56.19634875</f>
        <v>56.196348749999999</v>
      </c>
      <c r="DH159">
        <f>55.9512564</f>
        <v>55.951256399999998</v>
      </c>
      <c r="DI159">
        <f>56.24023739</f>
        <v>56.240237389999997</v>
      </c>
      <c r="DJ159">
        <f>56.76671655</f>
        <v>56.766716549999998</v>
      </c>
      <c r="DK159">
        <f>55.95633704</f>
        <v>55.956337040000001</v>
      </c>
      <c r="DL159">
        <f>56.35037461</f>
        <v>56.350374610000003</v>
      </c>
      <c r="DM159">
        <f>55.76673417</f>
        <v>55.766734169999999</v>
      </c>
      <c r="DN159">
        <f>54.95379492</f>
        <v>54.95379492</v>
      </c>
      <c r="DO159">
        <f>53.9587984</f>
        <v>53.958798399999999</v>
      </c>
      <c r="DP159">
        <f>53.56123217</f>
        <v>53.561232169999997</v>
      </c>
      <c r="DQ159">
        <f>53.29793469</f>
        <v>53.297934689999998</v>
      </c>
      <c r="DR159">
        <f>52.91674917</f>
        <v>52.916749170000003</v>
      </c>
      <c r="DS159">
        <f>52.88837713</f>
        <v>52.888377130000002</v>
      </c>
      <c r="DT159">
        <f>52.7213158</f>
        <v>52.721315799999999</v>
      </c>
      <c r="DU159">
        <f>52.86052762</f>
        <v>52.860527619999999</v>
      </c>
    </row>
    <row r="160" spans="1:125">
      <c r="A160" t="str">
        <f>"    房地产投资信托平均债务/资产市值"</f>
        <v xml:space="preserve">    房地产投资信托平均债务/资产市值</v>
      </c>
      <c r="B160" t="str">
        <f>"RECFAVDM Index"</f>
        <v>RECFAVDM Index</v>
      </c>
      <c r="C160" t="str">
        <f t="shared" si="45"/>
        <v>PR005</v>
      </c>
      <c r="D160" t="str">
        <f t="shared" si="46"/>
        <v>PX_LAST</v>
      </c>
      <c r="E160" t="str">
        <f t="shared" si="47"/>
        <v>动态</v>
      </c>
      <c r="F160">
        <f ca="1">IF(AND(ISNUMBER($F$328),$B$183=1),$F$328,HLOOKUP(INDIRECT(ADDRESS(2,COLUMN())),OFFSET($BN$2,0,0,ROW()-1,60),ROW()-1,FALSE))</f>
        <v>34.655757780000002</v>
      </c>
      <c r="G160">
        <f ca="1">IF(AND(ISNUMBER($G$328),$B$183=1),$G$328,HLOOKUP(INDIRECT(ADDRESS(2,COLUMN())),OFFSET($BN$2,0,0,ROW()-1,60),ROW()-1,FALSE))</f>
        <v>34.208579640000004</v>
      </c>
      <c r="H160">
        <f ca="1">IF(AND(ISNUMBER($H$328),$B$183=1),$H$328,HLOOKUP(INDIRECT(ADDRESS(2,COLUMN())),OFFSET($BN$2,0,0,ROW()-1,60),ROW()-1,FALSE))</f>
        <v>34.106879059999997</v>
      </c>
      <c r="I160">
        <f ca="1">IF(AND(ISNUMBER($I$328),$B$183=1),$I$328,HLOOKUP(INDIRECT(ADDRESS(2,COLUMN())),OFFSET($BN$2,0,0,ROW()-1,60),ROW()-1,FALSE))</f>
        <v>34.332040790000001</v>
      </c>
      <c r="J160">
        <f ca="1">IF(AND(ISNUMBER($J$328),$B$183=1),$J$328,HLOOKUP(INDIRECT(ADDRESS(2,COLUMN())),OFFSET($BN$2,0,0,ROW()-1,60),ROW()-1,FALSE))</f>
        <v>33.549284069999999</v>
      </c>
      <c r="K160">
        <f ca="1">IF(AND(ISNUMBER($K$328),$B$183=1),$K$328,HLOOKUP(INDIRECT(ADDRESS(2,COLUMN())),OFFSET($BN$2,0,0,ROW()-1,60),ROW()-1,FALSE))</f>
        <v>32.778115880000001</v>
      </c>
      <c r="L160">
        <f ca="1">IF(AND(ISNUMBER($L$328),$B$183=1),$L$328,HLOOKUP(INDIRECT(ADDRESS(2,COLUMN())),OFFSET($BN$2,0,0,ROW()-1,60),ROW()-1,FALSE))</f>
        <v>32.70271821</v>
      </c>
      <c r="M160">
        <f ca="1">IF(AND(ISNUMBER($M$328),$B$183=1),$M$328,HLOOKUP(INDIRECT(ADDRESS(2,COLUMN())),OFFSET($BN$2,0,0,ROW()-1,60),ROW()-1,FALSE))</f>
        <v>34.331386389999999</v>
      </c>
      <c r="N160">
        <f ca="1">IF(AND(ISNUMBER($N$328),$B$183=1),$N$328,HLOOKUP(INDIRECT(ADDRESS(2,COLUMN())),OFFSET($BN$2,0,0,ROW()-1,60),ROW()-1,FALSE))</f>
        <v>35.840894149999997</v>
      </c>
      <c r="O160">
        <f ca="1">IF(AND(ISNUMBER($O$328),$B$183=1),$O$328,HLOOKUP(INDIRECT(ADDRESS(2,COLUMN())),OFFSET($BN$2,0,0,ROW()-1,60),ROW()-1,FALSE))</f>
        <v>38.013658489999997</v>
      </c>
      <c r="P160">
        <f ca="1">IF(AND(ISNUMBER($P$328),$B$183=1),$P$328,HLOOKUP(INDIRECT(ADDRESS(2,COLUMN())),OFFSET($BN$2,0,0,ROW()-1,60),ROW()-1,FALSE))</f>
        <v>37.80987382</v>
      </c>
      <c r="Q160">
        <f ca="1">IF(AND(ISNUMBER($Q$328),$B$183=1),$Q$328,HLOOKUP(INDIRECT(ADDRESS(2,COLUMN())),OFFSET($BN$2,0,0,ROW()-1,60),ROW()-1,FALSE))</f>
        <v>34.582721020000001</v>
      </c>
      <c r="R160">
        <f ca="1">IF(AND(ISNUMBER($R$328),$B$183=1),$R$328,HLOOKUP(INDIRECT(ADDRESS(2,COLUMN())),OFFSET($BN$2,0,0,ROW()-1,60),ROW()-1,FALSE))</f>
        <v>34.770233189999999</v>
      </c>
      <c r="S160">
        <f ca="1">IF(AND(ISNUMBER($S$328),$B$183=1),$S$328,HLOOKUP(INDIRECT(ADDRESS(2,COLUMN())),OFFSET($BN$2,0,0,ROW()-1,60),ROW()-1,FALSE))</f>
        <v>37.113646719999998</v>
      </c>
      <c r="T160">
        <f ca="1">IF(AND(ISNUMBER($T$328),$B$183=1),$T$328,HLOOKUP(INDIRECT(ADDRESS(2,COLUMN())),OFFSET($BN$2,0,0,ROW()-1,60),ROW()-1,FALSE))</f>
        <v>36.49339123</v>
      </c>
      <c r="U160">
        <f ca="1">IF(AND(ISNUMBER($U$328),$B$183=1),$U$328,HLOOKUP(INDIRECT(ADDRESS(2,COLUMN())),OFFSET($BN$2,0,0,ROW()-1,60),ROW()-1,FALSE))</f>
        <v>37.797598549999996</v>
      </c>
      <c r="V160">
        <f ca="1">IF(AND(ISNUMBER($V$328),$B$183=1),$V$328,HLOOKUP(INDIRECT(ADDRESS(2,COLUMN())),OFFSET($BN$2,0,0,ROW()-1,60),ROW()-1,FALSE))</f>
        <v>38.913820350000002</v>
      </c>
      <c r="W160">
        <f ca="1">IF(AND(ISNUMBER($W$328),$B$183=1),$W$328,HLOOKUP(INDIRECT(ADDRESS(2,COLUMN())),OFFSET($BN$2,0,0,ROW()-1,60),ROW()-1,FALSE))</f>
        <v>38.237234770000001</v>
      </c>
      <c r="X160">
        <f ca="1">IF(AND(ISNUMBER($X$328),$B$183=1),$X$328,HLOOKUP(INDIRECT(ADDRESS(2,COLUMN())),OFFSET($BN$2,0,0,ROW()-1,60),ROW()-1,FALSE))</f>
        <v>36.903953190000003</v>
      </c>
      <c r="Y160">
        <f ca="1">IF(AND(ISNUMBER($Y$328),$B$183=1),$Y$328,HLOOKUP(INDIRECT(ADDRESS(2,COLUMN())),OFFSET($BN$2,0,0,ROW()-1,60),ROW()-1,FALSE))</f>
        <v>36.015773580000001</v>
      </c>
      <c r="Z160">
        <f ca="1">IF(AND(ISNUMBER($Z$328),$B$183=1),$Z$328,HLOOKUP(INDIRECT(ADDRESS(2,COLUMN())),OFFSET($BN$2,0,0,ROW()-1,60),ROW()-1,FALSE))</f>
        <v>37.83313004</v>
      </c>
      <c r="AA160">
        <f ca="1">IF(AND(ISNUMBER($AA$328),$B$183=1),$AA$328,HLOOKUP(INDIRECT(ADDRESS(2,COLUMN())),OFFSET($BN$2,0,0,ROW()-1,60),ROW()-1,FALSE))</f>
        <v>39.231069869999999</v>
      </c>
      <c r="AB160">
        <f ca="1">IF(AND(ISNUMBER($AB$328),$B$183=1),$AB$328,HLOOKUP(INDIRECT(ADDRESS(2,COLUMN())),OFFSET($BN$2,0,0,ROW()-1,60),ROW()-1,FALSE))</f>
        <v>39.130094630000002</v>
      </c>
      <c r="AC160">
        <f ca="1">IF(AND(ISNUMBER($AC$328),$B$183=1),$AC$328,HLOOKUP(INDIRECT(ADDRESS(2,COLUMN())),OFFSET($BN$2,0,0,ROW()-1,60),ROW()-1,FALSE))</f>
        <v>39.600176439999998</v>
      </c>
      <c r="AD160">
        <f ca="1">IF(AND(ISNUMBER($AD$328),$B$183=1),$AD$328,HLOOKUP(INDIRECT(ADDRESS(2,COLUMN())),OFFSET($BN$2,0,0,ROW()-1,60),ROW()-1,FALSE))</f>
        <v>41.252090000000003</v>
      </c>
      <c r="AE160">
        <f ca="1">IF(AND(ISNUMBER($AE$328),$B$183=1),$AE$328,HLOOKUP(INDIRECT(ADDRESS(2,COLUMN())),OFFSET($BN$2,0,0,ROW()-1,60),ROW()-1,FALSE))</f>
        <v>44.415818530000003</v>
      </c>
      <c r="AF160">
        <f ca="1">IF(AND(ISNUMBER($AF$328),$B$183=1),$AF$328,HLOOKUP(INDIRECT(ADDRESS(2,COLUMN())),OFFSET($BN$2,0,0,ROW()-1,60),ROW()-1,FALSE))</f>
        <v>41.706406629999996</v>
      </c>
      <c r="AG160">
        <f ca="1">IF(AND(ISNUMBER($AG$328),$B$183=1),$AG$328,HLOOKUP(INDIRECT(ADDRESS(2,COLUMN())),OFFSET($BN$2,0,0,ROW()-1,60),ROW()-1,FALSE))</f>
        <v>41.995996239999997</v>
      </c>
      <c r="AH160">
        <f ca="1">IF(AND(ISNUMBER($AH$328),$B$183=1),$AH$328,HLOOKUP(INDIRECT(ADDRESS(2,COLUMN())),OFFSET($BN$2,0,0,ROW()-1,60),ROW()-1,FALSE))</f>
        <v>43.486804069999998</v>
      </c>
      <c r="AI160">
        <f ca="1">IF(AND(ISNUMBER($AI$328),$B$183=1),$AI$328,HLOOKUP(INDIRECT(ADDRESS(2,COLUMN())),OFFSET($BN$2,0,0,ROW()-1,60),ROW()-1,FALSE))</f>
        <v>43.319173190000001</v>
      </c>
      <c r="AJ160">
        <f ca="1">IF(AND(ISNUMBER($AJ$328),$B$183=1),$AJ$328,HLOOKUP(INDIRECT(ADDRESS(2,COLUMN())),OFFSET($BN$2,0,0,ROW()-1,60),ROW()-1,FALSE))</f>
        <v>45.969305159999998</v>
      </c>
      <c r="AK160">
        <f ca="1">IF(AND(ISNUMBER($AK$328),$B$183=1),$AK$328,HLOOKUP(INDIRECT(ADDRESS(2,COLUMN())),OFFSET($BN$2,0,0,ROW()-1,60),ROW()-1,FALSE))</f>
        <v>45.855866550000002</v>
      </c>
      <c r="AL160">
        <f ca="1">IF(AND(ISNUMBER($AL$328),$B$183=1),$AL$328,HLOOKUP(INDIRECT(ADDRESS(2,COLUMN())),OFFSET($BN$2,0,0,ROW()-1,60),ROW()-1,FALSE))</f>
        <v>48.48325363</v>
      </c>
      <c r="AM160">
        <f ca="1">IF(AND(ISNUMBER($AM$328),$B$183=1),$AM$328,HLOOKUP(INDIRECT(ADDRESS(2,COLUMN())),OFFSET($BN$2,0,0,ROW()-1,60),ROW()-1,FALSE))</f>
        <v>50.936716279999999</v>
      </c>
      <c r="AN160">
        <f ca="1">IF(AND(ISNUMBER($AN$328),$B$183=1),$AN$328,HLOOKUP(INDIRECT(ADDRESS(2,COLUMN())),OFFSET($BN$2,0,0,ROW()-1,60),ROW()-1,FALSE))</f>
        <v>58.767750929999998</v>
      </c>
      <c r="AO160">
        <f ca="1">IF(AND(ISNUMBER($AO$328),$B$183=1),$AO$328,HLOOKUP(INDIRECT(ADDRESS(2,COLUMN())),OFFSET($BN$2,0,0,ROW()-1,60),ROW()-1,FALSE))</f>
        <v>67.324554950000007</v>
      </c>
      <c r="AP160">
        <f ca="1">IF(AND(ISNUMBER($AP$328),$B$183=1),$AP$328,HLOOKUP(INDIRECT(ADDRESS(2,COLUMN())),OFFSET($BN$2,0,0,ROW()-1,60),ROW()-1,FALSE))</f>
        <v>58.628987590000001</v>
      </c>
      <c r="AQ160">
        <f ca="1">IF(AND(ISNUMBER($AQ$328),$B$183=1),$AQ$328,HLOOKUP(INDIRECT(ADDRESS(2,COLUMN())),OFFSET($BN$2,0,0,ROW()-1,60),ROW()-1,FALSE))</f>
        <v>48.561468730000001</v>
      </c>
      <c r="AR160">
        <f ca="1">IF(AND(ISNUMBER($AR$328),$B$183=1),$AR$328,HLOOKUP(INDIRECT(ADDRESS(2,COLUMN())),OFFSET($BN$2,0,0,ROW()-1,60),ROW()-1,FALSE))</f>
        <v>49.91539908</v>
      </c>
      <c r="AS160">
        <f ca="1">IF(AND(ISNUMBER($AS$328),$B$183=1),$AS$328,HLOOKUP(INDIRECT(ADDRESS(2,COLUMN())),OFFSET($BN$2,0,0,ROW()-1,60),ROW()-1,FALSE))</f>
        <v>48.485897819999998</v>
      </c>
      <c r="AT160">
        <f ca="1">IF(AND(ISNUMBER($AT$328),$B$183=1),$AT$328,HLOOKUP(INDIRECT(ADDRESS(2,COLUMN())),OFFSET($BN$2,0,0,ROW()-1,60),ROW()-1,FALSE))</f>
        <v>48.487236760000002</v>
      </c>
      <c r="AU160">
        <f ca="1">IF(AND(ISNUMBER($AU$328),$B$183=1),$AU$328,HLOOKUP(INDIRECT(ADDRESS(2,COLUMN())),OFFSET($BN$2,0,0,ROW()-1,60),ROW()-1,FALSE))</f>
        <v>44.658861049999999</v>
      </c>
      <c r="AV160">
        <f ca="1">IF(AND(ISNUMBER($AV$328),$B$183=1),$AV$328,HLOOKUP(INDIRECT(ADDRESS(2,COLUMN())),OFFSET($BN$2,0,0,ROW()-1,60),ROW()-1,FALSE))</f>
        <v>43.511833860000003</v>
      </c>
      <c r="AW160">
        <f ca="1">IF(AND(ISNUMBER($AW$328),$B$183=1),$AW$328,HLOOKUP(INDIRECT(ADDRESS(2,COLUMN())),OFFSET($BN$2,0,0,ROW()-1,60),ROW()-1,FALSE))</f>
        <v>40.227337329999997</v>
      </c>
      <c r="AX160">
        <f ca="1">IF(AND(ISNUMBER($AX$328),$B$183=1),$AX$328,HLOOKUP(INDIRECT(ADDRESS(2,COLUMN())),OFFSET($BN$2,0,0,ROW()-1,60),ROW()-1,FALSE))</f>
        <v>40.146745770000003</v>
      </c>
      <c r="AY160">
        <f ca="1">IF(AND(ISNUMBER($AY$328),$B$183=1),$AY$328,HLOOKUP(INDIRECT(ADDRESS(2,COLUMN())),OFFSET($BN$2,0,0,ROW()-1,60),ROW()-1,FALSE))</f>
        <v>41.603269840000003</v>
      </c>
      <c r="AZ160">
        <f ca="1">IF(AND(ISNUMBER($AZ$328),$B$183=1),$AZ$328,HLOOKUP(INDIRECT(ADDRESS(2,COLUMN())),OFFSET($BN$2,0,0,ROW()-1,60),ROW()-1,FALSE))</f>
        <v>43.223649080000001</v>
      </c>
      <c r="BA160">
        <f ca="1">IF(AND(ISNUMBER($BA$328),$B$183=1),$BA$328,HLOOKUP(INDIRECT(ADDRESS(2,COLUMN())),OFFSET($BN$2,0,0,ROW()-1,60),ROW()-1,FALSE))</f>
        <v>42.192265579999997</v>
      </c>
      <c r="BB160">
        <f ca="1">IF(AND(ISNUMBER($BB$328),$B$183=1),$BB$328,HLOOKUP(INDIRECT(ADDRESS(2,COLUMN())),OFFSET($BN$2,0,0,ROW()-1,60),ROW()-1,FALSE))</f>
        <v>45.907152019999998</v>
      </c>
      <c r="BC160">
        <f ca="1">IF(AND(ISNUMBER($BC$328),$B$183=1),$BC$328,HLOOKUP(INDIRECT(ADDRESS(2,COLUMN())),OFFSET($BN$2,0,0,ROW()-1,60),ROW()-1,FALSE))</f>
        <v>45.321200709999999</v>
      </c>
      <c r="BD160">
        <f ca="1">IF(AND(ISNUMBER($BD$328),$B$183=1),$BD$328,HLOOKUP(INDIRECT(ADDRESS(2,COLUMN())),OFFSET($BN$2,0,0,ROW()-1,60),ROW()-1,FALSE))</f>
        <v>45.861669120000002</v>
      </c>
      <c r="BE160">
        <f ca="1">IF(AND(ISNUMBER($BE$328),$B$183=1),$BE$328,HLOOKUP(INDIRECT(ADDRESS(2,COLUMN())),OFFSET($BN$2,0,0,ROW()-1,60),ROW()-1,FALSE))</f>
        <v>48.425608580000002</v>
      </c>
      <c r="BF160">
        <f ca="1">IF(AND(ISNUMBER($BF$328),$B$183=1),$BF$328,HLOOKUP(INDIRECT(ADDRESS(2,COLUMN())),OFFSET($BN$2,0,0,ROW()-1,60),ROW()-1,FALSE))</f>
        <v>45.504921969999998</v>
      </c>
      <c r="BG160">
        <f ca="1">IF(AND(ISNUMBER($BG$328),$B$183=1),$BG$328,HLOOKUP(INDIRECT(ADDRESS(2,COLUMN())),OFFSET($BN$2,0,0,ROW()-1,60),ROW()-1,FALSE))</f>
        <v>46.266429469999999</v>
      </c>
      <c r="BH160">
        <f ca="1">IF(AND(ISNUMBER($BH$328),$B$183=1),$BH$328,HLOOKUP(INDIRECT(ADDRESS(2,COLUMN())),OFFSET($BN$2,0,0,ROW()-1,60),ROW()-1,FALSE))</f>
        <v>46.976981510000002</v>
      </c>
      <c r="BI160">
        <f ca="1">IF(AND(ISNUMBER($BI$328),$B$183=1),$BI$328,HLOOKUP(INDIRECT(ADDRESS(2,COLUMN())),OFFSET($BN$2,0,0,ROW()-1,60),ROW()-1,FALSE))</f>
        <v>44.896583309999997</v>
      </c>
      <c r="BJ160">
        <f ca="1">IF(AND(ISNUMBER($BJ$328),$B$183=1),$BJ$328,HLOOKUP(INDIRECT(ADDRESS(2,COLUMN())),OFFSET($BN$2,0,0,ROW()-1,60),ROW()-1,FALSE))</f>
        <v>48.318854930000001</v>
      </c>
      <c r="BK160">
        <f ca="1">IF(AND(ISNUMBER($BK$328),$B$183=1),$BK$328,HLOOKUP(INDIRECT(ADDRESS(2,COLUMN())),OFFSET($BN$2,0,0,ROW()-1,60),ROW()-1,FALSE))</f>
        <v>48.602858480000002</v>
      </c>
      <c r="BL160">
        <f ca="1">IF(AND(ISNUMBER($BL$328),$B$183=1),$BL$328,HLOOKUP(INDIRECT(ADDRESS(2,COLUMN())),OFFSET($BN$2,0,0,ROW()-1,60),ROW()-1,FALSE))</f>
        <v>50.488047100000003</v>
      </c>
      <c r="BM160">
        <f ca="1">IF(AND(ISNUMBER($BM$328),$B$183=1),$BM$328,HLOOKUP(INDIRECT(ADDRESS(2,COLUMN())),OFFSET($BN$2,0,0,ROW()-1,60),ROW()-1,FALSE))</f>
        <v>53.339695669999998</v>
      </c>
      <c r="BN160">
        <f>34.65575778</f>
        <v>34.655757780000002</v>
      </c>
      <c r="BO160">
        <f>34.20857964</f>
        <v>34.208579640000004</v>
      </c>
      <c r="BP160">
        <f>34.10687906</f>
        <v>34.106879059999997</v>
      </c>
      <c r="BQ160">
        <f>34.33204079</f>
        <v>34.332040790000001</v>
      </c>
      <c r="BR160">
        <f>33.54928407</f>
        <v>33.549284069999999</v>
      </c>
      <c r="BS160">
        <f>32.77811588</f>
        <v>32.778115880000001</v>
      </c>
      <c r="BT160">
        <f>32.70271821</f>
        <v>32.70271821</v>
      </c>
      <c r="BU160">
        <f>34.33138639</f>
        <v>34.331386389999999</v>
      </c>
      <c r="BV160">
        <f>35.84089415</f>
        <v>35.840894149999997</v>
      </c>
      <c r="BW160">
        <f>38.01365849</f>
        <v>38.013658489999997</v>
      </c>
      <c r="BX160">
        <f>37.80987382</f>
        <v>37.80987382</v>
      </c>
      <c r="BY160">
        <f>34.58272102</f>
        <v>34.582721020000001</v>
      </c>
      <c r="BZ160">
        <f>34.77023319</f>
        <v>34.770233189999999</v>
      </c>
      <c r="CA160">
        <f>37.11364672</f>
        <v>37.113646719999998</v>
      </c>
      <c r="CB160">
        <f>36.49339123</f>
        <v>36.49339123</v>
      </c>
      <c r="CC160">
        <f>37.79759855</f>
        <v>37.797598549999996</v>
      </c>
      <c r="CD160">
        <f>38.91382035</f>
        <v>38.913820350000002</v>
      </c>
      <c r="CE160">
        <f>38.23723477</f>
        <v>38.237234770000001</v>
      </c>
      <c r="CF160">
        <f>36.90395319</f>
        <v>36.903953190000003</v>
      </c>
      <c r="CG160">
        <f>36.01577358</f>
        <v>36.015773580000001</v>
      </c>
      <c r="CH160">
        <f>37.83313004</f>
        <v>37.83313004</v>
      </c>
      <c r="CI160">
        <f>39.23106987</f>
        <v>39.231069869999999</v>
      </c>
      <c r="CJ160">
        <f>39.13009463</f>
        <v>39.130094630000002</v>
      </c>
      <c r="CK160">
        <f>39.60017644</f>
        <v>39.600176439999998</v>
      </c>
      <c r="CL160">
        <f>41.25209</f>
        <v>41.252090000000003</v>
      </c>
      <c r="CM160">
        <f>44.41581853</f>
        <v>44.415818530000003</v>
      </c>
      <c r="CN160">
        <f>41.70640663</f>
        <v>41.706406629999996</v>
      </c>
      <c r="CO160">
        <f>41.99599624</f>
        <v>41.995996239999997</v>
      </c>
      <c r="CP160">
        <f>43.48680407</f>
        <v>43.486804069999998</v>
      </c>
      <c r="CQ160">
        <f>43.31917319</f>
        <v>43.319173190000001</v>
      </c>
      <c r="CR160">
        <f>45.96930516</f>
        <v>45.969305159999998</v>
      </c>
      <c r="CS160">
        <f>45.85586655</f>
        <v>45.855866550000002</v>
      </c>
      <c r="CT160">
        <f>48.48325363</f>
        <v>48.48325363</v>
      </c>
      <c r="CU160">
        <f>50.93671628</f>
        <v>50.936716279999999</v>
      </c>
      <c r="CV160">
        <f>58.76775093</f>
        <v>58.767750929999998</v>
      </c>
      <c r="CW160">
        <f>67.32455495</f>
        <v>67.324554950000007</v>
      </c>
      <c r="CX160">
        <f>58.62898759</f>
        <v>58.628987590000001</v>
      </c>
      <c r="CY160">
        <f>48.56146873</f>
        <v>48.561468730000001</v>
      </c>
      <c r="CZ160">
        <f>49.91539908</f>
        <v>49.91539908</v>
      </c>
      <c r="DA160">
        <f>48.48589782</f>
        <v>48.485897819999998</v>
      </c>
      <c r="DB160">
        <f>48.48723676</f>
        <v>48.487236760000002</v>
      </c>
      <c r="DC160">
        <f>44.65886105</f>
        <v>44.658861049999999</v>
      </c>
      <c r="DD160">
        <f>43.51183386</f>
        <v>43.511833860000003</v>
      </c>
      <c r="DE160">
        <f>40.22733733</f>
        <v>40.227337329999997</v>
      </c>
      <c r="DF160">
        <f>40.14674577</f>
        <v>40.146745770000003</v>
      </c>
      <c r="DG160">
        <f>41.60326984</f>
        <v>41.603269840000003</v>
      </c>
      <c r="DH160">
        <f>43.22364908</f>
        <v>43.223649080000001</v>
      </c>
      <c r="DI160">
        <f>42.19226558</f>
        <v>42.192265579999997</v>
      </c>
      <c r="DJ160">
        <f>45.90715202</f>
        <v>45.907152019999998</v>
      </c>
      <c r="DK160">
        <f>45.32120071</f>
        <v>45.321200709999999</v>
      </c>
      <c r="DL160">
        <f>45.86166912</f>
        <v>45.861669120000002</v>
      </c>
      <c r="DM160">
        <f>48.42560858</f>
        <v>48.425608580000002</v>
      </c>
      <c r="DN160">
        <f>45.50492197</f>
        <v>45.504921969999998</v>
      </c>
      <c r="DO160">
        <f>46.26642947</f>
        <v>46.266429469999999</v>
      </c>
      <c r="DP160">
        <f>46.97698151</f>
        <v>46.976981510000002</v>
      </c>
      <c r="DQ160">
        <f>44.89658331</f>
        <v>44.896583309999997</v>
      </c>
      <c r="DR160">
        <f>48.31885493</f>
        <v>48.318854930000001</v>
      </c>
      <c r="DS160">
        <f>48.60285848</f>
        <v>48.602858480000002</v>
      </c>
      <c r="DT160">
        <f>50.4880471</f>
        <v>50.488047100000003</v>
      </c>
      <c r="DU160">
        <f>53.33969567</f>
        <v>53.339695669999998</v>
      </c>
    </row>
    <row r="161" spans="1:125">
      <c r="A161" t="str">
        <f>"    房地产投资信托平均股东权益/总资产"</f>
        <v xml:space="preserve">    房地产投资信托平均股东权益/总资产</v>
      </c>
      <c r="B161" t="str">
        <f>"RECFAVSE Index"</f>
        <v>RECFAVSE Index</v>
      </c>
      <c r="C161" t="str">
        <f t="shared" si="45"/>
        <v>PR005</v>
      </c>
      <c r="D161" t="str">
        <f t="shared" si="46"/>
        <v>PX_LAST</v>
      </c>
      <c r="E161" t="str">
        <f t="shared" si="47"/>
        <v>动态</v>
      </c>
      <c r="F161">
        <f ca="1">IF(AND(ISNUMBER($F$329),$B$183=1),$F$329,HLOOKUP(INDIRECT(ADDRESS(2,COLUMN())),OFFSET($BN$2,0,0,ROW()-1,60),ROW()-1,FALSE))</f>
        <v>45.320500109999998</v>
      </c>
      <c r="G161">
        <f ca="1">IF(AND(ISNUMBER($G$329),$B$183=1),$G$329,HLOOKUP(INDIRECT(ADDRESS(2,COLUMN())),OFFSET($BN$2,0,0,ROW()-1,60),ROW()-1,FALSE))</f>
        <v>44.68289068</v>
      </c>
      <c r="H161">
        <f ca="1">IF(AND(ISNUMBER($H$329),$B$183=1),$H$329,HLOOKUP(INDIRECT(ADDRESS(2,COLUMN())),OFFSET($BN$2,0,0,ROW()-1,60),ROW()-1,FALSE))</f>
        <v>44.293031079999999</v>
      </c>
      <c r="I161">
        <f ca="1">IF(AND(ISNUMBER($I$329),$B$183=1),$I$329,HLOOKUP(INDIRECT(ADDRESS(2,COLUMN())),OFFSET($BN$2,0,0,ROW()-1,60),ROW()-1,FALSE))</f>
        <v>44.295990490000001</v>
      </c>
      <c r="J161">
        <f ca="1">IF(AND(ISNUMBER($J$329),$B$183=1),$J$329,HLOOKUP(INDIRECT(ADDRESS(2,COLUMN())),OFFSET($BN$2,0,0,ROW()-1,60),ROW()-1,FALSE))</f>
        <v>44.348303919999999</v>
      </c>
      <c r="K161">
        <f ca="1">IF(AND(ISNUMBER($K$329),$B$183=1),$K$329,HLOOKUP(INDIRECT(ADDRESS(2,COLUMN())),OFFSET($BN$2,0,0,ROW()-1,60),ROW()-1,FALSE))</f>
        <v>43.744949339999998</v>
      </c>
      <c r="L161">
        <f ca="1">IF(AND(ISNUMBER($L$329),$B$183=1),$L$329,HLOOKUP(INDIRECT(ADDRESS(2,COLUMN())),OFFSET($BN$2,0,0,ROW()-1,60),ROW()-1,FALSE))</f>
        <v>43.315187790000003</v>
      </c>
      <c r="M161">
        <f ca="1">IF(AND(ISNUMBER($M$329),$B$183=1),$M$329,HLOOKUP(INDIRECT(ADDRESS(2,COLUMN())),OFFSET($BN$2,0,0,ROW()-1,60),ROW()-1,FALSE))</f>
        <v>43.07188858</v>
      </c>
      <c r="N161">
        <f ca="1">IF(AND(ISNUMBER($N$329),$B$183=1),$N$329,HLOOKUP(INDIRECT(ADDRESS(2,COLUMN())),OFFSET($BN$2,0,0,ROW()-1,60),ROW()-1,FALSE))</f>
        <v>42.658425889999997</v>
      </c>
      <c r="O161">
        <f ca="1">IF(AND(ISNUMBER($O$329),$B$183=1),$O$329,HLOOKUP(INDIRECT(ADDRESS(2,COLUMN())),OFFSET($BN$2,0,0,ROW()-1,60),ROW()-1,FALSE))</f>
        <v>42.612999010000003</v>
      </c>
      <c r="P161">
        <f ca="1">IF(AND(ISNUMBER($P$329),$B$183=1),$P$329,HLOOKUP(INDIRECT(ADDRESS(2,COLUMN())),OFFSET($BN$2,0,0,ROW()-1,60),ROW()-1,FALSE))</f>
        <v>43.669004839999999</v>
      </c>
      <c r="Q161">
        <f ca="1">IF(AND(ISNUMBER($Q$329),$B$183=1),$Q$329,HLOOKUP(INDIRECT(ADDRESS(2,COLUMN())),OFFSET($BN$2,0,0,ROW()-1,60),ROW()-1,FALSE))</f>
        <v>43.679568310000001</v>
      </c>
      <c r="R161">
        <f ca="1">IF(AND(ISNUMBER($R$329),$B$183=1),$R$329,HLOOKUP(INDIRECT(ADDRESS(2,COLUMN())),OFFSET($BN$2,0,0,ROW()-1,60),ROW()-1,FALSE))</f>
        <v>43.596190530000001</v>
      </c>
      <c r="S161">
        <f ca="1">IF(AND(ISNUMBER($S$329),$B$183=1),$S$329,HLOOKUP(INDIRECT(ADDRESS(2,COLUMN())),OFFSET($BN$2,0,0,ROW()-1,60),ROW()-1,FALSE))</f>
        <v>43.845915429999998</v>
      </c>
      <c r="T161">
        <f ca="1">IF(AND(ISNUMBER($T$329),$B$183=1),$T$329,HLOOKUP(INDIRECT(ADDRESS(2,COLUMN())),OFFSET($BN$2,0,0,ROW()-1,60),ROW()-1,FALSE))</f>
        <v>44.031150369999999</v>
      </c>
      <c r="U161">
        <f ca="1">IF(AND(ISNUMBER($U$329),$B$183=1),$U$329,HLOOKUP(INDIRECT(ADDRESS(2,COLUMN())),OFFSET($BN$2,0,0,ROW()-1,60),ROW()-1,FALSE))</f>
        <v>43.823784359999998</v>
      </c>
      <c r="V161">
        <f ca="1">IF(AND(ISNUMBER($V$329),$B$183=1),$V$329,HLOOKUP(INDIRECT(ADDRESS(2,COLUMN())),OFFSET($BN$2,0,0,ROW()-1,60),ROW()-1,FALSE))</f>
        <v>43.936052590000003</v>
      </c>
      <c r="W161">
        <f ca="1">IF(AND(ISNUMBER($W$329),$B$183=1),$W$329,HLOOKUP(INDIRECT(ADDRESS(2,COLUMN())),OFFSET($BN$2,0,0,ROW()-1,60),ROW()-1,FALSE))</f>
        <v>43.983902999999998</v>
      </c>
      <c r="X161">
        <f ca="1">IF(AND(ISNUMBER($X$329),$B$183=1),$X$329,HLOOKUP(INDIRECT(ADDRESS(2,COLUMN())),OFFSET($BN$2,0,0,ROW()-1,60),ROW()-1,FALSE))</f>
        <v>44.354161740000002</v>
      </c>
      <c r="Y161">
        <f ca="1">IF(AND(ISNUMBER($Y$329),$B$183=1),$Y$329,HLOOKUP(INDIRECT(ADDRESS(2,COLUMN())),OFFSET($BN$2,0,0,ROW()-1,60),ROW()-1,FALSE))</f>
        <v>43.617926400000002</v>
      </c>
      <c r="Z161">
        <f ca="1">IF(AND(ISNUMBER($Z$329),$B$183=1),$Z$329,HLOOKUP(INDIRECT(ADDRESS(2,COLUMN())),OFFSET($BN$2,0,0,ROW()-1,60),ROW()-1,FALSE))</f>
        <v>42.303645580000001</v>
      </c>
      <c r="AA161">
        <f ca="1">IF(AND(ISNUMBER($AA$329),$B$183=1),$AA$329,HLOOKUP(INDIRECT(ADDRESS(2,COLUMN())),OFFSET($BN$2,0,0,ROW()-1,60),ROW()-1,FALSE))</f>
        <v>42.434289790000001</v>
      </c>
      <c r="AB161">
        <f ca="1">IF(AND(ISNUMBER($AB$329),$B$183=1),$AB$329,HLOOKUP(INDIRECT(ADDRESS(2,COLUMN())),OFFSET($BN$2,0,0,ROW()-1,60),ROW()-1,FALSE))</f>
        <v>42.174114350000004</v>
      </c>
      <c r="AC161">
        <f ca="1">IF(AND(ISNUMBER($AC$329),$B$183=1),$AC$329,HLOOKUP(INDIRECT(ADDRESS(2,COLUMN())),OFFSET($BN$2,0,0,ROW()-1,60),ROW()-1,FALSE))</f>
        <v>42.066085129999998</v>
      </c>
      <c r="AD161">
        <f ca="1">IF(AND(ISNUMBER($AD$329),$B$183=1),$AD$329,HLOOKUP(INDIRECT(ADDRESS(2,COLUMN())),OFFSET($BN$2,0,0,ROW()-1,60),ROW()-1,FALSE))</f>
        <v>41.893260320000003</v>
      </c>
      <c r="AE161">
        <f ca="1">IF(AND(ISNUMBER($AE$329),$B$183=1),$AE$329,HLOOKUP(INDIRECT(ADDRESS(2,COLUMN())),OFFSET($BN$2,0,0,ROW()-1,60),ROW()-1,FALSE))</f>
        <v>42.382332939999998</v>
      </c>
      <c r="AF161">
        <f ca="1">IF(AND(ISNUMBER($AF$329),$B$183=1),$AF$329,HLOOKUP(INDIRECT(ADDRESS(2,COLUMN())),OFFSET($BN$2,0,0,ROW()-1,60),ROW()-1,FALSE))</f>
        <v>42.001058700000002</v>
      </c>
      <c r="AG161">
        <f ca="1">IF(AND(ISNUMBER($AG$329),$B$183=1),$AG$329,HLOOKUP(INDIRECT(ADDRESS(2,COLUMN())),OFFSET($BN$2,0,0,ROW()-1,60),ROW()-1,FALSE))</f>
        <v>41.448799749999999</v>
      </c>
      <c r="AH161">
        <f ca="1">IF(AND(ISNUMBER($AH$329),$B$183=1),$AH$329,HLOOKUP(INDIRECT(ADDRESS(2,COLUMN())),OFFSET($BN$2,0,0,ROW()-1,60),ROW()-1,FALSE))</f>
        <v>40.724347330000001</v>
      </c>
      <c r="AI161">
        <f ca="1">IF(AND(ISNUMBER($AI$329),$B$183=1),$AI$329,HLOOKUP(INDIRECT(ADDRESS(2,COLUMN())),OFFSET($BN$2,0,0,ROW()-1,60),ROW()-1,FALSE))</f>
        <v>41.012184759999997</v>
      </c>
      <c r="AJ161">
        <f ca="1">IF(AND(ISNUMBER($AJ$329),$B$183=1),$AJ$329,HLOOKUP(INDIRECT(ADDRESS(2,COLUMN())),OFFSET($BN$2,0,0,ROW()-1,60),ROW()-1,FALSE))</f>
        <v>41.157108360000002</v>
      </c>
      <c r="AK161">
        <f ca="1">IF(AND(ISNUMBER($AK$329),$B$183=1),$AK$329,HLOOKUP(INDIRECT(ADDRESS(2,COLUMN())),OFFSET($BN$2,0,0,ROW()-1,60),ROW()-1,FALSE))</f>
        <v>40.111571849999997</v>
      </c>
      <c r="AL161">
        <f ca="1">IF(AND(ISNUMBER($AL$329),$B$183=1),$AL$329,HLOOKUP(INDIRECT(ADDRESS(2,COLUMN())),OFFSET($BN$2,0,0,ROW()-1,60),ROW()-1,FALSE))</f>
        <v>39.635638849999999</v>
      </c>
      <c r="AM161">
        <f ca="1">IF(AND(ISNUMBER($AM$329),$B$183=1),$AM$329,HLOOKUP(INDIRECT(ADDRESS(2,COLUMN())),OFFSET($BN$2,0,0,ROW()-1,60),ROW()-1,FALSE))</f>
        <v>39.374066380000002</v>
      </c>
      <c r="AN161">
        <f ca="1">IF(AND(ISNUMBER($AN$329),$B$183=1),$AN$329,HLOOKUP(INDIRECT(ADDRESS(2,COLUMN())),OFFSET($BN$2,0,0,ROW()-1,60),ROW()-1,FALSE))</f>
        <v>38.812678490000003</v>
      </c>
      <c r="AO161">
        <f ca="1">IF(AND(ISNUMBER($AO$329),$B$183=1),$AO$329,HLOOKUP(INDIRECT(ADDRESS(2,COLUMN())),OFFSET($BN$2,0,0,ROW()-1,60),ROW()-1,FALSE))</f>
        <v>36.457668910000002</v>
      </c>
      <c r="AP161">
        <f ca="1">IF(AND(ISNUMBER($AP$329),$B$183=1),$AP$329,HLOOKUP(INDIRECT(ADDRESS(2,COLUMN())),OFFSET($BN$2,0,0,ROW()-1,60),ROW()-1,FALSE))</f>
        <v>35.645149889999999</v>
      </c>
      <c r="AQ161">
        <f ca="1">IF(AND(ISNUMBER($AQ$329),$B$183=1),$AQ$329,HLOOKUP(INDIRECT(ADDRESS(2,COLUMN())),OFFSET($BN$2,0,0,ROW()-1,60),ROW()-1,FALSE))</f>
        <v>32.889830490000001</v>
      </c>
      <c r="AR161">
        <f ca="1">IF(AND(ISNUMBER($AR$329),$B$183=1),$AR$329,HLOOKUP(INDIRECT(ADDRESS(2,COLUMN())),OFFSET($BN$2,0,0,ROW()-1,60),ROW()-1,FALSE))</f>
        <v>32.83339805</v>
      </c>
      <c r="AS161">
        <f ca="1">IF(AND(ISNUMBER($AS$329),$B$183=1),$AS$329,HLOOKUP(INDIRECT(ADDRESS(2,COLUMN())),OFFSET($BN$2,0,0,ROW()-1,60),ROW()-1,FALSE))</f>
        <v>32.356248899999997</v>
      </c>
      <c r="AT161">
        <f ca="1">IF(AND(ISNUMBER($AT$329),$B$183=1),$AT$329,HLOOKUP(INDIRECT(ADDRESS(2,COLUMN())),OFFSET($BN$2,0,0,ROW()-1,60),ROW()-1,FALSE))</f>
        <v>32.473224160000001</v>
      </c>
      <c r="AU161">
        <f ca="1">IF(AND(ISNUMBER($AU$329),$B$183=1),$AU$329,HLOOKUP(INDIRECT(ADDRESS(2,COLUMN())),OFFSET($BN$2,0,0,ROW()-1,60),ROW()-1,FALSE))</f>
        <v>32.344278799999998</v>
      </c>
      <c r="AV161">
        <f ca="1">IF(AND(ISNUMBER($AV$329),$B$183=1),$AV$329,HLOOKUP(INDIRECT(ADDRESS(2,COLUMN())),OFFSET($BN$2,0,0,ROW()-1,60),ROW()-1,FALSE))</f>
        <v>33.706802379999999</v>
      </c>
      <c r="AW161">
        <f ca="1">IF(AND(ISNUMBER($AW$329),$B$183=1),$AW$329,HLOOKUP(INDIRECT(ADDRESS(2,COLUMN())),OFFSET($BN$2,0,0,ROW()-1,60),ROW()-1,FALSE))</f>
        <v>34.194318490000001</v>
      </c>
      <c r="AX161">
        <f ca="1">IF(AND(ISNUMBER($AX$329),$B$183=1),$AX$329,HLOOKUP(INDIRECT(ADDRESS(2,COLUMN())),OFFSET($BN$2,0,0,ROW()-1,60),ROW()-1,FALSE))</f>
        <v>33.852177500000003</v>
      </c>
      <c r="AY161">
        <f ca="1">IF(AND(ISNUMBER($AY$329),$B$183=1),$AY$329,HLOOKUP(INDIRECT(ADDRESS(2,COLUMN())),OFFSET($BN$2,0,0,ROW()-1,60),ROW()-1,FALSE))</f>
        <v>33.676022109999998</v>
      </c>
      <c r="AZ161">
        <f ca="1">IF(AND(ISNUMBER($AZ$329),$B$183=1),$AZ$329,HLOOKUP(INDIRECT(ADDRESS(2,COLUMN())),OFFSET($BN$2,0,0,ROW()-1,60),ROW()-1,FALSE))</f>
        <v>34.052605810000003</v>
      </c>
      <c r="BA161">
        <f ca="1">IF(AND(ISNUMBER($BA$329),$B$183=1),$BA$329,HLOOKUP(INDIRECT(ADDRESS(2,COLUMN())),OFFSET($BN$2,0,0,ROW()-1,60),ROW()-1,FALSE))</f>
        <v>33.859554490000001</v>
      </c>
      <c r="BB161">
        <f ca="1">IF(AND(ISNUMBER($BB$329),$B$183=1),$BB$329,HLOOKUP(INDIRECT(ADDRESS(2,COLUMN())),OFFSET($BN$2,0,0,ROW()-1,60),ROW()-1,FALSE))</f>
        <v>33.722709780000002</v>
      </c>
      <c r="BC161">
        <f ca="1">IF(AND(ISNUMBER($BC$329),$B$183=1),$BC$329,HLOOKUP(INDIRECT(ADDRESS(2,COLUMN())),OFFSET($BN$2,0,0,ROW()-1,60),ROW()-1,FALSE))</f>
        <v>34.233056789999999</v>
      </c>
      <c r="BD161">
        <f ca="1">IF(AND(ISNUMBER($BD$329),$B$183=1),$BD$329,HLOOKUP(INDIRECT(ADDRESS(2,COLUMN())),OFFSET($BN$2,0,0,ROW()-1,60),ROW()-1,FALSE))</f>
        <v>33.969678600000002</v>
      </c>
      <c r="BE161">
        <f ca="1">IF(AND(ISNUMBER($BE$329),$B$183=1),$BE$329,HLOOKUP(INDIRECT(ADDRESS(2,COLUMN())),OFFSET($BN$2,0,0,ROW()-1,60),ROW()-1,FALSE))</f>
        <v>34.529879090000001</v>
      </c>
      <c r="BF161">
        <f ca="1">IF(AND(ISNUMBER($BF$329),$B$183=1),$BF$329,HLOOKUP(INDIRECT(ADDRESS(2,COLUMN())),OFFSET($BN$2,0,0,ROW()-1,60),ROW()-1,FALSE))</f>
        <v>34.775698560000002</v>
      </c>
      <c r="BG161">
        <f ca="1">IF(AND(ISNUMBER($BG$329),$B$183=1),$BG$329,HLOOKUP(INDIRECT(ADDRESS(2,COLUMN())),OFFSET($BN$2,0,0,ROW()-1,60),ROW()-1,FALSE))</f>
        <v>36.239233939999998</v>
      </c>
      <c r="BH161">
        <f ca="1">IF(AND(ISNUMBER($BH$329),$B$183=1),$BH$329,HLOOKUP(INDIRECT(ADDRESS(2,COLUMN())),OFFSET($BN$2,0,0,ROW()-1,60),ROW()-1,FALSE))</f>
        <v>36.564943739999997</v>
      </c>
      <c r="BI161">
        <f ca="1">IF(AND(ISNUMBER($BI$329),$B$183=1),$BI$329,HLOOKUP(INDIRECT(ADDRESS(2,COLUMN())),OFFSET($BN$2,0,0,ROW()-1,60),ROW()-1,FALSE))</f>
        <v>36.817086580000002</v>
      </c>
      <c r="BJ161">
        <f ca="1">IF(AND(ISNUMBER($BJ$329),$B$183=1),$BJ$329,HLOOKUP(INDIRECT(ADDRESS(2,COLUMN())),OFFSET($BN$2,0,0,ROW()-1,60),ROW()-1,FALSE))</f>
        <v>36.687800629999998</v>
      </c>
      <c r="BK161">
        <f ca="1">IF(AND(ISNUMBER($BK$329),$B$183=1),$BK$329,HLOOKUP(INDIRECT(ADDRESS(2,COLUMN())),OFFSET($BN$2,0,0,ROW()-1,60),ROW()-1,FALSE))</f>
        <v>36.641863790000002</v>
      </c>
      <c r="BL161">
        <f ca="1">IF(AND(ISNUMBER($BL$329),$B$183=1),$BL$329,HLOOKUP(INDIRECT(ADDRESS(2,COLUMN())),OFFSET($BN$2,0,0,ROW()-1,60),ROW()-1,FALSE))</f>
        <v>36.544340579999997</v>
      </c>
      <c r="BM161">
        <f ca="1">IF(AND(ISNUMBER($BM$329),$B$183=1),$BM$329,HLOOKUP(INDIRECT(ADDRESS(2,COLUMN())),OFFSET($BN$2,0,0,ROW()-1,60),ROW()-1,FALSE))</f>
        <v>36.498794799999999</v>
      </c>
      <c r="BN161">
        <f>45.32050011</f>
        <v>45.320500109999998</v>
      </c>
      <c r="BO161">
        <f>44.68289068</f>
        <v>44.68289068</v>
      </c>
      <c r="BP161">
        <f>44.29303108</f>
        <v>44.293031079999999</v>
      </c>
      <c r="BQ161">
        <f>44.29599049</f>
        <v>44.295990490000001</v>
      </c>
      <c r="BR161">
        <f>44.34830392</f>
        <v>44.348303919999999</v>
      </c>
      <c r="BS161">
        <f>43.74494934</f>
        <v>43.744949339999998</v>
      </c>
      <c r="BT161">
        <f>43.31518779</f>
        <v>43.315187790000003</v>
      </c>
      <c r="BU161">
        <f>43.07188858</f>
        <v>43.07188858</v>
      </c>
      <c r="BV161">
        <f>42.65842589</f>
        <v>42.658425889999997</v>
      </c>
      <c r="BW161">
        <f>42.61299901</f>
        <v>42.612999010000003</v>
      </c>
      <c r="BX161">
        <f>43.66900484</f>
        <v>43.669004839999999</v>
      </c>
      <c r="BY161">
        <f>43.67956831</f>
        <v>43.679568310000001</v>
      </c>
      <c r="BZ161">
        <f>43.59619053</f>
        <v>43.596190530000001</v>
      </c>
      <c r="CA161">
        <f>43.84591543</f>
        <v>43.845915429999998</v>
      </c>
      <c r="CB161">
        <f>44.03115037</f>
        <v>44.031150369999999</v>
      </c>
      <c r="CC161">
        <f>43.82378436</f>
        <v>43.823784359999998</v>
      </c>
      <c r="CD161">
        <f>43.93605259</f>
        <v>43.936052590000003</v>
      </c>
      <c r="CE161">
        <f>43.983903</f>
        <v>43.983902999999998</v>
      </c>
      <c r="CF161">
        <f>44.35416174</f>
        <v>44.354161740000002</v>
      </c>
      <c r="CG161">
        <f>43.6179264</f>
        <v>43.617926400000002</v>
      </c>
      <c r="CH161">
        <f>42.30364558</f>
        <v>42.303645580000001</v>
      </c>
      <c r="CI161">
        <f>42.43428979</f>
        <v>42.434289790000001</v>
      </c>
      <c r="CJ161">
        <f>42.17411435</f>
        <v>42.174114350000004</v>
      </c>
      <c r="CK161">
        <f>42.06608513</f>
        <v>42.066085129999998</v>
      </c>
      <c r="CL161">
        <f>41.89326032</f>
        <v>41.893260320000003</v>
      </c>
      <c r="CM161">
        <f>42.38233294</f>
        <v>42.382332939999998</v>
      </c>
      <c r="CN161">
        <f>42.0010587</f>
        <v>42.001058700000002</v>
      </c>
      <c r="CO161">
        <f>41.44879975</f>
        <v>41.448799749999999</v>
      </c>
      <c r="CP161">
        <f>40.72434733</f>
        <v>40.724347330000001</v>
      </c>
      <c r="CQ161">
        <f>41.01218476</f>
        <v>41.012184759999997</v>
      </c>
      <c r="CR161">
        <f>41.15710836</f>
        <v>41.157108360000002</v>
      </c>
      <c r="CS161">
        <f>40.11157185</f>
        <v>40.111571849999997</v>
      </c>
      <c r="CT161">
        <f>39.63563885</f>
        <v>39.635638849999999</v>
      </c>
      <c r="CU161">
        <f>39.37406638</f>
        <v>39.374066380000002</v>
      </c>
      <c r="CV161">
        <f>38.81267849</f>
        <v>38.812678490000003</v>
      </c>
      <c r="CW161">
        <f>36.45766891</f>
        <v>36.457668910000002</v>
      </c>
      <c r="CX161">
        <f>35.64514989</f>
        <v>35.645149889999999</v>
      </c>
      <c r="CY161">
        <f>32.88983049</f>
        <v>32.889830490000001</v>
      </c>
      <c r="CZ161">
        <f>32.83339805</f>
        <v>32.83339805</v>
      </c>
      <c r="DA161">
        <f>32.3562489</f>
        <v>32.356248899999997</v>
      </c>
      <c r="DB161">
        <f>32.47322416</f>
        <v>32.473224160000001</v>
      </c>
      <c r="DC161">
        <f>32.3442788</f>
        <v>32.344278799999998</v>
      </c>
      <c r="DD161">
        <f>33.70680238</f>
        <v>33.706802379999999</v>
      </c>
      <c r="DE161">
        <f>34.19431849</f>
        <v>34.194318490000001</v>
      </c>
      <c r="DF161">
        <f>33.8521775</f>
        <v>33.852177500000003</v>
      </c>
      <c r="DG161">
        <f>33.67602211</f>
        <v>33.676022109999998</v>
      </c>
      <c r="DH161">
        <f>34.05260581</f>
        <v>34.052605810000003</v>
      </c>
      <c r="DI161">
        <f>33.85955449</f>
        <v>33.859554490000001</v>
      </c>
      <c r="DJ161">
        <f>33.72270978</f>
        <v>33.722709780000002</v>
      </c>
      <c r="DK161">
        <f>34.23305679</f>
        <v>34.233056789999999</v>
      </c>
      <c r="DL161">
        <f>33.9696786</f>
        <v>33.969678600000002</v>
      </c>
      <c r="DM161">
        <f>34.52987909</f>
        <v>34.529879090000001</v>
      </c>
      <c r="DN161">
        <f>34.77569856</f>
        <v>34.775698560000002</v>
      </c>
      <c r="DO161">
        <f>36.23923394</f>
        <v>36.239233939999998</v>
      </c>
      <c r="DP161">
        <f>36.56494374</f>
        <v>36.564943739999997</v>
      </c>
      <c r="DQ161">
        <f>36.81708658</f>
        <v>36.817086580000002</v>
      </c>
      <c r="DR161">
        <f>36.68780063</f>
        <v>36.687800629999998</v>
      </c>
      <c r="DS161">
        <f>36.64186379</f>
        <v>36.641863790000002</v>
      </c>
      <c r="DT161">
        <f>36.54434058</f>
        <v>36.544340579999997</v>
      </c>
      <c r="DU161">
        <f>36.4987948</f>
        <v>36.498794799999999</v>
      </c>
    </row>
    <row r="162" spans="1:125">
      <c r="A162" t="str">
        <f>"    房地产投资信托平均利息支出/净营业利润"</f>
        <v xml:space="preserve">    房地产投资信托平均利息支出/净营业利润</v>
      </c>
      <c r="B162" t="str">
        <f>"RECFAVIE Index"</f>
        <v>RECFAVIE Index</v>
      </c>
      <c r="C162" t="str">
        <f t="shared" si="45"/>
        <v>PR005</v>
      </c>
      <c r="D162" t="str">
        <f t="shared" si="46"/>
        <v>PX_LAST</v>
      </c>
      <c r="E162" t="str">
        <f t="shared" si="47"/>
        <v>动态</v>
      </c>
      <c r="F162">
        <f ca="1">IF(AND(ISNUMBER($F$330),$B$183=1),$F$330,HLOOKUP(INDIRECT(ADDRESS(2,COLUMN())),OFFSET($BN$2,0,0,ROW()-1,60),ROW()-1,FALSE))</f>
        <v>22.314364770000001</v>
      </c>
      <c r="G162">
        <f ca="1">IF(AND(ISNUMBER($G$330),$B$183=1),$G$330,HLOOKUP(INDIRECT(ADDRESS(2,COLUMN())),OFFSET($BN$2,0,0,ROW()-1,60),ROW()-1,FALSE))</f>
        <v>22.102477489999998</v>
      </c>
      <c r="H162">
        <f ca="1">IF(AND(ISNUMBER($H$330),$B$183=1),$H$330,HLOOKUP(INDIRECT(ADDRESS(2,COLUMN())),OFFSET($BN$2,0,0,ROW()-1,60),ROW()-1,FALSE))</f>
        <v>21.718263069999999</v>
      </c>
      <c r="I162">
        <f ca="1">IF(AND(ISNUMBER($I$330),$B$183=1),$I$330,HLOOKUP(INDIRECT(ADDRESS(2,COLUMN())),OFFSET($BN$2,0,0,ROW()-1,60),ROW()-1,FALSE))</f>
        <v>22.28119482</v>
      </c>
      <c r="J162">
        <f ca="1">IF(AND(ISNUMBER($J$330),$B$183=1),$J$330,HLOOKUP(INDIRECT(ADDRESS(2,COLUMN())),OFFSET($BN$2,0,0,ROW()-1,60),ROW()-1,FALSE))</f>
        <v>21.84945226</v>
      </c>
      <c r="K162">
        <f ca="1">IF(AND(ISNUMBER($K$330),$B$183=1),$K$330,HLOOKUP(INDIRECT(ADDRESS(2,COLUMN())),OFFSET($BN$2,0,0,ROW()-1,60),ROW()-1,FALSE))</f>
        <v>22.47328392</v>
      </c>
      <c r="L162">
        <f ca="1">IF(AND(ISNUMBER($L$330),$B$183=1),$L$330,HLOOKUP(INDIRECT(ADDRESS(2,COLUMN())),OFFSET($BN$2,0,0,ROW()-1,60),ROW()-1,FALSE))</f>
        <v>22.51891595</v>
      </c>
      <c r="M162">
        <f ca="1">IF(AND(ISNUMBER($M$330),$B$183=1),$M$330,HLOOKUP(INDIRECT(ADDRESS(2,COLUMN())),OFFSET($BN$2,0,0,ROW()-1,60),ROW()-1,FALSE))</f>
        <v>23.562811310000001</v>
      </c>
      <c r="N162">
        <f ca="1">IF(AND(ISNUMBER($N$330),$B$183=1),$N$330,HLOOKUP(INDIRECT(ADDRESS(2,COLUMN())),OFFSET($BN$2,0,0,ROW()-1,60),ROW()-1,FALSE))</f>
        <v>23.306762689999999</v>
      </c>
      <c r="O162">
        <f ca="1">IF(AND(ISNUMBER($O$330),$B$183=1),$O$330,HLOOKUP(INDIRECT(ADDRESS(2,COLUMN())),OFFSET($BN$2,0,0,ROW()-1,60),ROW()-1,FALSE))</f>
        <v>23.260958240000001</v>
      </c>
      <c r="P162">
        <f ca="1">IF(AND(ISNUMBER($P$330),$B$183=1),$P$330,HLOOKUP(INDIRECT(ADDRESS(2,COLUMN())),OFFSET($BN$2,0,0,ROW()-1,60),ROW()-1,FALSE))</f>
        <v>23.347598739999999</v>
      </c>
      <c r="Q162">
        <f ca="1">IF(AND(ISNUMBER($Q$330),$B$183=1),$Q$330,HLOOKUP(INDIRECT(ADDRESS(2,COLUMN())),OFFSET($BN$2,0,0,ROW()-1,60),ROW()-1,FALSE))</f>
        <v>24.450313560000001</v>
      </c>
      <c r="R162">
        <f ca="1">IF(AND(ISNUMBER($R$330),$B$183=1),$R$330,HLOOKUP(INDIRECT(ADDRESS(2,COLUMN())),OFFSET($BN$2,0,0,ROW()-1,60),ROW()-1,FALSE))</f>
        <v>24.757141220000001</v>
      </c>
      <c r="S162">
        <f ca="1">IF(AND(ISNUMBER($S$330),$B$183=1),$S$330,HLOOKUP(INDIRECT(ADDRESS(2,COLUMN())),OFFSET($BN$2,0,0,ROW()-1,60),ROW()-1,FALSE))</f>
        <v>25.03959682</v>
      </c>
      <c r="T162">
        <f ca="1">IF(AND(ISNUMBER($T$330),$B$183=1),$T$330,HLOOKUP(INDIRECT(ADDRESS(2,COLUMN())),OFFSET($BN$2,0,0,ROW()-1,60),ROW()-1,FALSE))</f>
        <v>25.089153379999999</v>
      </c>
      <c r="U162">
        <f ca="1">IF(AND(ISNUMBER($U$330),$B$183=1),$U$330,HLOOKUP(INDIRECT(ADDRESS(2,COLUMN())),OFFSET($BN$2,0,0,ROW()-1,60),ROW()-1,FALSE))</f>
        <v>26.57515166</v>
      </c>
      <c r="V162">
        <f ca="1">IF(AND(ISNUMBER($V$330),$B$183=1),$V$330,HLOOKUP(INDIRECT(ADDRESS(2,COLUMN())),OFFSET($BN$2,0,0,ROW()-1,60),ROW()-1,FALSE))</f>
        <v>26.493303340000001</v>
      </c>
      <c r="W162">
        <f ca="1">IF(AND(ISNUMBER($W$330),$B$183=1),$W$330,HLOOKUP(INDIRECT(ADDRESS(2,COLUMN())),OFFSET($BN$2,0,0,ROW()-1,60),ROW()-1,FALSE))</f>
        <v>27.197547459999999</v>
      </c>
      <c r="X162">
        <f ca="1">IF(AND(ISNUMBER($X$330),$B$183=1),$X$330,HLOOKUP(INDIRECT(ADDRESS(2,COLUMN())),OFFSET($BN$2,0,0,ROW()-1,60),ROW()-1,FALSE))</f>
        <v>27.172257999999999</v>
      </c>
      <c r="Y162">
        <f ca="1">IF(AND(ISNUMBER($Y$330),$B$183=1),$Y$330,HLOOKUP(INDIRECT(ADDRESS(2,COLUMN())),OFFSET($BN$2,0,0,ROW()-1,60),ROW()-1,FALSE))</f>
        <v>28.977971709999998</v>
      </c>
      <c r="Z162">
        <f ca="1">IF(AND(ISNUMBER($Z$330),$B$183=1),$Z$330,HLOOKUP(INDIRECT(ADDRESS(2,COLUMN())),OFFSET($BN$2,0,0,ROW()-1,60),ROW()-1,FALSE))</f>
        <v>28.797911719999998</v>
      </c>
      <c r="AA162">
        <f ca="1">IF(AND(ISNUMBER($AA$330),$B$183=1),$AA$330,HLOOKUP(INDIRECT(ADDRESS(2,COLUMN())),OFFSET($BN$2,0,0,ROW()-1,60),ROW()-1,FALSE))</f>
        <v>30.487516360000001</v>
      </c>
      <c r="AB162">
        <f ca="1">IF(AND(ISNUMBER($AB$330),$B$183=1),$AB$330,HLOOKUP(INDIRECT(ADDRESS(2,COLUMN())),OFFSET($BN$2,0,0,ROW()-1,60),ROW()-1,FALSE))</f>
        <v>30.52137072</v>
      </c>
      <c r="AC162">
        <f ca="1">IF(AND(ISNUMBER($AC$330),$B$183=1),$AC$330,HLOOKUP(INDIRECT(ADDRESS(2,COLUMN())),OFFSET($BN$2,0,0,ROW()-1,60),ROW()-1,FALSE))</f>
        <v>32.596671389999997</v>
      </c>
      <c r="AD162">
        <f ca="1">IF(AND(ISNUMBER($AD$330),$B$183=1),$AD$330,HLOOKUP(INDIRECT(ADDRESS(2,COLUMN())),OFFSET($BN$2,0,0,ROW()-1,60),ROW()-1,FALSE))</f>
        <v>32.02324548</v>
      </c>
      <c r="AE162">
        <f ca="1">IF(AND(ISNUMBER($AE$330),$B$183=1),$AE$330,HLOOKUP(INDIRECT(ADDRESS(2,COLUMN())),OFFSET($BN$2,0,0,ROW()-1,60),ROW()-1,FALSE))</f>
        <v>33.315421120000003</v>
      </c>
      <c r="AF162">
        <f ca="1">IF(AND(ISNUMBER($AF$330),$B$183=1),$AF$330,HLOOKUP(INDIRECT(ADDRESS(2,COLUMN())),OFFSET($BN$2,0,0,ROW()-1,60),ROW()-1,FALSE))</f>
        <v>34.742045009999998</v>
      </c>
      <c r="AG162">
        <f ca="1">IF(AND(ISNUMBER($AG$330),$B$183=1),$AG$330,HLOOKUP(INDIRECT(ADDRESS(2,COLUMN())),OFFSET($BN$2,0,0,ROW()-1,60),ROW()-1,FALSE))</f>
        <v>35.60844453</v>
      </c>
      <c r="AH162">
        <f ca="1">IF(AND(ISNUMBER($AH$330),$B$183=1),$AH$330,HLOOKUP(INDIRECT(ADDRESS(2,COLUMN())),OFFSET($BN$2,0,0,ROW()-1,60),ROW()-1,FALSE))</f>
        <v>35.377670709999997</v>
      </c>
      <c r="AI162">
        <f ca="1">IF(AND(ISNUMBER($AI$330),$B$183=1),$AI$330,HLOOKUP(INDIRECT(ADDRESS(2,COLUMN())),OFFSET($BN$2,0,0,ROW()-1,60),ROW()-1,FALSE))</f>
        <v>35.967934630000002</v>
      </c>
      <c r="AJ162">
        <f ca="1">IF(AND(ISNUMBER($AJ$330),$B$183=1),$AJ$330,HLOOKUP(INDIRECT(ADDRESS(2,COLUMN())),OFFSET($BN$2,0,0,ROW()-1,60),ROW()-1,FALSE))</f>
        <v>36.282125440000002</v>
      </c>
      <c r="AK162">
        <f ca="1">IF(AND(ISNUMBER($AK$330),$B$183=1),$AK$330,HLOOKUP(INDIRECT(ADDRESS(2,COLUMN())),OFFSET($BN$2,0,0,ROW()-1,60),ROW()-1,FALSE))</f>
        <v>37.53053439</v>
      </c>
      <c r="AL162">
        <f ca="1">IF(AND(ISNUMBER($AL$330),$B$183=1),$AL$330,HLOOKUP(INDIRECT(ADDRESS(2,COLUMN())),OFFSET($BN$2,0,0,ROW()-1,60),ROW()-1,FALSE))</f>
        <v>37.097671329999997</v>
      </c>
      <c r="AM162">
        <f ca="1">IF(AND(ISNUMBER($AM$330),$B$183=1),$AM$330,HLOOKUP(INDIRECT(ADDRESS(2,COLUMN())),OFFSET($BN$2,0,0,ROW()-1,60),ROW()-1,FALSE))</f>
        <v>37.168984639999998</v>
      </c>
      <c r="AN162">
        <f ca="1">IF(AND(ISNUMBER($AN$330),$B$183=1),$AN$330,HLOOKUP(INDIRECT(ADDRESS(2,COLUMN())),OFFSET($BN$2,0,0,ROW()-1,60),ROW()-1,FALSE))</f>
        <v>35.711876930000003</v>
      </c>
      <c r="AO162">
        <f ca="1">IF(AND(ISNUMBER($AO$330),$B$183=1),$AO$330,HLOOKUP(INDIRECT(ADDRESS(2,COLUMN())),OFFSET($BN$2,0,0,ROW()-1,60),ROW()-1,FALSE))</f>
        <v>34.994917649999998</v>
      </c>
      <c r="AP162">
        <f ca="1">IF(AND(ISNUMBER($AP$330),$B$183=1),$AP$330,HLOOKUP(INDIRECT(ADDRESS(2,COLUMN())),OFFSET($BN$2,0,0,ROW()-1,60),ROW()-1,FALSE))</f>
        <v>35.382855380000002</v>
      </c>
      <c r="AQ162">
        <f ca="1">IF(AND(ISNUMBER($AQ$330),$B$183=1),$AQ$330,HLOOKUP(INDIRECT(ADDRESS(2,COLUMN())),OFFSET($BN$2,0,0,ROW()-1,60),ROW()-1,FALSE))</f>
        <v>36.276796439999998</v>
      </c>
      <c r="AR162">
        <f ca="1">IF(AND(ISNUMBER($AR$330),$B$183=1),$AR$330,HLOOKUP(INDIRECT(ADDRESS(2,COLUMN())),OFFSET($BN$2,0,0,ROW()-1,60),ROW()-1,FALSE))</f>
        <v>34.399211090000001</v>
      </c>
      <c r="AS162">
        <f ca="1">IF(AND(ISNUMBER($AS$330),$B$183=1),$AS$330,HLOOKUP(INDIRECT(ADDRESS(2,COLUMN())),OFFSET($BN$2,0,0,ROW()-1,60),ROW()-1,FALSE))</f>
        <v>36.287781010000003</v>
      </c>
      <c r="AT162">
        <f ca="1">IF(AND(ISNUMBER($AT$330),$B$183=1),$AT$330,HLOOKUP(INDIRECT(ADDRESS(2,COLUMN())),OFFSET($BN$2,0,0,ROW()-1,60),ROW()-1,FALSE))</f>
        <v>37.96149861</v>
      </c>
      <c r="AU162">
        <f ca="1">IF(AND(ISNUMBER($AU$330),$B$183=1),$AU$330,HLOOKUP(INDIRECT(ADDRESS(2,COLUMN())),OFFSET($BN$2,0,0,ROW()-1,60),ROW()-1,FALSE))</f>
        <v>35.970861409999998</v>
      </c>
      <c r="AV162">
        <f ca="1">IF(AND(ISNUMBER($AV$330),$B$183=1),$AV$330,HLOOKUP(INDIRECT(ADDRESS(2,COLUMN())),OFFSET($BN$2,0,0,ROW()-1,60),ROW()-1,FALSE))</f>
        <v>35.640555499999998</v>
      </c>
      <c r="AW162">
        <f ca="1">IF(AND(ISNUMBER($AW$330),$B$183=1),$AW$330,HLOOKUP(INDIRECT(ADDRESS(2,COLUMN())),OFFSET($BN$2,0,0,ROW()-1,60),ROW()-1,FALSE))</f>
        <v>36.075712469999999</v>
      </c>
      <c r="AX162">
        <f ca="1">IF(AND(ISNUMBER($AX$330),$B$183=1),$AX$330,HLOOKUP(INDIRECT(ADDRESS(2,COLUMN())),OFFSET($BN$2,0,0,ROW()-1,60),ROW()-1,FALSE))</f>
        <v>35.596542419999999</v>
      </c>
      <c r="AY162">
        <f ca="1">IF(AND(ISNUMBER($AY$330),$B$183=1),$AY$330,HLOOKUP(INDIRECT(ADDRESS(2,COLUMN())),OFFSET($BN$2,0,0,ROW()-1,60),ROW()-1,FALSE))</f>
        <v>36.708336709999998</v>
      </c>
      <c r="AZ162">
        <f ca="1">IF(AND(ISNUMBER($AZ$330),$B$183=1),$AZ$330,HLOOKUP(INDIRECT(ADDRESS(2,COLUMN())),OFFSET($BN$2,0,0,ROW()-1,60),ROW()-1,FALSE))</f>
        <v>35.623503620000001</v>
      </c>
      <c r="BA162">
        <f ca="1">IF(AND(ISNUMBER($BA$330),$B$183=1),$BA$330,HLOOKUP(INDIRECT(ADDRESS(2,COLUMN())),OFFSET($BN$2,0,0,ROW()-1,60),ROW()-1,FALSE))</f>
        <v>36.497385620000003</v>
      </c>
      <c r="BB162">
        <f ca="1">IF(AND(ISNUMBER($BB$330),$B$183=1),$BB$330,HLOOKUP(INDIRECT(ADDRESS(2,COLUMN())),OFFSET($BN$2,0,0,ROW()-1,60),ROW()-1,FALSE))</f>
        <v>36.897670679999997</v>
      </c>
      <c r="BC162">
        <f ca="1">IF(AND(ISNUMBER($BC$330),$B$183=1),$BC$330,HLOOKUP(INDIRECT(ADDRESS(2,COLUMN())),OFFSET($BN$2,0,0,ROW()-1,60),ROW()-1,FALSE))</f>
        <v>38.263094840000001</v>
      </c>
      <c r="BD162">
        <f ca="1">IF(AND(ISNUMBER($BD$330),$B$183=1),$BD$330,HLOOKUP(INDIRECT(ADDRESS(2,COLUMN())),OFFSET($BN$2,0,0,ROW()-1,60),ROW()-1,FALSE))</f>
        <v>36.546237140000002</v>
      </c>
      <c r="BE162">
        <f ca="1">IF(AND(ISNUMBER($BE$330),$B$183=1),$BE$330,HLOOKUP(INDIRECT(ADDRESS(2,COLUMN())),OFFSET($BN$2,0,0,ROW()-1,60),ROW()-1,FALSE))</f>
        <v>36.212245039999999</v>
      </c>
      <c r="BF162">
        <f ca="1">IF(AND(ISNUMBER($BF$330),$B$183=1),$BF$330,HLOOKUP(INDIRECT(ADDRESS(2,COLUMN())),OFFSET($BN$2,0,0,ROW()-1,60),ROW()-1,FALSE))</f>
        <v>35.307507319999999</v>
      </c>
      <c r="BG162">
        <f ca="1">IF(AND(ISNUMBER($BG$330),$B$183=1),$BG$330,HLOOKUP(INDIRECT(ADDRESS(2,COLUMN())),OFFSET($BN$2,0,0,ROW()-1,60),ROW()-1,FALSE))</f>
        <v>35.202555570000001</v>
      </c>
      <c r="BH162">
        <f ca="1">IF(AND(ISNUMBER($BH$330),$B$183=1),$BH$330,HLOOKUP(INDIRECT(ADDRESS(2,COLUMN())),OFFSET($BN$2,0,0,ROW()-1,60),ROW()-1,FALSE))</f>
        <v>34.20683914</v>
      </c>
      <c r="BI162">
        <f ca="1">IF(AND(ISNUMBER($BI$330),$B$183=1),$BI$330,HLOOKUP(INDIRECT(ADDRESS(2,COLUMN())),OFFSET($BN$2,0,0,ROW()-1,60),ROW()-1,FALSE))</f>
        <v>34.4230953</v>
      </c>
      <c r="BJ162">
        <f ca="1">IF(AND(ISNUMBER($BJ$330),$B$183=1),$BJ$330,HLOOKUP(INDIRECT(ADDRESS(2,COLUMN())),OFFSET($BN$2,0,0,ROW()-1,60),ROW()-1,FALSE))</f>
        <v>34.948678350000002</v>
      </c>
      <c r="BK162">
        <f ca="1">IF(AND(ISNUMBER($BK$330),$B$183=1),$BK$330,HLOOKUP(INDIRECT(ADDRESS(2,COLUMN())),OFFSET($BN$2,0,0,ROW()-1,60),ROW()-1,FALSE))</f>
        <v>35.182524780000001</v>
      </c>
      <c r="BL162">
        <f ca="1">IF(AND(ISNUMBER($BL$330),$B$183=1),$BL$330,HLOOKUP(INDIRECT(ADDRESS(2,COLUMN())),OFFSET($BN$2,0,0,ROW()-1,60),ROW()-1,FALSE))</f>
        <v>35.125059800000002</v>
      </c>
      <c r="BM162">
        <f ca="1">IF(AND(ISNUMBER($BM$330),$B$183=1),$BM$330,HLOOKUP(INDIRECT(ADDRESS(2,COLUMN())),OFFSET($BN$2,0,0,ROW()-1,60),ROW()-1,FALSE))</f>
        <v>35.518457560000002</v>
      </c>
      <c r="BN162">
        <f>22.31436477</f>
        <v>22.314364770000001</v>
      </c>
      <c r="BO162">
        <f>22.10247749</f>
        <v>22.102477489999998</v>
      </c>
      <c r="BP162">
        <f>21.71826307</f>
        <v>21.718263069999999</v>
      </c>
      <c r="BQ162">
        <f>22.28119482</f>
        <v>22.28119482</v>
      </c>
      <c r="BR162">
        <f>21.84945226</f>
        <v>21.84945226</v>
      </c>
      <c r="BS162">
        <f>22.47328392</f>
        <v>22.47328392</v>
      </c>
      <c r="BT162">
        <f>22.51891595</f>
        <v>22.51891595</v>
      </c>
      <c r="BU162">
        <f>23.56281131</f>
        <v>23.562811310000001</v>
      </c>
      <c r="BV162">
        <f>23.30676269</f>
        <v>23.306762689999999</v>
      </c>
      <c r="BW162">
        <f>23.26095824</f>
        <v>23.260958240000001</v>
      </c>
      <c r="BX162">
        <f>23.34759874</f>
        <v>23.347598739999999</v>
      </c>
      <c r="BY162">
        <f>24.45031356</f>
        <v>24.450313560000001</v>
      </c>
      <c r="BZ162">
        <f>24.75714122</f>
        <v>24.757141220000001</v>
      </c>
      <c r="CA162">
        <f>25.03959682</f>
        <v>25.03959682</v>
      </c>
      <c r="CB162">
        <f>25.08915338</f>
        <v>25.089153379999999</v>
      </c>
      <c r="CC162">
        <f>26.57515166</f>
        <v>26.57515166</v>
      </c>
      <c r="CD162">
        <f>26.49330334</f>
        <v>26.493303340000001</v>
      </c>
      <c r="CE162">
        <f>27.19754746</f>
        <v>27.197547459999999</v>
      </c>
      <c r="CF162">
        <f>27.172258</f>
        <v>27.172257999999999</v>
      </c>
      <c r="CG162">
        <f>28.97797171</f>
        <v>28.977971709999998</v>
      </c>
      <c r="CH162">
        <f>28.79791172</f>
        <v>28.797911719999998</v>
      </c>
      <c r="CI162">
        <f>30.48751636</f>
        <v>30.487516360000001</v>
      </c>
      <c r="CJ162">
        <f>30.52137072</f>
        <v>30.52137072</v>
      </c>
      <c r="CK162">
        <f>32.59667139</f>
        <v>32.596671389999997</v>
      </c>
      <c r="CL162">
        <f>32.02324548</f>
        <v>32.02324548</v>
      </c>
      <c r="CM162">
        <f>33.31542112</f>
        <v>33.315421120000003</v>
      </c>
      <c r="CN162">
        <f>34.74204501</f>
        <v>34.742045009999998</v>
      </c>
      <c r="CO162">
        <f>35.60844453</f>
        <v>35.60844453</v>
      </c>
      <c r="CP162">
        <f>35.37767071</f>
        <v>35.377670709999997</v>
      </c>
      <c r="CQ162">
        <f>35.96793463</f>
        <v>35.967934630000002</v>
      </c>
      <c r="CR162">
        <f>36.28212544</f>
        <v>36.282125440000002</v>
      </c>
      <c r="CS162">
        <f>37.53053439</f>
        <v>37.53053439</v>
      </c>
      <c r="CT162">
        <f>37.09767133</f>
        <v>37.097671329999997</v>
      </c>
      <c r="CU162">
        <f>37.16898464</f>
        <v>37.168984639999998</v>
      </c>
      <c r="CV162">
        <f>35.71187693</f>
        <v>35.711876930000003</v>
      </c>
      <c r="CW162">
        <f>34.99491765</f>
        <v>34.994917649999998</v>
      </c>
      <c r="CX162">
        <f>35.38285538</f>
        <v>35.382855380000002</v>
      </c>
      <c r="CY162">
        <f>36.27679644</f>
        <v>36.276796439999998</v>
      </c>
      <c r="CZ162">
        <f>34.39921109</f>
        <v>34.399211090000001</v>
      </c>
      <c r="DA162">
        <f>36.28778101</f>
        <v>36.287781010000003</v>
      </c>
      <c r="DB162">
        <f>37.96149861</f>
        <v>37.96149861</v>
      </c>
      <c r="DC162">
        <f>35.97086141</f>
        <v>35.970861409999998</v>
      </c>
      <c r="DD162">
        <f>35.6405555</f>
        <v>35.640555499999998</v>
      </c>
      <c r="DE162">
        <f>36.07571247</f>
        <v>36.075712469999999</v>
      </c>
      <c r="DF162">
        <f>35.59654242</f>
        <v>35.596542419999999</v>
      </c>
      <c r="DG162">
        <f>36.70833671</f>
        <v>36.708336709999998</v>
      </c>
      <c r="DH162">
        <f>35.62350362</f>
        <v>35.623503620000001</v>
      </c>
      <c r="DI162">
        <f>36.49738562</f>
        <v>36.497385620000003</v>
      </c>
      <c r="DJ162">
        <f>36.89767068</f>
        <v>36.897670679999997</v>
      </c>
      <c r="DK162">
        <f>38.26309484</f>
        <v>38.263094840000001</v>
      </c>
      <c r="DL162">
        <f>36.54623714</f>
        <v>36.546237140000002</v>
      </c>
      <c r="DM162">
        <f>36.21224504</f>
        <v>36.212245039999999</v>
      </c>
      <c r="DN162">
        <f>35.30750732</f>
        <v>35.307507319999999</v>
      </c>
      <c r="DO162">
        <f>35.20255557</f>
        <v>35.202555570000001</v>
      </c>
      <c r="DP162">
        <f>34.20683914</f>
        <v>34.20683914</v>
      </c>
      <c r="DQ162">
        <f>34.4230953</f>
        <v>34.4230953</v>
      </c>
      <c r="DR162">
        <f>34.94867835</f>
        <v>34.948678350000002</v>
      </c>
      <c r="DS162">
        <f>35.18252478</f>
        <v>35.182524780000001</v>
      </c>
      <c r="DT162">
        <f>35.1250598</f>
        <v>35.125059800000002</v>
      </c>
      <c r="DU162">
        <f>35.51845756</f>
        <v>35.518457560000002</v>
      </c>
    </row>
    <row r="163" spans="1:125">
      <c r="A163" t="str">
        <f>"    房地产投资信托长期债务利息加权平均"</f>
        <v xml:space="preserve">    房地产投资信托长期债务利息加权平均</v>
      </c>
      <c r="B163" t="str">
        <f>"RECFWALD Index"</f>
        <v>RECFWALD Index</v>
      </c>
      <c r="C163" t="str">
        <f t="shared" si="45"/>
        <v>PR005</v>
      </c>
      <c r="D163" t="str">
        <f t="shared" si="46"/>
        <v>PX_LAST</v>
      </c>
      <c r="E163" t="str">
        <f t="shared" si="47"/>
        <v>动态</v>
      </c>
      <c r="F163">
        <f ca="1">IF(AND(ISNUMBER($F$331),$B$183=1),$F$331,HLOOKUP(INDIRECT(ADDRESS(2,COLUMN())),OFFSET($BN$2,0,0,ROW()-1,60),ROW()-1,FALSE))</f>
        <v>4.0504088390000001</v>
      </c>
      <c r="G163">
        <f ca="1">IF(AND(ISNUMBER($G$331),$B$183=1),$G$331,HLOOKUP(INDIRECT(ADDRESS(2,COLUMN())),OFFSET($BN$2,0,0,ROW()-1,60),ROW()-1,FALSE))</f>
        <v>4.1153475540000004</v>
      </c>
      <c r="H163">
        <f ca="1">IF(AND(ISNUMBER($H$331),$B$183=1),$H$331,HLOOKUP(INDIRECT(ADDRESS(2,COLUMN())),OFFSET($BN$2,0,0,ROW()-1,60),ROW()-1,FALSE))</f>
        <v>4.1565821869999997</v>
      </c>
      <c r="I163">
        <f ca="1">IF(AND(ISNUMBER($I$331),$B$183=1),$I$331,HLOOKUP(INDIRECT(ADDRESS(2,COLUMN())),OFFSET($BN$2,0,0,ROW()-1,60),ROW()-1,FALSE))</f>
        <v>4.220321684</v>
      </c>
      <c r="J163">
        <f ca="1">IF(AND(ISNUMBER($J$331),$B$183=1),$J$331,HLOOKUP(INDIRECT(ADDRESS(2,COLUMN())),OFFSET($BN$2,0,0,ROW()-1,60),ROW()-1,FALSE))</f>
        <v>4.2659653710000001</v>
      </c>
      <c r="K163">
        <f ca="1">IF(AND(ISNUMBER($K$331),$B$183=1),$K$331,HLOOKUP(INDIRECT(ADDRESS(2,COLUMN())),OFFSET($BN$2,0,0,ROW()-1,60),ROW()-1,FALSE))</f>
        <v>4.3256488690000001</v>
      </c>
      <c r="L163">
        <f ca="1">IF(AND(ISNUMBER($L$331),$B$183=1),$L$331,HLOOKUP(INDIRECT(ADDRESS(2,COLUMN())),OFFSET($BN$2,0,0,ROW()-1,60),ROW()-1,FALSE))</f>
        <v>4.415489043</v>
      </c>
      <c r="M163">
        <f ca="1">IF(AND(ISNUMBER($M$331),$B$183=1),$M$331,HLOOKUP(INDIRECT(ADDRESS(2,COLUMN())),OFFSET($BN$2,0,0,ROW()-1,60),ROW()-1,FALSE))</f>
        <v>4.4500511449999998</v>
      </c>
      <c r="N163">
        <f ca="1">IF(AND(ISNUMBER($N$331),$B$183=1),$N$331,HLOOKUP(INDIRECT(ADDRESS(2,COLUMN())),OFFSET($BN$2,0,0,ROW()-1,60),ROW()-1,FALSE))</f>
        <v>4.5374672350000003</v>
      </c>
      <c r="O163">
        <f ca="1">IF(AND(ISNUMBER($O$331),$B$183=1),$O$331,HLOOKUP(INDIRECT(ADDRESS(2,COLUMN())),OFFSET($BN$2,0,0,ROW()-1,60),ROW()-1,FALSE))</f>
        <v>4.5927433759999996</v>
      </c>
      <c r="P163">
        <f ca="1">IF(AND(ISNUMBER($P$331),$B$183=1),$P$331,HLOOKUP(INDIRECT(ADDRESS(2,COLUMN())),OFFSET($BN$2,0,0,ROW()-1,60),ROW()-1,FALSE))</f>
        <v>4.6564777419999999</v>
      </c>
      <c r="Q163">
        <f ca="1">IF(AND(ISNUMBER($Q$331),$B$183=1),$Q$331,HLOOKUP(INDIRECT(ADDRESS(2,COLUMN())),OFFSET($BN$2,0,0,ROW()-1,60),ROW()-1,FALSE))</f>
        <v>4.6836843950000002</v>
      </c>
      <c r="R163">
        <f ca="1">IF(AND(ISNUMBER($R$331),$B$183=1),$R$331,HLOOKUP(INDIRECT(ADDRESS(2,COLUMN())),OFFSET($BN$2,0,0,ROW()-1,60),ROW()-1,FALSE))</f>
        <v>4.6951106749999996</v>
      </c>
      <c r="S163">
        <f ca="1">IF(AND(ISNUMBER($S$331),$B$183=1),$S$331,HLOOKUP(INDIRECT(ADDRESS(2,COLUMN())),OFFSET($BN$2,0,0,ROW()-1,60),ROW()-1,FALSE))</f>
        <v>4.7948112690000002</v>
      </c>
      <c r="T163">
        <f ca="1">IF(AND(ISNUMBER($T$331),$B$183=1),$T$331,HLOOKUP(INDIRECT(ADDRESS(2,COLUMN())),OFFSET($BN$2,0,0,ROW()-1,60),ROW()-1,FALSE))</f>
        <v>4.8277061520000002</v>
      </c>
      <c r="U163">
        <f ca="1">IF(AND(ISNUMBER($U$331),$B$183=1),$U$331,HLOOKUP(INDIRECT(ADDRESS(2,COLUMN())),OFFSET($BN$2,0,0,ROW()-1,60),ROW()-1,FALSE))</f>
        <v>4.8766068489999999</v>
      </c>
      <c r="V163">
        <f ca="1">IF(AND(ISNUMBER($V$331),$B$183=1),$V$331,HLOOKUP(INDIRECT(ADDRESS(2,COLUMN())),OFFSET($BN$2,0,0,ROW()-1,60),ROW()-1,FALSE))</f>
        <v>4.9526538520000001</v>
      </c>
      <c r="W163">
        <f ca="1">IF(AND(ISNUMBER($W$331),$B$183=1),$W$331,HLOOKUP(INDIRECT(ADDRESS(2,COLUMN())),OFFSET($BN$2,0,0,ROW()-1,60),ROW()-1,FALSE))</f>
        <v>4.9968746770000001</v>
      </c>
      <c r="X163">
        <f ca="1">IF(AND(ISNUMBER($X$331),$B$183=1),$X$331,HLOOKUP(INDIRECT(ADDRESS(2,COLUMN())),OFFSET($BN$2,0,0,ROW()-1,60),ROW()-1,FALSE))</f>
        <v>5.077981844</v>
      </c>
      <c r="Y163">
        <f ca="1">IF(AND(ISNUMBER($Y$331),$B$183=1),$Y$331,HLOOKUP(INDIRECT(ADDRESS(2,COLUMN())),OFFSET($BN$2,0,0,ROW()-1,60),ROW()-1,FALSE))</f>
        <v>5.2317353820000001</v>
      </c>
      <c r="Z163">
        <f ca="1">IF(AND(ISNUMBER($Z$331),$B$183=1),$Z$331,HLOOKUP(INDIRECT(ADDRESS(2,COLUMN())),OFFSET($BN$2,0,0,ROW()-1,60),ROW()-1,FALSE))</f>
        <v>5.330618748</v>
      </c>
      <c r="AA163">
        <f ca="1">IF(AND(ISNUMBER($AA$331),$B$183=1),$AA$331,HLOOKUP(INDIRECT(ADDRESS(2,COLUMN())),OFFSET($BN$2,0,0,ROW()-1,60),ROW()-1,FALSE))</f>
        <v>5.4581678379999996</v>
      </c>
      <c r="AB163">
        <f ca="1">IF(AND(ISNUMBER($AB$331),$B$183=1),$AB$331,HLOOKUP(INDIRECT(ADDRESS(2,COLUMN())),OFFSET($BN$2,0,0,ROW()-1,60),ROW()-1,FALSE))</f>
        <v>5.5539753230000004</v>
      </c>
      <c r="AC163">
        <f ca="1">IF(AND(ISNUMBER($AC$331),$B$183=1),$AC$331,HLOOKUP(INDIRECT(ADDRESS(2,COLUMN())),OFFSET($BN$2,0,0,ROW()-1,60),ROW()-1,FALSE))</f>
        <v>5.5676173279999999</v>
      </c>
      <c r="AD163">
        <f ca="1">IF(AND(ISNUMBER($AD$331),$B$183=1),$AD$331,HLOOKUP(INDIRECT(ADDRESS(2,COLUMN())),OFFSET($BN$2,0,0,ROW()-1,60),ROW()-1,FALSE))</f>
        <v>5.6954413610000003</v>
      </c>
      <c r="AE163">
        <f ca="1">IF(AND(ISNUMBER($AE$331),$B$183=1),$AE$331,HLOOKUP(INDIRECT(ADDRESS(2,COLUMN())),OFFSET($BN$2,0,0,ROW()-1,60),ROW()-1,FALSE))</f>
        <v>5.7258258809999996</v>
      </c>
      <c r="AF163">
        <f ca="1">IF(AND(ISNUMBER($AF$331),$B$183=1),$AF$331,HLOOKUP(INDIRECT(ADDRESS(2,COLUMN())),OFFSET($BN$2,0,0,ROW()-1,60),ROW()-1,FALSE))</f>
        <v>5.7513363159999997</v>
      </c>
      <c r="AG163">
        <f ca="1">IF(AND(ISNUMBER($AG$331),$B$183=1),$AG$331,HLOOKUP(INDIRECT(ADDRESS(2,COLUMN())),OFFSET($BN$2,0,0,ROW()-1,60),ROW()-1,FALSE))</f>
        <v>5.7477357639999997</v>
      </c>
      <c r="AH163">
        <f ca="1">IF(AND(ISNUMBER($AH$331),$B$183=1),$AH$331,HLOOKUP(INDIRECT(ADDRESS(2,COLUMN())),OFFSET($BN$2,0,0,ROW()-1,60),ROW()-1,FALSE))</f>
        <v>5.8249729099999996</v>
      </c>
      <c r="AI163">
        <f ca="1">IF(AND(ISNUMBER($AI$331),$B$183=1),$AI$331,HLOOKUP(INDIRECT(ADDRESS(2,COLUMN())),OFFSET($BN$2,0,0,ROW()-1,60),ROW()-1,FALSE))</f>
        <v>5.9221362879999999</v>
      </c>
      <c r="AJ163">
        <f ca="1">IF(AND(ISNUMBER($AJ$331),$B$183=1),$AJ$331,HLOOKUP(INDIRECT(ADDRESS(2,COLUMN())),OFFSET($BN$2,0,0,ROW()-1,60),ROW()-1,FALSE))</f>
        <v>6.0160282550000002</v>
      </c>
      <c r="AK163">
        <f ca="1">IF(AND(ISNUMBER($AK$331),$B$183=1),$AK$331,HLOOKUP(INDIRECT(ADDRESS(2,COLUMN())),OFFSET($BN$2,0,0,ROW()-1,60),ROW()-1,FALSE))</f>
        <v>5.9840847290000001</v>
      </c>
      <c r="AL163">
        <f ca="1">IF(AND(ISNUMBER($AL$331),$B$183=1),$AL$331,HLOOKUP(INDIRECT(ADDRESS(2,COLUMN())),OFFSET($BN$2,0,0,ROW()-1,60),ROW()-1,FALSE))</f>
        <v>6.0049680780000001</v>
      </c>
      <c r="AM163">
        <f ca="1">IF(AND(ISNUMBER($AM$331),$B$183=1),$AM$331,HLOOKUP(INDIRECT(ADDRESS(2,COLUMN())),OFFSET($BN$2,0,0,ROW()-1,60),ROW()-1,FALSE))</f>
        <v>5.9741102679999996</v>
      </c>
      <c r="AN163">
        <f ca="1">IF(AND(ISNUMBER($AN$331),$B$183=1),$AN$331,HLOOKUP(INDIRECT(ADDRESS(2,COLUMN())),OFFSET($BN$2,0,0,ROW()-1,60),ROW()-1,FALSE))</f>
        <v>5.924296215</v>
      </c>
      <c r="AO163">
        <f ca="1">IF(AND(ISNUMBER($AO$331),$B$183=1),$AO$331,HLOOKUP(INDIRECT(ADDRESS(2,COLUMN())),OFFSET($BN$2,0,0,ROW()-1,60),ROW()-1,FALSE))</f>
        <v>5.8970521759999999</v>
      </c>
      <c r="AP163">
        <f ca="1">IF(AND(ISNUMBER($AP$331),$B$183=1),$AP$331,HLOOKUP(INDIRECT(ADDRESS(2,COLUMN())),OFFSET($BN$2,0,0,ROW()-1,60),ROW()-1,FALSE))</f>
        <v>5.8052069299999998</v>
      </c>
      <c r="AQ163">
        <f ca="1">IF(AND(ISNUMBER($AQ$331),$B$183=1),$AQ$331,HLOOKUP(INDIRECT(ADDRESS(2,COLUMN())),OFFSET($BN$2,0,0,ROW()-1,60),ROW()-1,FALSE))</f>
        <v>5.7301904950000004</v>
      </c>
      <c r="AR163">
        <f ca="1">IF(AND(ISNUMBER($AR$331),$B$183=1),$AR$331,HLOOKUP(INDIRECT(ADDRESS(2,COLUMN())),OFFSET($BN$2,0,0,ROW()-1,60),ROW()-1,FALSE))</f>
        <v>5.7185187119999998</v>
      </c>
      <c r="AS163">
        <f ca="1">IF(AND(ISNUMBER($AS$331),$B$183=1),$AS$331,HLOOKUP(INDIRECT(ADDRESS(2,COLUMN())),OFFSET($BN$2,0,0,ROW()-1,60),ROW()-1,FALSE))</f>
        <v>5.699021932</v>
      </c>
      <c r="AT163">
        <f ca="1">IF(AND(ISNUMBER($AT$331),$B$183=1),$AT$331,HLOOKUP(INDIRECT(ADDRESS(2,COLUMN())),OFFSET($BN$2,0,0,ROW()-1,60),ROW()-1,FALSE))</f>
        <v>5.7655112339999999</v>
      </c>
      <c r="AU163">
        <f ca="1">IF(AND(ISNUMBER($AU$331),$B$183=1),$AU$331,HLOOKUP(INDIRECT(ADDRESS(2,COLUMN())),OFFSET($BN$2,0,0,ROW()-1,60),ROW()-1,FALSE))</f>
        <v>5.7584952029999998</v>
      </c>
      <c r="AV163">
        <f ca="1">IF(AND(ISNUMBER($AV$331),$B$183=1),$AV$331,HLOOKUP(INDIRECT(ADDRESS(2,COLUMN())),OFFSET($BN$2,0,0,ROW()-1,60),ROW()-1,FALSE))</f>
        <v>5.7684038040000001</v>
      </c>
      <c r="AW163">
        <f ca="1">IF(AND(ISNUMBER($AW$331),$B$183=1),$AW$331,HLOOKUP(INDIRECT(ADDRESS(2,COLUMN())),OFFSET($BN$2,0,0,ROW()-1,60),ROW()-1,FALSE))</f>
        <v>5.8072433329999997</v>
      </c>
      <c r="AX163">
        <f ca="1">IF(AND(ISNUMBER($AX$331),$B$183=1),$AX$331,HLOOKUP(INDIRECT(ADDRESS(2,COLUMN())),OFFSET($BN$2,0,0,ROW()-1,60),ROW()-1,FALSE))</f>
        <v>5.9331945260000003</v>
      </c>
      <c r="AY163">
        <f ca="1">IF(AND(ISNUMBER($AY$331),$B$183=1),$AY$331,HLOOKUP(INDIRECT(ADDRESS(2,COLUMN())),OFFSET($BN$2,0,0,ROW()-1,60),ROW()-1,FALSE))</f>
        <v>6.0148916469999998</v>
      </c>
      <c r="AZ163">
        <f ca="1">IF(AND(ISNUMBER($AZ$331),$B$183=1),$AZ$331,HLOOKUP(INDIRECT(ADDRESS(2,COLUMN())),OFFSET($BN$2,0,0,ROW()-1,60),ROW()-1,FALSE))</f>
        <v>5.9989721109999996</v>
      </c>
      <c r="BA163">
        <f ca="1">IF(AND(ISNUMBER($BA$331),$B$183=1),$BA$331,HLOOKUP(INDIRECT(ADDRESS(2,COLUMN())),OFFSET($BN$2,0,0,ROW()-1,60),ROW()-1,FALSE))</f>
        <v>6.0541671270000004</v>
      </c>
      <c r="BB163">
        <f ca="1">IF(AND(ISNUMBER($BB$331),$B$183=1),$BB$331,HLOOKUP(INDIRECT(ADDRESS(2,COLUMN())),OFFSET($BN$2,0,0,ROW()-1,60),ROW()-1,FALSE))</f>
        <v>6.0886973900000001</v>
      </c>
      <c r="BC163">
        <f ca="1">IF(AND(ISNUMBER($BC$331),$B$183=1),$BC$331,HLOOKUP(INDIRECT(ADDRESS(2,COLUMN())),OFFSET($BN$2,0,0,ROW()-1,60),ROW()-1,FALSE))</f>
        <v>6.1632163660000003</v>
      </c>
      <c r="BD163">
        <f ca="1">IF(AND(ISNUMBER($BD$331),$B$183=1),$BD$331,HLOOKUP(INDIRECT(ADDRESS(2,COLUMN())),OFFSET($BN$2,0,0,ROW()-1,60),ROW()-1,FALSE))</f>
        <v>6.2576496669999999</v>
      </c>
      <c r="BE163">
        <f ca="1">IF(AND(ISNUMBER($BE$331),$B$183=1),$BE$331,HLOOKUP(INDIRECT(ADDRESS(2,COLUMN())),OFFSET($BN$2,0,0,ROW()-1,60),ROW()-1,FALSE))</f>
        <v>6.3232340889999996</v>
      </c>
      <c r="BF163">
        <f ca="1">IF(AND(ISNUMBER($BF$331),$B$183=1),$BF$331,HLOOKUP(INDIRECT(ADDRESS(2,COLUMN())),OFFSET($BN$2,0,0,ROW()-1,60),ROW()-1,FALSE))</f>
        <v>6.4295471009999998</v>
      </c>
      <c r="BG163">
        <f ca="1">IF(AND(ISNUMBER($BG$331),$B$183=1),$BG$331,HLOOKUP(INDIRECT(ADDRESS(2,COLUMN())),OFFSET($BN$2,0,0,ROW()-1,60),ROW()-1,FALSE))</f>
        <v>6.582920702</v>
      </c>
      <c r="BH163">
        <f ca="1">IF(AND(ISNUMBER($BH$331),$B$183=1),$BH$331,HLOOKUP(INDIRECT(ADDRESS(2,COLUMN())),OFFSET($BN$2,0,0,ROW()-1,60),ROW()-1,FALSE))</f>
        <v>6.634058005</v>
      </c>
      <c r="BI163">
        <f ca="1">IF(AND(ISNUMBER($BI$331),$B$183=1),$BI$331,HLOOKUP(INDIRECT(ADDRESS(2,COLUMN())),OFFSET($BN$2,0,0,ROW()-1,60),ROW()-1,FALSE))</f>
        <v>6.7259881799999999</v>
      </c>
      <c r="BJ163">
        <f ca="1">IF(AND(ISNUMBER($BJ$331),$B$183=1),$BJ$331,HLOOKUP(INDIRECT(ADDRESS(2,COLUMN())),OFFSET($BN$2,0,0,ROW()-1,60),ROW()-1,FALSE))</f>
        <v>6.8047974450000002</v>
      </c>
      <c r="BK163">
        <f ca="1">IF(AND(ISNUMBER($BK$331),$B$183=1),$BK$331,HLOOKUP(INDIRECT(ADDRESS(2,COLUMN())),OFFSET($BN$2,0,0,ROW()-1,60),ROW()-1,FALSE))</f>
        <v>6.9634258320000004</v>
      </c>
      <c r="BL163">
        <f ca="1">IF(AND(ISNUMBER($BL$331),$B$183=1),$BL$331,HLOOKUP(INDIRECT(ADDRESS(2,COLUMN())),OFFSET($BN$2,0,0,ROW()-1,60),ROW()-1,FALSE))</f>
        <v>7.0592391719999998</v>
      </c>
      <c r="BM163">
        <f ca="1">IF(AND(ISNUMBER($BM$331),$B$183=1),$BM$331,HLOOKUP(INDIRECT(ADDRESS(2,COLUMN())),OFFSET($BN$2,0,0,ROW()-1,60),ROW()-1,FALSE))</f>
        <v>7.0840682250000002</v>
      </c>
      <c r="BN163">
        <f>4.050408839</f>
        <v>4.0504088390000001</v>
      </c>
      <c r="BO163">
        <f>4.115347554</f>
        <v>4.1153475540000004</v>
      </c>
      <c r="BP163">
        <f>4.156582187</f>
        <v>4.1565821869999997</v>
      </c>
      <c r="BQ163">
        <f>4.220321684</f>
        <v>4.220321684</v>
      </c>
      <c r="BR163">
        <f>4.265965371</f>
        <v>4.2659653710000001</v>
      </c>
      <c r="BS163">
        <f>4.325648869</f>
        <v>4.3256488690000001</v>
      </c>
      <c r="BT163">
        <f>4.415489043</f>
        <v>4.415489043</v>
      </c>
      <c r="BU163">
        <f>4.450051145</f>
        <v>4.4500511449999998</v>
      </c>
      <c r="BV163">
        <f>4.537467235</f>
        <v>4.5374672350000003</v>
      </c>
      <c r="BW163">
        <f>4.592743376</f>
        <v>4.5927433759999996</v>
      </c>
      <c r="BX163">
        <f>4.656477742</f>
        <v>4.6564777419999999</v>
      </c>
      <c r="BY163">
        <f>4.683684395</f>
        <v>4.6836843950000002</v>
      </c>
      <c r="BZ163">
        <f>4.695110675</f>
        <v>4.6951106749999996</v>
      </c>
      <c r="CA163">
        <f>4.794811269</f>
        <v>4.7948112690000002</v>
      </c>
      <c r="CB163">
        <f>4.827706152</f>
        <v>4.8277061520000002</v>
      </c>
      <c r="CC163">
        <f>4.876606849</f>
        <v>4.8766068489999999</v>
      </c>
      <c r="CD163">
        <f>4.952653852</f>
        <v>4.9526538520000001</v>
      </c>
      <c r="CE163">
        <f>4.996874677</f>
        <v>4.9968746770000001</v>
      </c>
      <c r="CF163">
        <f>5.077981844</f>
        <v>5.077981844</v>
      </c>
      <c r="CG163">
        <f>5.231735382</f>
        <v>5.2317353820000001</v>
      </c>
      <c r="CH163">
        <f>5.330618748</f>
        <v>5.330618748</v>
      </c>
      <c r="CI163">
        <f>5.458167838</f>
        <v>5.4581678379999996</v>
      </c>
      <c r="CJ163">
        <f>5.553975323</f>
        <v>5.5539753230000004</v>
      </c>
      <c r="CK163">
        <f>5.567617328</f>
        <v>5.5676173279999999</v>
      </c>
      <c r="CL163">
        <f>5.695441361</f>
        <v>5.6954413610000003</v>
      </c>
      <c r="CM163">
        <f>5.725825881</f>
        <v>5.7258258809999996</v>
      </c>
      <c r="CN163">
        <f>5.751336316</f>
        <v>5.7513363159999997</v>
      </c>
      <c r="CO163">
        <f>5.747735764</f>
        <v>5.7477357639999997</v>
      </c>
      <c r="CP163">
        <f>5.82497291</f>
        <v>5.8249729099999996</v>
      </c>
      <c r="CQ163">
        <f>5.922136288</f>
        <v>5.9221362879999999</v>
      </c>
      <c r="CR163">
        <f>6.016028255</f>
        <v>6.0160282550000002</v>
      </c>
      <c r="CS163">
        <f>5.984084729</f>
        <v>5.9840847290000001</v>
      </c>
      <c r="CT163">
        <f>6.004968078</f>
        <v>6.0049680780000001</v>
      </c>
      <c r="CU163">
        <f>5.974110268</f>
        <v>5.9741102679999996</v>
      </c>
      <c r="CV163">
        <f>5.924296215</f>
        <v>5.924296215</v>
      </c>
      <c r="CW163">
        <f>5.897052176</f>
        <v>5.8970521759999999</v>
      </c>
      <c r="CX163">
        <f>5.80520693</f>
        <v>5.8052069299999998</v>
      </c>
      <c r="CY163">
        <f>5.730190495</f>
        <v>5.7301904950000004</v>
      </c>
      <c r="CZ163">
        <f>5.718518712</f>
        <v>5.7185187119999998</v>
      </c>
      <c r="DA163">
        <f>5.699021932</f>
        <v>5.699021932</v>
      </c>
      <c r="DB163">
        <f>5.765511234</f>
        <v>5.7655112339999999</v>
      </c>
      <c r="DC163">
        <f>5.758495203</f>
        <v>5.7584952029999998</v>
      </c>
      <c r="DD163">
        <f>5.768403804</f>
        <v>5.7684038040000001</v>
      </c>
      <c r="DE163">
        <f>5.807243333</f>
        <v>5.8072433329999997</v>
      </c>
      <c r="DF163">
        <f>5.933194526</f>
        <v>5.9331945260000003</v>
      </c>
      <c r="DG163">
        <f>6.014891647</f>
        <v>6.0148916469999998</v>
      </c>
      <c r="DH163">
        <f>5.998972111</f>
        <v>5.9989721109999996</v>
      </c>
      <c r="DI163">
        <f>6.054167127</f>
        <v>6.0541671270000004</v>
      </c>
      <c r="DJ163">
        <f>6.08869739</f>
        <v>6.0886973900000001</v>
      </c>
      <c r="DK163">
        <f>6.163216366</f>
        <v>6.1632163660000003</v>
      </c>
      <c r="DL163">
        <f>6.257649667</f>
        <v>6.2576496669999999</v>
      </c>
      <c r="DM163">
        <f>6.323234089</f>
        <v>6.3232340889999996</v>
      </c>
      <c r="DN163">
        <f>6.429547101</f>
        <v>6.4295471009999998</v>
      </c>
      <c r="DO163">
        <f>6.582920702</f>
        <v>6.582920702</v>
      </c>
      <c r="DP163">
        <f>6.634058005</f>
        <v>6.634058005</v>
      </c>
      <c r="DQ163">
        <f>6.72598818</f>
        <v>6.7259881799999999</v>
      </c>
      <c r="DR163">
        <f>6.804797445</f>
        <v>6.8047974450000002</v>
      </c>
      <c r="DS163">
        <f>6.963425832</f>
        <v>6.9634258320000004</v>
      </c>
      <c r="DT163">
        <f>7.059239172</f>
        <v>7.0592391719999998</v>
      </c>
      <c r="DU163">
        <f>7.084068225</f>
        <v>7.0840682250000002</v>
      </c>
    </row>
    <row r="164" spans="1:125">
      <c r="A164" t="str">
        <f>"    房地产投资信托总债务利息加权平均"</f>
        <v xml:space="preserve">    房地产投资信托总债务利息加权平均</v>
      </c>
      <c r="B164" t="str">
        <f>"RECFWATD Index"</f>
        <v>RECFWATD Index</v>
      </c>
      <c r="C164" t="str">
        <f t="shared" si="45"/>
        <v>PR005</v>
      </c>
      <c r="D164" t="str">
        <f t="shared" si="46"/>
        <v>PX_LAST</v>
      </c>
      <c r="E164" t="str">
        <f t="shared" si="47"/>
        <v>动态</v>
      </c>
      <c r="F164">
        <f ca="1">IF(AND(ISNUMBER($F$332),$B$183=1),$F$332,HLOOKUP(INDIRECT(ADDRESS(2,COLUMN())),OFFSET($BN$2,0,0,ROW()-1,60),ROW()-1,FALSE))</f>
        <v>3.8862459870000001</v>
      </c>
      <c r="G164">
        <f ca="1">IF(AND(ISNUMBER($G$332),$B$183=1),$G$332,HLOOKUP(INDIRECT(ADDRESS(2,COLUMN())),OFFSET($BN$2,0,0,ROW()-1,60),ROW()-1,FALSE))</f>
        <v>3.9726798310000002</v>
      </c>
      <c r="H164">
        <f ca="1">IF(AND(ISNUMBER($H$332),$B$183=1),$H$332,HLOOKUP(INDIRECT(ADDRESS(2,COLUMN())),OFFSET($BN$2,0,0,ROW()-1,60),ROW()-1,FALSE))</f>
        <v>3.9879158229999998</v>
      </c>
      <c r="I164">
        <f ca="1">IF(AND(ISNUMBER($I$332),$B$183=1),$I$332,HLOOKUP(INDIRECT(ADDRESS(2,COLUMN())),OFFSET($BN$2,0,0,ROW()-1,60),ROW()-1,FALSE))</f>
        <v>4.0006379369999996</v>
      </c>
      <c r="J164">
        <f ca="1">IF(AND(ISNUMBER($J$332),$B$183=1),$J$332,HLOOKUP(INDIRECT(ADDRESS(2,COLUMN())),OFFSET($BN$2,0,0,ROW()-1,60),ROW()-1,FALSE))</f>
        <v>4.0109792740000003</v>
      </c>
      <c r="K164">
        <f ca="1">IF(AND(ISNUMBER($K$332),$B$183=1),$K$332,HLOOKUP(INDIRECT(ADDRESS(2,COLUMN())),OFFSET($BN$2,0,0,ROW()-1,60),ROW()-1,FALSE))</f>
        <v>4.0045932359999998</v>
      </c>
      <c r="L164">
        <f ca="1">IF(AND(ISNUMBER($L$332),$B$183=1),$L$332,HLOOKUP(INDIRECT(ADDRESS(2,COLUMN())),OFFSET($BN$2,0,0,ROW()-1,60),ROW()-1,FALSE))</f>
        <v>4.0531337660000002</v>
      </c>
      <c r="M164">
        <f ca="1">IF(AND(ISNUMBER($M$332),$B$183=1),$M$332,HLOOKUP(INDIRECT(ADDRESS(2,COLUMN())),OFFSET($BN$2,0,0,ROW()-1,60),ROW()-1,FALSE))</f>
        <v>4.0592471510000001</v>
      </c>
      <c r="N164">
        <f ca="1">IF(AND(ISNUMBER($N$332),$B$183=1),$N$332,HLOOKUP(INDIRECT(ADDRESS(2,COLUMN())),OFFSET($BN$2,0,0,ROW()-1,60),ROW()-1,FALSE))</f>
        <v>4.0513584810000003</v>
      </c>
      <c r="O164">
        <f ca="1">IF(AND(ISNUMBER($O$332),$B$183=1),$O$332,HLOOKUP(INDIRECT(ADDRESS(2,COLUMN())),OFFSET($BN$2,0,0,ROW()-1,60),ROW()-1,FALSE))</f>
        <v>4.0448527309999998</v>
      </c>
      <c r="P164">
        <f ca="1">IF(AND(ISNUMBER($P$332),$B$183=1),$P$332,HLOOKUP(INDIRECT(ADDRESS(2,COLUMN())),OFFSET($BN$2,0,0,ROW()-1,60),ROW()-1,FALSE))</f>
        <v>4.1027569709999998</v>
      </c>
      <c r="Q164">
        <f ca="1">IF(AND(ISNUMBER($Q$332),$B$183=1),$Q$332,HLOOKUP(INDIRECT(ADDRESS(2,COLUMN())),OFFSET($BN$2,0,0,ROW()-1,60),ROW()-1,FALSE))</f>
        <v>4.2333164300000004</v>
      </c>
      <c r="R164">
        <f ca="1">IF(AND(ISNUMBER($R$332),$B$183=1),$R$332,HLOOKUP(INDIRECT(ADDRESS(2,COLUMN())),OFFSET($BN$2,0,0,ROW()-1,60),ROW()-1,FALSE))</f>
        <v>4.3148450809999996</v>
      </c>
      <c r="S164">
        <f ca="1">IF(AND(ISNUMBER($S$332),$B$183=1),$S$332,HLOOKUP(INDIRECT(ADDRESS(2,COLUMN())),OFFSET($BN$2,0,0,ROW()-1,60),ROW()-1,FALSE))</f>
        <v>4.3075223789999999</v>
      </c>
      <c r="T164">
        <f ca="1">IF(AND(ISNUMBER($T$332),$B$183=1),$T$332,HLOOKUP(INDIRECT(ADDRESS(2,COLUMN())),OFFSET($BN$2,0,0,ROW()-1,60),ROW()-1,FALSE))</f>
        <v>4.3723953509999998</v>
      </c>
      <c r="U164">
        <f ca="1">IF(AND(ISNUMBER($U$332),$B$183=1),$U$332,HLOOKUP(INDIRECT(ADDRESS(2,COLUMN())),OFFSET($BN$2,0,0,ROW()-1,60),ROW()-1,FALSE))</f>
        <v>4.4460094159999999</v>
      </c>
      <c r="V164">
        <f ca="1">IF(AND(ISNUMBER($V$332),$B$183=1),$V$332,HLOOKUP(INDIRECT(ADDRESS(2,COLUMN())),OFFSET($BN$2,0,0,ROW()-1,60),ROW()-1,FALSE))</f>
        <v>4.6056292689999996</v>
      </c>
      <c r="W164">
        <f ca="1">IF(AND(ISNUMBER($W$332),$B$183=1),$W$332,HLOOKUP(INDIRECT(ADDRESS(2,COLUMN())),OFFSET($BN$2,0,0,ROW()-1,60),ROW()-1,FALSE))</f>
        <v>4.6288813419999997</v>
      </c>
      <c r="X164">
        <f ca="1">IF(AND(ISNUMBER($X$332),$B$183=1),$X$332,HLOOKUP(INDIRECT(ADDRESS(2,COLUMN())),OFFSET($BN$2,0,0,ROW()-1,60),ROW()-1,FALSE))</f>
        <v>4.7298643240000002</v>
      </c>
      <c r="Y164">
        <f ca="1">IF(AND(ISNUMBER($Y$332),$B$183=1),$Y$332,HLOOKUP(INDIRECT(ADDRESS(2,COLUMN())),OFFSET($BN$2,0,0,ROW()-1,60),ROW()-1,FALSE))</f>
        <v>4.8619793170000003</v>
      </c>
      <c r="Z164">
        <f ca="1">IF(AND(ISNUMBER($Z$332),$B$183=1),$Z$332,HLOOKUP(INDIRECT(ADDRESS(2,COLUMN())),OFFSET($BN$2,0,0,ROW()-1,60),ROW()-1,FALSE))</f>
        <v>4.9134586049999998</v>
      </c>
      <c r="AA164">
        <f ca="1">IF(AND(ISNUMBER($AA$332),$B$183=1),$AA$332,HLOOKUP(INDIRECT(ADDRESS(2,COLUMN())),OFFSET($BN$2,0,0,ROW()-1,60),ROW()-1,FALSE))</f>
        <v>5.0253416829999997</v>
      </c>
      <c r="AB164">
        <f ca="1">IF(AND(ISNUMBER($AB$332),$B$183=1),$AB$332,HLOOKUP(INDIRECT(ADDRESS(2,COLUMN())),OFFSET($BN$2,0,0,ROW()-1,60),ROW()-1,FALSE))</f>
        <v>5.078031567</v>
      </c>
      <c r="AC164">
        <f ca="1">IF(AND(ISNUMBER($AC$332),$B$183=1),$AC$332,HLOOKUP(INDIRECT(ADDRESS(2,COLUMN())),OFFSET($BN$2,0,0,ROW()-1,60),ROW()-1,FALSE))</f>
        <v>5.1303300480000003</v>
      </c>
      <c r="AD164">
        <f ca="1">IF(AND(ISNUMBER($AD$332),$B$183=1),$AD$332,HLOOKUP(INDIRECT(ADDRESS(2,COLUMN())),OFFSET($BN$2,0,0,ROW()-1,60),ROW()-1,FALSE))</f>
        <v>5.1789266769999998</v>
      </c>
      <c r="AE164">
        <f ca="1">IF(AND(ISNUMBER($AE$332),$B$183=1),$AE$332,HLOOKUP(INDIRECT(ADDRESS(2,COLUMN())),OFFSET($BN$2,0,0,ROW()-1,60),ROW()-1,FALSE))</f>
        <v>5.2504450040000004</v>
      </c>
      <c r="AF164">
        <f ca="1">IF(AND(ISNUMBER($AF$332),$B$183=1),$AF$332,HLOOKUP(INDIRECT(ADDRESS(2,COLUMN())),OFFSET($BN$2,0,0,ROW()-1,60),ROW()-1,FALSE))</f>
        <v>5.2966701819999997</v>
      </c>
      <c r="AG164">
        <f ca="1">IF(AND(ISNUMBER($AG$332),$B$183=1),$AG$332,HLOOKUP(INDIRECT(ADDRESS(2,COLUMN())),OFFSET($BN$2,0,0,ROW()-1,60),ROW()-1,FALSE))</f>
        <v>5.3932591710000004</v>
      </c>
      <c r="AH164">
        <f ca="1">IF(AND(ISNUMBER($AH$332),$B$183=1),$AH$332,HLOOKUP(INDIRECT(ADDRESS(2,COLUMN())),OFFSET($BN$2,0,0,ROW()-1,60),ROW()-1,FALSE))</f>
        <v>5.3774515489999999</v>
      </c>
      <c r="AI164">
        <f ca="1">IF(AND(ISNUMBER($AI$332),$B$183=1),$AI$332,HLOOKUP(INDIRECT(ADDRESS(2,COLUMN())),OFFSET($BN$2,0,0,ROW()-1,60),ROW()-1,FALSE))</f>
        <v>5.4710213970000003</v>
      </c>
      <c r="AJ164">
        <f ca="1">IF(AND(ISNUMBER($AJ$332),$B$183=1),$AJ$332,HLOOKUP(INDIRECT(ADDRESS(2,COLUMN())),OFFSET($BN$2,0,0,ROW()-1,60),ROW()-1,FALSE))</f>
        <v>5.5210793840000001</v>
      </c>
      <c r="AK164">
        <f ca="1">IF(AND(ISNUMBER($AK$332),$B$183=1),$AK$332,HLOOKUP(INDIRECT(ADDRESS(2,COLUMN())),OFFSET($BN$2,0,0,ROW()-1,60),ROW()-1,FALSE))</f>
        <v>5.4523068459999999</v>
      </c>
      <c r="AL164">
        <f ca="1">IF(AND(ISNUMBER($AL$332),$B$183=1),$AL$332,HLOOKUP(INDIRECT(ADDRESS(2,COLUMN())),OFFSET($BN$2,0,0,ROW()-1,60),ROW()-1,FALSE))</f>
        <v>5.4186979480000002</v>
      </c>
      <c r="AM164">
        <f ca="1">IF(AND(ISNUMBER($AM$332),$B$183=1),$AM$332,HLOOKUP(INDIRECT(ADDRESS(2,COLUMN())),OFFSET($BN$2,0,0,ROW()-1,60),ROW()-1,FALSE))</f>
        <v>5.40187594</v>
      </c>
      <c r="AN164">
        <f ca="1">IF(AND(ISNUMBER($AN$332),$B$183=1),$AN$332,HLOOKUP(INDIRECT(ADDRESS(2,COLUMN())),OFFSET($BN$2,0,0,ROW()-1,60),ROW()-1,FALSE))</f>
        <v>5.273039356</v>
      </c>
      <c r="AO164">
        <f ca="1">IF(AND(ISNUMBER($AO$332),$B$183=1),$AO$332,HLOOKUP(INDIRECT(ADDRESS(2,COLUMN())),OFFSET($BN$2,0,0,ROW()-1,60),ROW()-1,FALSE))</f>
        <v>5.1620555079999999</v>
      </c>
      <c r="AP164">
        <f ca="1">IF(AND(ISNUMBER($AP$332),$B$183=1),$AP$332,HLOOKUP(INDIRECT(ADDRESS(2,COLUMN())),OFFSET($BN$2,0,0,ROW()-1,60),ROW()-1,FALSE))</f>
        <v>5.2725634010000002</v>
      </c>
      <c r="AQ164">
        <f ca="1">IF(AND(ISNUMBER($AQ$332),$B$183=1),$AQ$332,HLOOKUP(INDIRECT(ADDRESS(2,COLUMN())),OFFSET($BN$2,0,0,ROW()-1,60),ROW()-1,FALSE))</f>
        <v>5.4774221470000004</v>
      </c>
      <c r="AR164">
        <f ca="1">IF(AND(ISNUMBER($AR$332),$B$183=1),$AR$332,HLOOKUP(INDIRECT(ADDRESS(2,COLUMN())),OFFSET($BN$2,0,0,ROW()-1,60),ROW()-1,FALSE))</f>
        <v>5.3816061230000001</v>
      </c>
      <c r="AS164">
        <f ca="1">IF(AND(ISNUMBER($AS$332),$B$183=1),$AS$332,HLOOKUP(INDIRECT(ADDRESS(2,COLUMN())),OFFSET($BN$2,0,0,ROW()-1,60),ROW()-1,FALSE))</f>
        <v>5.4144067229999999</v>
      </c>
      <c r="AT164">
        <f ca="1">IF(AND(ISNUMBER($AT$332),$B$183=1),$AT$332,HLOOKUP(INDIRECT(ADDRESS(2,COLUMN())),OFFSET($BN$2,0,0,ROW()-1,60),ROW()-1,FALSE))</f>
        <v>5.7387674789999998</v>
      </c>
      <c r="AU164">
        <f ca="1">IF(AND(ISNUMBER($AU$332),$B$183=1),$AU$332,HLOOKUP(INDIRECT(ADDRESS(2,COLUMN())),OFFSET($BN$2,0,0,ROW()-1,60),ROW()-1,FALSE))</f>
        <v>5.7950829219999997</v>
      </c>
      <c r="AV164">
        <f ca="1">IF(AND(ISNUMBER($AV$332),$B$183=1),$AV$332,HLOOKUP(INDIRECT(ADDRESS(2,COLUMN())),OFFSET($BN$2,0,0,ROW()-1,60),ROW()-1,FALSE))</f>
        <v>5.7730841750000002</v>
      </c>
      <c r="AW164">
        <f ca="1">IF(AND(ISNUMBER($AW$332),$B$183=1),$AW$332,HLOOKUP(INDIRECT(ADDRESS(2,COLUMN())),OFFSET($BN$2,0,0,ROW()-1,60),ROW()-1,FALSE))</f>
        <v>5.8192725410000001</v>
      </c>
      <c r="AX164">
        <f ca="1">IF(AND(ISNUMBER($AX$332),$B$183=1),$AX$332,HLOOKUP(INDIRECT(ADDRESS(2,COLUMN())),OFFSET($BN$2,0,0,ROW()-1,60),ROW()-1,FALSE))</f>
        <v>5.9648847549999999</v>
      </c>
      <c r="AY164">
        <f ca="1">IF(AND(ISNUMBER($AY$332),$B$183=1),$AY$332,HLOOKUP(INDIRECT(ADDRESS(2,COLUMN())),OFFSET($BN$2,0,0,ROW()-1,60),ROW()-1,FALSE))</f>
        <v>6.0458432289999999</v>
      </c>
      <c r="AZ164">
        <f ca="1">IF(AND(ISNUMBER($AZ$332),$B$183=1),$AZ$332,HLOOKUP(INDIRECT(ADDRESS(2,COLUMN())),OFFSET($BN$2,0,0,ROW()-1,60),ROW()-1,FALSE))</f>
        <v>6.0597241549999996</v>
      </c>
      <c r="BA164">
        <f ca="1">IF(AND(ISNUMBER($BA$332),$B$183=1),$BA$332,HLOOKUP(INDIRECT(ADDRESS(2,COLUMN())),OFFSET($BN$2,0,0,ROW()-1,60),ROW()-1,FALSE))</f>
        <v>6.0099749750000004</v>
      </c>
      <c r="BB164">
        <f ca="1">IF(AND(ISNUMBER($BB$332),$B$183=1),$BB$332,HLOOKUP(INDIRECT(ADDRESS(2,COLUMN())),OFFSET($BN$2,0,0,ROW()-1,60),ROW()-1,FALSE))</f>
        <v>6.0136890269999999</v>
      </c>
      <c r="BC164">
        <f ca="1">IF(AND(ISNUMBER($BC$332),$B$183=1),$BC$332,HLOOKUP(INDIRECT(ADDRESS(2,COLUMN())),OFFSET($BN$2,0,0,ROW()-1,60),ROW()-1,FALSE))</f>
        <v>5.9018223230000002</v>
      </c>
      <c r="BD164">
        <f ca="1">IF(AND(ISNUMBER($BD$332),$B$183=1),$BD$332,HLOOKUP(INDIRECT(ADDRESS(2,COLUMN())),OFFSET($BN$2,0,0,ROW()-1,60),ROW()-1,FALSE))</f>
        <v>5.9425513130000001</v>
      </c>
      <c r="BE164">
        <f ca="1">IF(AND(ISNUMBER($BE$332),$B$183=1),$BE$332,HLOOKUP(INDIRECT(ADDRESS(2,COLUMN())),OFFSET($BN$2,0,0,ROW()-1,60),ROW()-1,FALSE))</f>
        <v>5.9026520480000002</v>
      </c>
      <c r="BF164">
        <f ca="1">IF(AND(ISNUMBER($BF$332),$B$183=1),$BF$332,HLOOKUP(INDIRECT(ADDRESS(2,COLUMN())),OFFSET($BN$2,0,0,ROW()-1,60),ROW()-1,FALSE))</f>
        <v>5.8725618160000002</v>
      </c>
      <c r="BG164">
        <f ca="1">IF(AND(ISNUMBER($BG$332),$B$183=1),$BG$332,HLOOKUP(INDIRECT(ADDRESS(2,COLUMN())),OFFSET($BN$2,0,0,ROW()-1,60),ROW()-1,FALSE))</f>
        <v>5.8780241100000001</v>
      </c>
      <c r="BH164">
        <f ca="1">IF(AND(ISNUMBER($BH$332),$B$183=1),$BH$332,HLOOKUP(INDIRECT(ADDRESS(2,COLUMN())),OFFSET($BN$2,0,0,ROW()-1,60),ROW()-1,FALSE))</f>
        <v>5.904635056</v>
      </c>
      <c r="BI164">
        <f ca="1">IF(AND(ISNUMBER($BI$332),$B$183=1),$BI$332,HLOOKUP(INDIRECT(ADDRESS(2,COLUMN())),OFFSET($BN$2,0,0,ROW()-1,60),ROW()-1,FALSE))</f>
        <v>6.0042068989999997</v>
      </c>
      <c r="BJ164">
        <f ca="1">IF(AND(ISNUMBER($BJ$332),$B$183=1),$BJ$332,HLOOKUP(INDIRECT(ADDRESS(2,COLUMN())),OFFSET($BN$2,0,0,ROW()-1,60),ROW()-1,FALSE))</f>
        <v>6.1598213189999997</v>
      </c>
      <c r="BK164">
        <f ca="1">IF(AND(ISNUMBER($BK$332),$B$183=1),$BK$332,HLOOKUP(INDIRECT(ADDRESS(2,COLUMN())),OFFSET($BN$2,0,0,ROW()-1,60),ROW()-1,FALSE))</f>
        <v>6.2740756119999999</v>
      </c>
      <c r="BL164">
        <f ca="1">IF(AND(ISNUMBER($BL$332),$B$183=1),$BL$332,HLOOKUP(INDIRECT(ADDRESS(2,COLUMN())),OFFSET($BN$2,0,0,ROW()-1,60),ROW()-1,FALSE))</f>
        <v>6.3598720919999998</v>
      </c>
      <c r="BM164">
        <f ca="1">IF(AND(ISNUMBER($BM$332),$B$183=1),$BM$332,HLOOKUP(INDIRECT(ADDRESS(2,COLUMN())),OFFSET($BN$2,0,0,ROW()-1,60),ROW()-1,FALSE))</f>
        <v>6.4013661700000002</v>
      </c>
      <c r="BN164">
        <f>3.886245987</f>
        <v>3.8862459870000001</v>
      </c>
      <c r="BO164">
        <f>3.972679831</f>
        <v>3.9726798310000002</v>
      </c>
      <c r="BP164">
        <f>3.987915823</f>
        <v>3.9879158229999998</v>
      </c>
      <c r="BQ164">
        <f>4.000637937</f>
        <v>4.0006379369999996</v>
      </c>
      <c r="BR164">
        <f>4.010979274</f>
        <v>4.0109792740000003</v>
      </c>
      <c r="BS164">
        <f>4.004593236</f>
        <v>4.0045932359999998</v>
      </c>
      <c r="BT164">
        <f>4.053133766</f>
        <v>4.0531337660000002</v>
      </c>
      <c r="BU164">
        <f>4.059247151</f>
        <v>4.0592471510000001</v>
      </c>
      <c r="BV164">
        <f>4.051358481</f>
        <v>4.0513584810000003</v>
      </c>
      <c r="BW164">
        <f>4.044852731</f>
        <v>4.0448527309999998</v>
      </c>
      <c r="BX164">
        <f>4.102756971</f>
        <v>4.1027569709999998</v>
      </c>
      <c r="BY164">
        <f>4.23331643</f>
        <v>4.2333164300000004</v>
      </c>
      <c r="BZ164">
        <f>4.314845081</f>
        <v>4.3148450809999996</v>
      </c>
      <c r="CA164">
        <f>4.307522379</f>
        <v>4.3075223789999999</v>
      </c>
      <c r="CB164">
        <f>4.372395351</f>
        <v>4.3723953509999998</v>
      </c>
      <c r="CC164">
        <f>4.446009416</f>
        <v>4.4460094159999999</v>
      </c>
      <c r="CD164">
        <f>4.605629269</f>
        <v>4.6056292689999996</v>
      </c>
      <c r="CE164">
        <f>4.628881342</f>
        <v>4.6288813419999997</v>
      </c>
      <c r="CF164">
        <f>4.729864324</f>
        <v>4.7298643240000002</v>
      </c>
      <c r="CG164">
        <f>4.861979317</f>
        <v>4.8619793170000003</v>
      </c>
      <c r="CH164">
        <f>4.913458605</f>
        <v>4.9134586049999998</v>
      </c>
      <c r="CI164">
        <f>5.025341683</f>
        <v>5.0253416829999997</v>
      </c>
      <c r="CJ164">
        <f>5.078031567</f>
        <v>5.078031567</v>
      </c>
      <c r="CK164">
        <f>5.130330048</f>
        <v>5.1303300480000003</v>
      </c>
      <c r="CL164">
        <f>5.178926677</f>
        <v>5.1789266769999998</v>
      </c>
      <c r="CM164">
        <f>5.250445004</f>
        <v>5.2504450040000004</v>
      </c>
      <c r="CN164">
        <f>5.296670182</f>
        <v>5.2966701819999997</v>
      </c>
      <c r="CO164">
        <f>5.393259171</f>
        <v>5.3932591710000004</v>
      </c>
      <c r="CP164">
        <f>5.377451549</f>
        <v>5.3774515489999999</v>
      </c>
      <c r="CQ164">
        <f>5.471021397</f>
        <v>5.4710213970000003</v>
      </c>
      <c r="CR164">
        <f>5.521079384</f>
        <v>5.5210793840000001</v>
      </c>
      <c r="CS164">
        <f>5.452306846</f>
        <v>5.4523068459999999</v>
      </c>
      <c r="CT164">
        <f>5.418697948</f>
        <v>5.4186979480000002</v>
      </c>
      <c r="CU164">
        <f>5.40187594</f>
        <v>5.40187594</v>
      </c>
      <c r="CV164">
        <f>5.273039356</f>
        <v>5.273039356</v>
      </c>
      <c r="CW164">
        <f>5.162055508</f>
        <v>5.1620555079999999</v>
      </c>
      <c r="CX164">
        <f>5.272563401</f>
        <v>5.2725634010000002</v>
      </c>
      <c r="CY164">
        <f>5.477422147</f>
        <v>5.4774221470000004</v>
      </c>
      <c r="CZ164">
        <f>5.381606123</f>
        <v>5.3816061230000001</v>
      </c>
      <c r="DA164">
        <f>5.414406723</f>
        <v>5.4144067229999999</v>
      </c>
      <c r="DB164">
        <f>5.738767479</f>
        <v>5.7387674789999998</v>
      </c>
      <c r="DC164">
        <f>5.795082922</f>
        <v>5.7950829219999997</v>
      </c>
      <c r="DD164">
        <f>5.773084175</f>
        <v>5.7730841750000002</v>
      </c>
      <c r="DE164">
        <f>5.819272541</f>
        <v>5.8192725410000001</v>
      </c>
      <c r="DF164">
        <f>5.964884755</f>
        <v>5.9648847549999999</v>
      </c>
      <c r="DG164">
        <f>6.045843229</f>
        <v>6.0458432289999999</v>
      </c>
      <c r="DH164">
        <f>6.059724155</f>
        <v>6.0597241549999996</v>
      </c>
      <c r="DI164">
        <f>6.009974975</f>
        <v>6.0099749750000004</v>
      </c>
      <c r="DJ164">
        <f>6.013689027</f>
        <v>6.0136890269999999</v>
      </c>
      <c r="DK164">
        <f>5.901822323</f>
        <v>5.9018223230000002</v>
      </c>
      <c r="DL164">
        <f>5.942551313</f>
        <v>5.9425513130000001</v>
      </c>
      <c r="DM164">
        <f>5.902652048</f>
        <v>5.9026520480000002</v>
      </c>
      <c r="DN164">
        <f>5.872561816</f>
        <v>5.8725618160000002</v>
      </c>
      <c r="DO164">
        <f>5.87802411</f>
        <v>5.8780241100000001</v>
      </c>
      <c r="DP164">
        <f>5.904635056</f>
        <v>5.904635056</v>
      </c>
      <c r="DQ164">
        <f>6.004206899</f>
        <v>6.0042068989999997</v>
      </c>
      <c r="DR164">
        <f>6.159821319</f>
        <v>6.1598213189999997</v>
      </c>
      <c r="DS164">
        <f>6.274075612</f>
        <v>6.2740756119999999</v>
      </c>
      <c r="DT164">
        <f>6.359872092</f>
        <v>6.3598720919999998</v>
      </c>
      <c r="DU164">
        <f>6.40136617</f>
        <v>6.4013661700000002</v>
      </c>
    </row>
    <row r="165" spans="1:125">
      <c r="A165" t="str">
        <f>"    所有股票房地产投资信托债务的至到期期限加权平均"</f>
        <v xml:space="preserve">    所有股票房地产投资信托债务的至到期期限加权平均</v>
      </c>
      <c r="B165" t="str">
        <f>"RECFWATM Index"</f>
        <v>RECFWATM Index</v>
      </c>
      <c r="C165" t="str">
        <f t="shared" si="45"/>
        <v>PR005</v>
      </c>
      <c r="D165" t="str">
        <f t="shared" si="46"/>
        <v>PX_LAST</v>
      </c>
      <c r="E165" t="str">
        <f t="shared" si="47"/>
        <v>动态</v>
      </c>
      <c r="F165">
        <f ca="1">IF(AND(ISNUMBER($F$333),$B$183=1),$F$333,HLOOKUP(INDIRECT(ADDRESS(2,COLUMN())),OFFSET($BN$2,0,0,ROW()-1,60),ROW()-1,FALSE))</f>
        <v>75.051842250000007</v>
      </c>
      <c r="G165">
        <f ca="1">IF(AND(ISNUMBER($G$333),$B$183=1),$G$333,HLOOKUP(INDIRECT(ADDRESS(2,COLUMN())),OFFSET($BN$2,0,0,ROW()-1,60),ROW()-1,FALSE))</f>
        <v>73.632838199999995</v>
      </c>
      <c r="H165">
        <f ca="1">IF(AND(ISNUMBER($H$333),$B$183=1),$H$333,HLOOKUP(INDIRECT(ADDRESS(2,COLUMN())),OFFSET($BN$2,0,0,ROW()-1,60),ROW()-1,FALSE))</f>
        <v>71.946871990000005</v>
      </c>
      <c r="I165">
        <f ca="1">IF(AND(ISNUMBER($I$333),$B$183=1),$I$333,HLOOKUP(INDIRECT(ADDRESS(2,COLUMN())),OFFSET($BN$2,0,0,ROW()-1,60),ROW()-1,FALSE))</f>
        <v>69.031992779999996</v>
      </c>
      <c r="J165">
        <f ca="1">IF(AND(ISNUMBER($J$333),$B$183=1),$J$333,HLOOKUP(INDIRECT(ADDRESS(2,COLUMN())),OFFSET($BN$2,0,0,ROW()-1,60),ROW()-1,FALSE))</f>
        <v>70.282629679999999</v>
      </c>
      <c r="K165">
        <f ca="1">IF(AND(ISNUMBER($K$333),$B$183=1),$K$333,HLOOKUP(INDIRECT(ADDRESS(2,COLUMN())),OFFSET($BN$2,0,0,ROW()-1,60),ROW()-1,FALSE))</f>
        <v>69.584002429999998</v>
      </c>
      <c r="L165">
        <f ca="1">IF(AND(ISNUMBER($L$333),$B$183=1),$L$333,HLOOKUP(INDIRECT(ADDRESS(2,COLUMN())),OFFSET($BN$2,0,0,ROW()-1,60),ROW()-1,FALSE))</f>
        <v>68.443041949999994</v>
      </c>
      <c r="M165">
        <f ca="1">IF(AND(ISNUMBER($M$333),$B$183=1),$M$333,HLOOKUP(INDIRECT(ADDRESS(2,COLUMN())),OFFSET($BN$2,0,0,ROW()-1,60),ROW()-1,FALSE))</f>
        <v>65.902861060000006</v>
      </c>
      <c r="N165">
        <f ca="1">IF(AND(ISNUMBER($N$333),$B$183=1),$N$333,HLOOKUP(INDIRECT(ADDRESS(2,COLUMN())),OFFSET($BN$2,0,0,ROW()-1,60),ROW()-1,FALSE))</f>
        <v>68.619595570000001</v>
      </c>
      <c r="O165">
        <f ca="1">IF(AND(ISNUMBER($O$333),$B$183=1),$O$333,HLOOKUP(INDIRECT(ADDRESS(2,COLUMN())),OFFSET($BN$2,0,0,ROW()-1,60),ROW()-1,FALSE))</f>
        <v>65.928771670000003</v>
      </c>
      <c r="P165">
        <f ca="1">IF(AND(ISNUMBER($P$333),$B$183=1),$P$333,HLOOKUP(INDIRECT(ADDRESS(2,COLUMN())),OFFSET($BN$2,0,0,ROW()-1,60),ROW()-1,FALSE))</f>
        <v>66.899899930000004</v>
      </c>
      <c r="Q165">
        <f ca="1">IF(AND(ISNUMBER($Q$333),$B$183=1),$Q$333,HLOOKUP(INDIRECT(ADDRESS(2,COLUMN())),OFFSET($BN$2,0,0,ROW()-1,60),ROW()-1,FALSE))</f>
        <v>67.340022680000004</v>
      </c>
      <c r="R165">
        <f ca="1">IF(AND(ISNUMBER($R$333),$B$183=1),$R$333,HLOOKUP(INDIRECT(ADDRESS(2,COLUMN())),OFFSET($BN$2,0,0,ROW()-1,60),ROW()-1,FALSE))</f>
        <v>66.998639150000002</v>
      </c>
      <c r="S165">
        <f ca="1">IF(AND(ISNUMBER($S$333),$B$183=1),$S$333,HLOOKUP(INDIRECT(ADDRESS(2,COLUMN())),OFFSET($BN$2,0,0,ROW()-1,60),ROW()-1,FALSE))</f>
        <v>67.780190790000006</v>
      </c>
      <c r="T165">
        <f ca="1">IF(AND(ISNUMBER($T$333),$B$183=1),$T$333,HLOOKUP(INDIRECT(ADDRESS(2,COLUMN())),OFFSET($BN$2,0,0,ROW()-1,60),ROW()-1,FALSE))</f>
        <v>67.933175930000004</v>
      </c>
      <c r="U165">
        <f ca="1">IF(AND(ISNUMBER($U$333),$B$183=1),$U$333,HLOOKUP(INDIRECT(ADDRESS(2,COLUMN())),OFFSET($BN$2,0,0,ROW()-1,60),ROW()-1,FALSE))</f>
        <v>67.295815079999997</v>
      </c>
      <c r="V165">
        <f ca="1">IF(AND(ISNUMBER($V$333),$B$183=1),$V$333,HLOOKUP(INDIRECT(ADDRESS(2,COLUMN())),OFFSET($BN$2,0,0,ROW()-1,60),ROW()-1,FALSE))</f>
        <v>67.204501739999998</v>
      </c>
      <c r="W165">
        <f ca="1">IF(AND(ISNUMBER($W$333),$B$183=1),$W$333,HLOOKUP(INDIRECT(ADDRESS(2,COLUMN())),OFFSET($BN$2,0,0,ROW()-1,60),ROW()-1,FALSE))</f>
        <v>66.091734130000006</v>
      </c>
      <c r="X165">
        <f ca="1">IF(AND(ISNUMBER($X$333),$B$183=1),$X$333,HLOOKUP(INDIRECT(ADDRESS(2,COLUMN())),OFFSET($BN$2,0,0,ROW()-1,60),ROW()-1,FALSE))</f>
        <v>67.660796959999999</v>
      </c>
      <c r="Y165">
        <f ca="1">IF(AND(ISNUMBER($Y$333),$B$183=1),$Y$333,HLOOKUP(INDIRECT(ADDRESS(2,COLUMN())),OFFSET($BN$2,0,0,ROW()-1,60),ROW()-1,FALSE))</f>
        <v>67.307986060000005</v>
      </c>
      <c r="Z165">
        <f ca="1">IF(AND(ISNUMBER($Z$333),$B$183=1),$Z$333,HLOOKUP(INDIRECT(ADDRESS(2,COLUMN())),OFFSET($BN$2,0,0,ROW()-1,60),ROW()-1,FALSE))</f>
        <v>66.252936520000006</v>
      </c>
      <c r="AA165">
        <f ca="1">IF(AND(ISNUMBER($AA$333),$B$183=1),$AA$333,HLOOKUP(INDIRECT(ADDRESS(2,COLUMN())),OFFSET($BN$2,0,0,ROW()-1,60),ROW()-1,FALSE))</f>
        <v>66.232806049999994</v>
      </c>
      <c r="AB165">
        <f ca="1">IF(AND(ISNUMBER($AB$333),$B$183=1),$AB$333,HLOOKUP(INDIRECT(ADDRESS(2,COLUMN())),OFFSET($BN$2,0,0,ROW()-1,60),ROW()-1,FALSE))</f>
        <v>66.286814140000004</v>
      </c>
      <c r="AC165">
        <f ca="1">IF(AND(ISNUMBER($AC$333),$B$183=1),$AC$333,HLOOKUP(INDIRECT(ADDRESS(2,COLUMN())),OFFSET($BN$2,0,0,ROW()-1,60),ROW()-1,FALSE))</f>
        <v>65.544781990000004</v>
      </c>
      <c r="AD165">
        <f ca="1">IF(AND(ISNUMBER($AD$333),$B$183=1),$AD$333,HLOOKUP(INDIRECT(ADDRESS(2,COLUMN())),OFFSET($BN$2,0,0,ROW()-1,60),ROW()-1,FALSE))</f>
        <v>65.90424462</v>
      </c>
      <c r="AE165">
        <f ca="1">IF(AND(ISNUMBER($AE$333),$B$183=1),$AE$333,HLOOKUP(INDIRECT(ADDRESS(2,COLUMN())),OFFSET($BN$2,0,0,ROW()-1,60),ROW()-1,FALSE))</f>
        <v>65.515523470000005</v>
      </c>
      <c r="AF165">
        <f ca="1">IF(AND(ISNUMBER($AF$333),$B$183=1),$AF$333,HLOOKUP(INDIRECT(ADDRESS(2,COLUMN())),OFFSET($BN$2,0,0,ROW()-1,60),ROW()-1,FALSE))</f>
        <v>66.153467269999993</v>
      </c>
      <c r="AG165">
        <f ca="1">IF(AND(ISNUMBER($AG$333),$B$183=1),$AG$333,HLOOKUP(INDIRECT(ADDRESS(2,COLUMN())),OFFSET($BN$2,0,0,ROW()-1,60),ROW()-1,FALSE))</f>
        <v>64.716758749999997</v>
      </c>
      <c r="AH165">
        <f ca="1">IF(AND(ISNUMBER($AH$333),$B$183=1),$AH$333,HLOOKUP(INDIRECT(ADDRESS(2,COLUMN())),OFFSET($BN$2,0,0,ROW()-1,60),ROW()-1,FALSE))</f>
        <v>63.285873359999997</v>
      </c>
      <c r="AI165">
        <f ca="1">IF(AND(ISNUMBER($AI$333),$B$183=1),$AI$333,HLOOKUP(INDIRECT(ADDRESS(2,COLUMN())),OFFSET($BN$2,0,0,ROW()-1,60),ROW()-1,FALSE))</f>
        <v>63.031968929999998</v>
      </c>
      <c r="AJ165">
        <f ca="1">IF(AND(ISNUMBER($AJ$333),$B$183=1),$AJ$333,HLOOKUP(INDIRECT(ADDRESS(2,COLUMN())),OFFSET($BN$2,0,0,ROW()-1,60),ROW()-1,FALSE))</f>
        <v>61.558341929999997</v>
      </c>
      <c r="AK165">
        <f ca="1">IF(AND(ISNUMBER($AK$333),$B$183=1),$AK$333,HLOOKUP(INDIRECT(ADDRESS(2,COLUMN())),OFFSET($BN$2,0,0,ROW()-1,60),ROW()-1,FALSE))</f>
        <v>61.38392786</v>
      </c>
      <c r="AL165">
        <f ca="1">IF(AND(ISNUMBER($AL$333),$B$183=1),$AL$333,HLOOKUP(INDIRECT(ADDRESS(2,COLUMN())),OFFSET($BN$2,0,0,ROW()-1,60),ROW()-1,FALSE))</f>
        <v>60.043221119999998</v>
      </c>
      <c r="AM165">
        <f ca="1">IF(AND(ISNUMBER($AM$333),$B$183=1),$AM$333,HLOOKUP(INDIRECT(ADDRESS(2,COLUMN())),OFFSET($BN$2,0,0,ROW()-1,60),ROW()-1,FALSE))</f>
        <v>60.949770149999999</v>
      </c>
      <c r="AN165">
        <f ca="1">IF(AND(ISNUMBER($AN$333),$B$183=1),$AN$333,HLOOKUP(INDIRECT(ADDRESS(2,COLUMN())),OFFSET($BN$2,0,0,ROW()-1,60),ROW()-1,FALSE))</f>
        <v>61.79093641</v>
      </c>
      <c r="AO165">
        <f ca="1">IF(AND(ISNUMBER($AO$333),$B$183=1),$AO$333,HLOOKUP(INDIRECT(ADDRESS(2,COLUMN())),OFFSET($BN$2,0,0,ROW()-1,60),ROW()-1,FALSE))</f>
        <v>59.922177529999999</v>
      </c>
      <c r="AP165">
        <f ca="1">IF(AND(ISNUMBER($AP$333),$B$183=1),$AP$333,HLOOKUP(INDIRECT(ADDRESS(2,COLUMN())),OFFSET($BN$2,0,0,ROW()-1,60),ROW()-1,FALSE))</f>
        <v>60.007399190000001</v>
      </c>
      <c r="AQ165">
        <f ca="1">IF(AND(ISNUMBER($AQ$333),$B$183=1),$AQ$333,HLOOKUP(INDIRECT(ADDRESS(2,COLUMN())),OFFSET($BN$2,0,0,ROW()-1,60),ROW()-1,FALSE))</f>
        <v>59.19540138</v>
      </c>
      <c r="AR165">
        <f ca="1">IF(AND(ISNUMBER($AR$333),$B$183=1),$AR$333,HLOOKUP(INDIRECT(ADDRESS(2,COLUMN())),OFFSET($BN$2,0,0,ROW()-1,60),ROW()-1,FALSE))</f>
        <v>61.297328210000003</v>
      </c>
      <c r="AS165">
        <f ca="1">IF(AND(ISNUMBER($AS$333),$B$183=1),$AS$333,HLOOKUP(INDIRECT(ADDRESS(2,COLUMN())),OFFSET($BN$2,0,0,ROW()-1,60),ROW()-1,FALSE))</f>
        <v>61.681529419999997</v>
      </c>
      <c r="AT165">
        <f ca="1">IF(AND(ISNUMBER($AT$333),$B$183=1),$AT$333,HLOOKUP(INDIRECT(ADDRESS(2,COLUMN())),OFFSET($BN$2,0,0,ROW()-1,60),ROW()-1,FALSE))</f>
        <v>64.089517920000006</v>
      </c>
      <c r="AU165">
        <f ca="1">IF(AND(ISNUMBER($AU$333),$B$183=1),$AU$333,HLOOKUP(INDIRECT(ADDRESS(2,COLUMN())),OFFSET($BN$2,0,0,ROW()-1,60),ROW()-1,FALSE))</f>
        <v>67.057389880000002</v>
      </c>
      <c r="AV165">
        <f ca="1">IF(AND(ISNUMBER($AV$333),$B$183=1),$AV$333,HLOOKUP(INDIRECT(ADDRESS(2,COLUMN())),OFFSET($BN$2,0,0,ROW()-1,60),ROW()-1,FALSE))</f>
        <v>71.757329830000003</v>
      </c>
      <c r="AW165">
        <f ca="1">IF(AND(ISNUMBER($AW$333),$B$183=1),$AW$333,HLOOKUP(INDIRECT(ADDRESS(2,COLUMN())),OFFSET($BN$2,0,0,ROW()-1,60),ROW()-1,FALSE))</f>
        <v>69.824281790000001</v>
      </c>
      <c r="AX165">
        <f ca="1">IF(AND(ISNUMBER($AX$333),$B$183=1),$AX$333,HLOOKUP(INDIRECT(ADDRESS(2,COLUMN())),OFFSET($BN$2,0,0,ROW()-1,60),ROW()-1,FALSE))</f>
        <v>68.986021570000005</v>
      </c>
      <c r="AY165">
        <f ca="1">IF(AND(ISNUMBER($AY$333),$B$183=1),$AY$333,HLOOKUP(INDIRECT(ADDRESS(2,COLUMN())),OFFSET($BN$2,0,0,ROW()-1,60),ROW()-1,FALSE))</f>
        <v>73.234821179999997</v>
      </c>
      <c r="AZ165">
        <f ca="1">IF(AND(ISNUMBER($AZ$333),$B$183=1),$AZ$333,HLOOKUP(INDIRECT(ADDRESS(2,COLUMN())),OFFSET($BN$2,0,0,ROW()-1,60),ROW()-1,FALSE))</f>
        <v>69.312963609999997</v>
      </c>
      <c r="BA165">
        <f ca="1">IF(AND(ISNUMBER($BA$333),$B$183=1),$BA$333,HLOOKUP(INDIRECT(ADDRESS(2,COLUMN())),OFFSET($BN$2,0,0,ROW()-1,60),ROW()-1,FALSE))</f>
        <v>68.324536980000005</v>
      </c>
      <c r="BB165">
        <f ca="1">IF(AND(ISNUMBER($BB$333),$B$183=1),$BB$333,HLOOKUP(INDIRECT(ADDRESS(2,COLUMN())),OFFSET($BN$2,0,0,ROW()-1,60),ROW()-1,FALSE))</f>
        <v>66.213014180000002</v>
      </c>
      <c r="BC165">
        <f ca="1">IF(AND(ISNUMBER($BC$333),$B$183=1),$BC$333,HLOOKUP(INDIRECT(ADDRESS(2,COLUMN())),OFFSET($BN$2,0,0,ROW()-1,60),ROW()-1,FALSE))</f>
        <v>67.379842429999997</v>
      </c>
      <c r="BD165">
        <f ca="1">IF(AND(ISNUMBER($BD$333),$B$183=1),$BD$333,HLOOKUP(INDIRECT(ADDRESS(2,COLUMN())),OFFSET($BN$2,0,0,ROW()-1,60),ROW()-1,FALSE))</f>
        <v>67.465340569999995</v>
      </c>
      <c r="BE165">
        <f ca="1">IF(AND(ISNUMBER($BE$333),$B$183=1),$BE$333,HLOOKUP(INDIRECT(ADDRESS(2,COLUMN())),OFFSET($BN$2,0,0,ROW()-1,60),ROW()-1,FALSE))</f>
        <v>66.806979200000001</v>
      </c>
      <c r="BF165">
        <f ca="1">IF(AND(ISNUMBER($BF$333),$B$183=1),$BF$333,HLOOKUP(INDIRECT(ADDRESS(2,COLUMN())),OFFSET($BN$2,0,0,ROW()-1,60),ROW()-1,FALSE))</f>
        <v>66.914784789999999</v>
      </c>
      <c r="BG165">
        <f ca="1">IF(AND(ISNUMBER($BG$333),$B$183=1),$BG$333,HLOOKUP(INDIRECT(ADDRESS(2,COLUMN())),OFFSET($BN$2,0,0,ROW()-1,60),ROW()-1,FALSE))</f>
        <v>70.090916129999997</v>
      </c>
      <c r="BH165">
        <f ca="1">IF(AND(ISNUMBER($BH$333),$B$183=1),$BH$333,HLOOKUP(INDIRECT(ADDRESS(2,COLUMN())),OFFSET($BN$2,0,0,ROW()-1,60),ROW()-1,FALSE))</f>
        <v>69.528278040000004</v>
      </c>
      <c r="BI165">
        <f ca="1">IF(AND(ISNUMBER($BI$333),$B$183=1),$BI$333,HLOOKUP(INDIRECT(ADDRESS(2,COLUMN())),OFFSET($BN$2,0,0,ROW()-1,60),ROW()-1,FALSE))</f>
        <v>69.298158999999998</v>
      </c>
      <c r="BJ165">
        <f ca="1">IF(AND(ISNUMBER($BJ$333),$B$183=1),$BJ$333,HLOOKUP(INDIRECT(ADDRESS(2,COLUMN())),OFFSET($BN$2,0,0,ROW()-1,60),ROW()-1,FALSE))</f>
        <v>68.500816049999997</v>
      </c>
      <c r="BK165">
        <f ca="1">IF(AND(ISNUMBER($BK$333),$B$183=1),$BK$333,HLOOKUP(INDIRECT(ADDRESS(2,COLUMN())),OFFSET($BN$2,0,0,ROW()-1,60),ROW()-1,FALSE))</f>
        <v>68.285754900000001</v>
      </c>
      <c r="BL165">
        <f ca="1">IF(AND(ISNUMBER($BL$333),$B$183=1),$BL$333,HLOOKUP(INDIRECT(ADDRESS(2,COLUMN())),OFFSET($BN$2,0,0,ROW()-1,60),ROW()-1,FALSE))</f>
        <v>70.406896669999995</v>
      </c>
      <c r="BM165">
        <f ca="1">IF(AND(ISNUMBER($BM$333),$B$183=1),$BM$333,HLOOKUP(INDIRECT(ADDRESS(2,COLUMN())),OFFSET($BN$2,0,0,ROW()-1,60),ROW()-1,FALSE))</f>
        <v>71.602430290000001</v>
      </c>
      <c r="BN165">
        <f>75.05184225</f>
        <v>75.051842250000007</v>
      </c>
      <c r="BO165">
        <f>73.6328382</f>
        <v>73.632838199999995</v>
      </c>
      <c r="BP165">
        <f>71.94687199</f>
        <v>71.946871990000005</v>
      </c>
      <c r="BQ165">
        <f>69.03199278</f>
        <v>69.031992779999996</v>
      </c>
      <c r="BR165">
        <f>70.28262968</f>
        <v>70.282629679999999</v>
      </c>
      <c r="BS165">
        <f>69.58400243</f>
        <v>69.584002429999998</v>
      </c>
      <c r="BT165">
        <f>68.44304195</f>
        <v>68.443041949999994</v>
      </c>
      <c r="BU165">
        <f>65.90286106</f>
        <v>65.902861060000006</v>
      </c>
      <c r="BV165">
        <f>68.61959557</f>
        <v>68.619595570000001</v>
      </c>
      <c r="BW165">
        <f>65.92877167</f>
        <v>65.928771670000003</v>
      </c>
      <c r="BX165">
        <f>66.89989993</f>
        <v>66.899899930000004</v>
      </c>
      <c r="BY165">
        <f>67.34002268</f>
        <v>67.340022680000004</v>
      </c>
      <c r="BZ165">
        <f>66.99863915</f>
        <v>66.998639150000002</v>
      </c>
      <c r="CA165">
        <f>67.78019079</f>
        <v>67.780190790000006</v>
      </c>
      <c r="CB165">
        <f>67.93317593</f>
        <v>67.933175930000004</v>
      </c>
      <c r="CC165">
        <f>67.29581508</f>
        <v>67.295815079999997</v>
      </c>
      <c r="CD165">
        <f>67.20450174</f>
        <v>67.204501739999998</v>
      </c>
      <c r="CE165">
        <f>66.09173413</f>
        <v>66.091734130000006</v>
      </c>
      <c r="CF165">
        <f>67.66079696</f>
        <v>67.660796959999999</v>
      </c>
      <c r="CG165">
        <f>67.30798606</f>
        <v>67.307986060000005</v>
      </c>
      <c r="CH165">
        <f>66.25293652</f>
        <v>66.252936520000006</v>
      </c>
      <c r="CI165">
        <f>66.23280605</f>
        <v>66.232806049999994</v>
      </c>
      <c r="CJ165">
        <f>66.28681414</f>
        <v>66.286814140000004</v>
      </c>
      <c r="CK165">
        <f>65.54478199</f>
        <v>65.544781990000004</v>
      </c>
      <c r="CL165">
        <f>65.90424462</f>
        <v>65.90424462</v>
      </c>
      <c r="CM165">
        <f>65.51552347</f>
        <v>65.515523470000005</v>
      </c>
      <c r="CN165">
        <f>66.15346727</f>
        <v>66.153467269999993</v>
      </c>
      <c r="CO165">
        <f>64.71675875</f>
        <v>64.716758749999997</v>
      </c>
      <c r="CP165">
        <f>63.28587336</f>
        <v>63.285873359999997</v>
      </c>
      <c r="CQ165">
        <f>63.03196893</f>
        <v>63.031968929999998</v>
      </c>
      <c r="CR165">
        <f>61.55834193</f>
        <v>61.558341929999997</v>
      </c>
      <c r="CS165">
        <f>61.38392786</f>
        <v>61.38392786</v>
      </c>
      <c r="CT165">
        <f>60.04322112</f>
        <v>60.043221119999998</v>
      </c>
      <c r="CU165">
        <f>60.94977015</f>
        <v>60.949770149999999</v>
      </c>
      <c r="CV165">
        <f>61.79093641</f>
        <v>61.79093641</v>
      </c>
      <c r="CW165">
        <f>59.92217753</f>
        <v>59.922177529999999</v>
      </c>
      <c r="CX165">
        <f>60.00739919</f>
        <v>60.007399190000001</v>
      </c>
      <c r="CY165">
        <f>59.19540138</f>
        <v>59.19540138</v>
      </c>
      <c r="CZ165">
        <f>61.29732821</f>
        <v>61.297328210000003</v>
      </c>
      <c r="DA165">
        <f>61.68152942</f>
        <v>61.681529419999997</v>
      </c>
      <c r="DB165">
        <f>64.08951792</f>
        <v>64.089517920000006</v>
      </c>
      <c r="DC165">
        <f>67.05738988</f>
        <v>67.057389880000002</v>
      </c>
      <c r="DD165">
        <f>71.75732983</f>
        <v>71.757329830000003</v>
      </c>
      <c r="DE165">
        <f>69.82428179</f>
        <v>69.824281790000001</v>
      </c>
      <c r="DF165">
        <f>68.98602157</f>
        <v>68.986021570000005</v>
      </c>
      <c r="DG165">
        <f>73.23482118</f>
        <v>73.234821179999997</v>
      </c>
      <c r="DH165">
        <f>69.31296361</f>
        <v>69.312963609999997</v>
      </c>
      <c r="DI165">
        <f>68.32453698</f>
        <v>68.324536980000005</v>
      </c>
      <c r="DJ165">
        <f>66.21301418</f>
        <v>66.213014180000002</v>
      </c>
      <c r="DK165">
        <f>67.37984243</f>
        <v>67.379842429999997</v>
      </c>
      <c r="DL165">
        <f>67.46534057</f>
        <v>67.465340569999995</v>
      </c>
      <c r="DM165">
        <f>66.8069792</f>
        <v>66.806979200000001</v>
      </c>
      <c r="DN165">
        <f>66.91478479</f>
        <v>66.914784789999999</v>
      </c>
      <c r="DO165">
        <f>70.09091613</f>
        <v>70.090916129999997</v>
      </c>
      <c r="DP165">
        <f>69.52827804</f>
        <v>69.528278040000004</v>
      </c>
      <c r="DQ165">
        <f>69.298159</f>
        <v>69.298158999999998</v>
      </c>
      <c r="DR165">
        <f>68.50081605</f>
        <v>68.500816049999997</v>
      </c>
      <c r="DS165">
        <f>68.2857549</f>
        <v>68.285754900000001</v>
      </c>
      <c r="DT165">
        <f>70.40689667</f>
        <v>70.406896669999995</v>
      </c>
      <c r="DU165">
        <f>71.60243029</f>
        <v>71.602430290000001</v>
      </c>
    </row>
    <row r="166" spans="1:125">
      <c r="A166" t="str">
        <f>"    房地产投资信托平均保障比率"</f>
        <v xml:space="preserve">    房地产投资信托平均保障比率</v>
      </c>
      <c r="B166" t="str">
        <f>"RECFAVCR Index"</f>
        <v>RECFAVCR Index</v>
      </c>
      <c r="C166" t="str">
        <f t="shared" si="45"/>
        <v>PR005</v>
      </c>
      <c r="D166" t="str">
        <f t="shared" si="46"/>
        <v>PX_LAST</v>
      </c>
      <c r="E166" t="str">
        <f t="shared" si="47"/>
        <v>动态</v>
      </c>
      <c r="F166">
        <f ca="1">IF(AND(ISNUMBER($F$334),$B$183=1),$F$334,HLOOKUP(INDIRECT(ADDRESS(2,COLUMN())),OFFSET($BN$2,0,0,ROW()-1,60),ROW()-1,FALSE))</f>
        <v>4.4457696650000003</v>
      </c>
      <c r="G166">
        <f ca="1">IF(AND(ISNUMBER($G$334),$B$183=1),$G$334,HLOOKUP(INDIRECT(ADDRESS(2,COLUMN())),OFFSET($BN$2,0,0,ROW()-1,60),ROW()-1,FALSE))</f>
        <v>4.4627328359999998</v>
      </c>
      <c r="H166">
        <f ca="1">IF(AND(ISNUMBER($H$334),$B$183=1),$H$334,HLOOKUP(INDIRECT(ADDRESS(2,COLUMN())),OFFSET($BN$2,0,0,ROW()-1,60),ROW()-1,FALSE))</f>
        <v>4.4654736770000003</v>
      </c>
      <c r="I166">
        <f ca="1">IF(AND(ISNUMBER($I$334),$B$183=1),$I$334,HLOOKUP(INDIRECT(ADDRESS(2,COLUMN())),OFFSET($BN$2,0,0,ROW()-1,60),ROW()-1,FALSE))</f>
        <v>4.48101181</v>
      </c>
      <c r="J166">
        <f ca="1">IF(AND(ISNUMBER($J$334),$B$183=1),$J$334,HLOOKUP(INDIRECT(ADDRESS(2,COLUMN())),OFFSET($BN$2,0,0,ROW()-1,60),ROW()-1,FALSE))</f>
        <v>4.6575914730000001</v>
      </c>
      <c r="K166">
        <f ca="1">IF(AND(ISNUMBER($K$334),$B$183=1),$K$334,HLOOKUP(INDIRECT(ADDRESS(2,COLUMN())),OFFSET($BN$2,0,0,ROW()-1,60),ROW()-1,FALSE))</f>
        <v>4.4366932859999997</v>
      </c>
      <c r="L166">
        <f ca="1">IF(AND(ISNUMBER($L$334),$B$183=1),$L$334,HLOOKUP(INDIRECT(ADDRESS(2,COLUMN())),OFFSET($BN$2,0,0,ROW()-1,60),ROW()-1,FALSE))</f>
        <v>4.6035733900000002</v>
      </c>
      <c r="M166">
        <f ca="1">IF(AND(ISNUMBER($M$334),$B$183=1),$M$334,HLOOKUP(INDIRECT(ADDRESS(2,COLUMN())),OFFSET($BN$2,0,0,ROW()-1,60),ROW()-1,FALSE))</f>
        <v>4.9614301770000004</v>
      </c>
      <c r="N166">
        <f ca="1">IF(AND(ISNUMBER($N$334),$B$183=1),$N$334,HLOOKUP(INDIRECT(ADDRESS(2,COLUMN())),OFFSET($BN$2,0,0,ROW()-1,60),ROW()-1,FALSE))</f>
        <v>4.1713874369999999</v>
      </c>
      <c r="O166">
        <f ca="1">IF(AND(ISNUMBER($O$334),$B$183=1),$O$334,HLOOKUP(INDIRECT(ADDRESS(2,COLUMN())),OFFSET($BN$2,0,0,ROW()-1,60),ROW()-1,FALSE))</f>
        <v>4.2339912980000003</v>
      </c>
      <c r="P166">
        <f ca="1">IF(AND(ISNUMBER($P$334),$B$183=1),$P$334,HLOOKUP(INDIRECT(ADDRESS(2,COLUMN())),OFFSET($BN$2,0,0,ROW()-1,60),ROW()-1,FALSE))</f>
        <v>4.2471887800000001</v>
      </c>
      <c r="Q166">
        <f ca="1">IF(AND(ISNUMBER($Q$334),$B$183=1),$Q$334,HLOOKUP(INDIRECT(ADDRESS(2,COLUMN())),OFFSET($BN$2,0,0,ROW()-1,60),ROW()-1,FALSE))</f>
        <v>4.1852197069999999</v>
      </c>
      <c r="R166">
        <f ca="1">IF(AND(ISNUMBER($R$334),$B$183=1),$R$334,HLOOKUP(INDIRECT(ADDRESS(2,COLUMN())),OFFSET($BN$2,0,0,ROW()-1,60),ROW()-1,FALSE))</f>
        <v>4.4933217059999997</v>
      </c>
      <c r="S166">
        <f ca="1">IF(AND(ISNUMBER($S$334),$B$183=1),$S$334,HLOOKUP(INDIRECT(ADDRESS(2,COLUMN())),OFFSET($BN$2,0,0,ROW()-1,60),ROW()-1,FALSE))</f>
        <v>4.0541496080000003</v>
      </c>
      <c r="T166">
        <f ca="1">IF(AND(ISNUMBER($T$334),$B$183=1),$T$334,HLOOKUP(INDIRECT(ADDRESS(2,COLUMN())),OFFSET($BN$2,0,0,ROW()-1,60),ROW()-1,FALSE))</f>
        <v>4.0009744060000001</v>
      </c>
      <c r="U166">
        <f ca="1">IF(AND(ISNUMBER($U$334),$B$183=1),$U$334,HLOOKUP(INDIRECT(ADDRESS(2,COLUMN())),OFFSET($BN$2,0,0,ROW()-1,60),ROW()-1,FALSE))</f>
        <v>3.7491087489999999</v>
      </c>
      <c r="V166">
        <f ca="1">IF(AND(ISNUMBER($V$334),$B$183=1),$V$334,HLOOKUP(INDIRECT(ADDRESS(2,COLUMN())),OFFSET($BN$2,0,0,ROW()-1,60),ROW()-1,FALSE))</f>
        <v>3.3581059579999999</v>
      </c>
      <c r="W166">
        <f ca="1">IF(AND(ISNUMBER($W$334),$B$183=1),$W$334,HLOOKUP(INDIRECT(ADDRESS(2,COLUMN())),OFFSET($BN$2,0,0,ROW()-1,60),ROW()-1,FALSE))</f>
        <v>3.4754804090000002</v>
      </c>
      <c r="X166">
        <f ca="1">IF(AND(ISNUMBER($X$334),$B$183=1),$X$334,HLOOKUP(INDIRECT(ADDRESS(2,COLUMN())),OFFSET($BN$2,0,0,ROW()-1,60),ROW()-1,FALSE))</f>
        <v>3.6602936289999999</v>
      </c>
      <c r="Y166">
        <f ca="1">IF(AND(ISNUMBER($Y$334),$B$183=1),$Y$334,HLOOKUP(INDIRECT(ADDRESS(2,COLUMN())),OFFSET($BN$2,0,0,ROW()-1,60),ROW()-1,FALSE))</f>
        <v>3.2671089000000002</v>
      </c>
      <c r="Z166">
        <f ca="1">IF(AND(ISNUMBER($Z$334),$B$183=1),$Z$334,HLOOKUP(INDIRECT(ADDRESS(2,COLUMN())),OFFSET($BN$2,0,0,ROW()-1,60),ROW()-1,FALSE))</f>
        <v>3.1982704540000002</v>
      </c>
      <c r="AA166">
        <f ca="1">IF(AND(ISNUMBER($AA$334),$B$183=1),$AA$334,HLOOKUP(INDIRECT(ADDRESS(2,COLUMN())),OFFSET($BN$2,0,0,ROW()-1,60),ROW()-1,FALSE))</f>
        <v>3.104937219</v>
      </c>
      <c r="AB166">
        <f ca="1">IF(AND(ISNUMBER($AB$334),$B$183=1),$AB$334,HLOOKUP(INDIRECT(ADDRESS(2,COLUMN())),OFFSET($BN$2,0,0,ROW()-1,60),ROW()-1,FALSE))</f>
        <v>3.042926354</v>
      </c>
      <c r="AC166">
        <f ca="1">IF(AND(ISNUMBER($AC$334),$B$183=1),$AC$334,HLOOKUP(INDIRECT(ADDRESS(2,COLUMN())),OFFSET($BN$2,0,0,ROW()-1,60),ROW()-1,FALSE))</f>
        <v>3.1226750999999999</v>
      </c>
      <c r="AD166">
        <f ca="1">IF(AND(ISNUMBER($AD$334),$B$183=1),$AD$334,HLOOKUP(INDIRECT(ADDRESS(2,COLUMN())),OFFSET($BN$2,0,0,ROW()-1,60),ROW()-1,FALSE))</f>
        <v>2.868861753</v>
      </c>
      <c r="AE166">
        <f ca="1">IF(AND(ISNUMBER($AE$334),$B$183=1),$AE$334,HLOOKUP(INDIRECT(ADDRESS(2,COLUMN())),OFFSET($BN$2,0,0,ROW()-1,60),ROW()-1,FALSE))</f>
        <v>2.8707054460000001</v>
      </c>
      <c r="AF166">
        <f ca="1">IF(AND(ISNUMBER($AF$334),$B$183=1),$AF$334,HLOOKUP(INDIRECT(ADDRESS(2,COLUMN())),OFFSET($BN$2,0,0,ROW()-1,60),ROW()-1,FALSE))</f>
        <v>2.7461920489999998</v>
      </c>
      <c r="AG166">
        <f ca="1">IF(AND(ISNUMBER($AG$334),$B$183=1),$AG$334,HLOOKUP(INDIRECT(ADDRESS(2,COLUMN())),OFFSET($BN$2,0,0,ROW()-1,60),ROW()-1,FALSE))</f>
        <v>2.8340776729999999</v>
      </c>
      <c r="AH166">
        <f ca="1">IF(AND(ISNUMBER($AH$334),$B$183=1),$AH$334,HLOOKUP(INDIRECT(ADDRESS(2,COLUMN())),OFFSET($BN$2,0,0,ROW()-1,60),ROW()-1,FALSE))</f>
        <v>1.8649511649999999</v>
      </c>
      <c r="AI166">
        <f ca="1">IF(AND(ISNUMBER($AI$334),$B$183=1),$AI$334,HLOOKUP(INDIRECT(ADDRESS(2,COLUMN())),OFFSET($BN$2,0,0,ROW()-1,60),ROW()-1,FALSE))</f>
        <v>2.6430459480000001</v>
      </c>
      <c r="AJ166">
        <f ca="1">IF(AND(ISNUMBER($AJ$334),$B$183=1),$AJ$334,HLOOKUP(INDIRECT(ADDRESS(2,COLUMN())),OFFSET($BN$2,0,0,ROW()-1,60),ROW()-1,FALSE))</f>
        <v>2.5710801280000002</v>
      </c>
      <c r="AK166">
        <f ca="1">IF(AND(ISNUMBER($AK$334),$B$183=1),$AK$334,HLOOKUP(INDIRECT(ADDRESS(2,COLUMN())),OFFSET($BN$2,0,0,ROW()-1,60),ROW()-1,FALSE))</f>
        <v>2.5144993370000002</v>
      </c>
      <c r="AL166">
        <f ca="1">IF(AND(ISNUMBER($AL$334),$B$183=1),$AL$334,HLOOKUP(INDIRECT(ADDRESS(2,COLUMN())),OFFSET($BN$2,0,0,ROW()-1,60),ROW()-1,FALSE))</f>
        <v>1.9139083960000001</v>
      </c>
      <c r="AM166">
        <f ca="1">IF(AND(ISNUMBER($AM$334),$B$183=1),$AM$334,HLOOKUP(INDIRECT(ADDRESS(2,COLUMN())),OFFSET($BN$2,0,0,ROW()-1,60),ROW()-1,FALSE))</f>
        <v>2.3244666999999999</v>
      </c>
      <c r="AN166">
        <f ca="1">IF(AND(ISNUMBER($AN$334),$B$183=1),$AN$334,HLOOKUP(INDIRECT(ADDRESS(2,COLUMN())),OFFSET($BN$2,0,0,ROW()-1,60),ROW()-1,FALSE))</f>
        <v>2.2030242649999998</v>
      </c>
      <c r="AO166">
        <f ca="1">IF(AND(ISNUMBER($AO$334),$B$183=1),$AO$334,HLOOKUP(INDIRECT(ADDRESS(2,COLUMN())),OFFSET($BN$2,0,0,ROW()-1,60),ROW()-1,FALSE))</f>
        <v>2.8229942819999998</v>
      </c>
      <c r="AP166">
        <f ca="1">IF(AND(ISNUMBER($AP$334),$B$183=1),$AP$334,HLOOKUP(INDIRECT(ADDRESS(2,COLUMN())),OFFSET($BN$2,0,0,ROW()-1,60),ROW()-1,FALSE))</f>
        <v>1.8754942619999999</v>
      </c>
      <c r="AQ166">
        <f ca="1">IF(AND(ISNUMBER($AQ$334),$B$183=1),$AQ$334,HLOOKUP(INDIRECT(ADDRESS(2,COLUMN())),OFFSET($BN$2,0,0,ROW()-1,60),ROW()-1,FALSE))</f>
        <v>2.6784231420000002</v>
      </c>
      <c r="AR166">
        <f ca="1">IF(AND(ISNUMBER($AR$334),$B$183=1),$AR$334,HLOOKUP(INDIRECT(ADDRESS(2,COLUMN())),OFFSET($BN$2,0,0,ROW()-1,60),ROW()-1,FALSE))</f>
        <v>2.83087153</v>
      </c>
      <c r="AS166">
        <f ca="1">IF(AND(ISNUMBER($AS$334),$B$183=1),$AS$334,HLOOKUP(INDIRECT(ADDRESS(2,COLUMN())),OFFSET($BN$2,0,0,ROW()-1,60),ROW()-1,FALSE))</f>
        <v>2.8274382299999998</v>
      </c>
      <c r="AT166">
        <f ca="1">IF(AND(ISNUMBER($AT$334),$B$183=1),$AT$334,HLOOKUP(INDIRECT(ADDRESS(2,COLUMN())),OFFSET($BN$2,0,0,ROW()-1,60),ROW()-1,FALSE))</f>
        <v>2.6651606349999999</v>
      </c>
      <c r="AU166">
        <f ca="1">IF(AND(ISNUMBER($AU$334),$B$183=1),$AU$334,HLOOKUP(INDIRECT(ADDRESS(2,COLUMN())),OFFSET($BN$2,0,0,ROW()-1,60),ROW()-1,FALSE))</f>
        <v>2.8917848839999998</v>
      </c>
      <c r="AV166">
        <f ca="1">IF(AND(ISNUMBER($AV$334),$B$183=1),$AV$334,HLOOKUP(INDIRECT(ADDRESS(2,COLUMN())),OFFSET($BN$2,0,0,ROW()-1,60),ROW()-1,FALSE))</f>
        <v>3.021574309</v>
      </c>
      <c r="AW166">
        <f ca="1">IF(AND(ISNUMBER($AW$334),$B$183=1),$AW$334,HLOOKUP(INDIRECT(ADDRESS(2,COLUMN())),OFFSET($BN$2,0,0,ROW()-1,60),ROW()-1,FALSE))</f>
        <v>3.0026818820000001</v>
      </c>
      <c r="AX166">
        <f ca="1">IF(AND(ISNUMBER($AX$334),$B$183=1),$AX$334,HLOOKUP(INDIRECT(ADDRESS(2,COLUMN())),OFFSET($BN$2,0,0,ROW()-1,60),ROW()-1,FALSE))</f>
        <v>2.914683245</v>
      </c>
      <c r="AY166">
        <f ca="1">IF(AND(ISNUMBER($AY$334),$B$183=1),$AY$334,HLOOKUP(INDIRECT(ADDRESS(2,COLUMN())),OFFSET($BN$2,0,0,ROW()-1,60),ROW()-1,FALSE))</f>
        <v>2.7449661889999999</v>
      </c>
      <c r="AZ166">
        <f ca="1">IF(AND(ISNUMBER($AZ$334),$B$183=1),$AZ$334,HLOOKUP(INDIRECT(ADDRESS(2,COLUMN())),OFFSET($BN$2,0,0,ROW()-1,60),ROW()-1,FALSE))</f>
        <v>3.0201087289999999</v>
      </c>
      <c r="BA166">
        <f ca="1">IF(AND(ISNUMBER($BA$334),$B$183=1),$BA$334,HLOOKUP(INDIRECT(ADDRESS(2,COLUMN())),OFFSET($BN$2,0,0,ROW()-1,60),ROW()-1,FALSE))</f>
        <v>2.820217854</v>
      </c>
      <c r="BB166">
        <f ca="1">IF(AND(ISNUMBER($BB$334),$B$183=1),$BB$334,HLOOKUP(INDIRECT(ADDRESS(2,COLUMN())),OFFSET($BN$2,0,0,ROW()-1,60),ROW()-1,FALSE))</f>
        <v>2.7076309730000001</v>
      </c>
      <c r="BC166">
        <f ca="1">IF(AND(ISNUMBER($BC$334),$B$183=1),$BC$334,HLOOKUP(INDIRECT(ADDRESS(2,COLUMN())),OFFSET($BN$2,0,0,ROW()-1,60),ROW()-1,FALSE))</f>
        <v>2.6723527169999999</v>
      </c>
      <c r="BD166">
        <f ca="1">IF(AND(ISNUMBER($BD$334),$B$183=1),$BD$334,HLOOKUP(INDIRECT(ADDRESS(2,COLUMN())),OFFSET($BN$2,0,0,ROW()-1,60),ROW()-1,FALSE))</f>
        <v>2.7782084660000002</v>
      </c>
      <c r="BE166">
        <f ca="1">IF(AND(ISNUMBER($BE$334),$B$183=1),$BE$334,HLOOKUP(INDIRECT(ADDRESS(2,COLUMN())),OFFSET($BN$2,0,0,ROW()-1,60),ROW()-1,FALSE))</f>
        <v>2.9433250219999998</v>
      </c>
      <c r="BF166">
        <f ca="1">IF(AND(ISNUMBER($BF$334),$B$183=1),$BF$334,HLOOKUP(INDIRECT(ADDRESS(2,COLUMN())),OFFSET($BN$2,0,0,ROW()-1,60),ROW()-1,FALSE))</f>
        <v>3.036292328</v>
      </c>
      <c r="BG166">
        <f ca="1">IF(AND(ISNUMBER($BG$334),$B$183=1),$BG$334,HLOOKUP(INDIRECT(ADDRESS(2,COLUMN())),OFFSET($BN$2,0,0,ROW()-1,60),ROW()-1,FALSE))</f>
        <v>2.8445606109999999</v>
      </c>
      <c r="BH166">
        <f ca="1">IF(AND(ISNUMBER($BH$334),$B$183=1),$BH$334,HLOOKUP(INDIRECT(ADDRESS(2,COLUMN())),OFFSET($BN$2,0,0,ROW()-1,60),ROW()-1,FALSE))</f>
        <v>2.9515779759999998</v>
      </c>
      <c r="BI166">
        <f ca="1">IF(AND(ISNUMBER($BI$334),$B$183=1),$BI$334,HLOOKUP(INDIRECT(ADDRESS(2,COLUMN())),OFFSET($BN$2,0,0,ROW()-1,60),ROW()-1,FALSE))</f>
        <v>2.8707017750000001</v>
      </c>
      <c r="BJ166">
        <f ca="1">IF(AND(ISNUMBER($BJ$334),$B$183=1),$BJ$334,HLOOKUP(INDIRECT(ADDRESS(2,COLUMN())),OFFSET($BN$2,0,0,ROW()-1,60),ROW()-1,FALSE))</f>
        <v>2.972741064</v>
      </c>
      <c r="BK166">
        <f ca="1">IF(AND(ISNUMBER($BK$334),$B$183=1),$BK$334,HLOOKUP(INDIRECT(ADDRESS(2,COLUMN())),OFFSET($BN$2,0,0,ROW()-1,60),ROW()-1,FALSE))</f>
        <v>2.8269410559999999</v>
      </c>
      <c r="BL166">
        <f ca="1">IF(AND(ISNUMBER($BL$334),$B$183=1),$BL$334,HLOOKUP(INDIRECT(ADDRESS(2,COLUMN())),OFFSET($BN$2,0,0,ROW()-1,60),ROW()-1,FALSE))</f>
        <v>2.8409180780000001</v>
      </c>
      <c r="BM166">
        <f ca="1">IF(AND(ISNUMBER($BM$334),$B$183=1),$BM$334,HLOOKUP(INDIRECT(ADDRESS(2,COLUMN())),OFFSET($BN$2,0,0,ROW()-1,60),ROW()-1,FALSE))</f>
        <v>2.9027864050000001</v>
      </c>
      <c r="BN166">
        <f>4.445769665</f>
        <v>4.4457696650000003</v>
      </c>
      <c r="BO166">
        <f>4.462732836</f>
        <v>4.4627328359999998</v>
      </c>
      <c r="BP166">
        <f>4.465473677</f>
        <v>4.4654736770000003</v>
      </c>
      <c r="BQ166">
        <f>4.48101181</f>
        <v>4.48101181</v>
      </c>
      <c r="BR166">
        <f>4.657591473</f>
        <v>4.6575914730000001</v>
      </c>
      <c r="BS166">
        <f>4.436693286</f>
        <v>4.4366932859999997</v>
      </c>
      <c r="BT166">
        <f>4.60357339</f>
        <v>4.6035733900000002</v>
      </c>
      <c r="BU166">
        <f>4.961430177</f>
        <v>4.9614301770000004</v>
      </c>
      <c r="BV166">
        <f>4.171387437</f>
        <v>4.1713874369999999</v>
      </c>
      <c r="BW166">
        <f>4.233991298</f>
        <v>4.2339912980000003</v>
      </c>
      <c r="BX166">
        <f>4.24718878</f>
        <v>4.2471887800000001</v>
      </c>
      <c r="BY166">
        <f>4.185219707</f>
        <v>4.1852197069999999</v>
      </c>
      <c r="BZ166">
        <f>4.493321706</f>
        <v>4.4933217059999997</v>
      </c>
      <c r="CA166">
        <f>4.054149608</f>
        <v>4.0541496080000003</v>
      </c>
      <c r="CB166">
        <f>4.000974406</f>
        <v>4.0009744060000001</v>
      </c>
      <c r="CC166">
        <f>3.749108749</f>
        <v>3.7491087489999999</v>
      </c>
      <c r="CD166">
        <f>3.358105958</f>
        <v>3.3581059579999999</v>
      </c>
      <c r="CE166">
        <f>3.475480409</f>
        <v>3.4754804090000002</v>
      </c>
      <c r="CF166">
        <f>3.660293629</f>
        <v>3.6602936289999999</v>
      </c>
      <c r="CG166">
        <f>3.2671089</f>
        <v>3.2671089000000002</v>
      </c>
      <c r="CH166">
        <f>3.198270454</f>
        <v>3.1982704540000002</v>
      </c>
      <c r="CI166">
        <f>3.104937219</f>
        <v>3.104937219</v>
      </c>
      <c r="CJ166">
        <f>3.042926354</f>
        <v>3.042926354</v>
      </c>
      <c r="CK166">
        <f>3.1226751</f>
        <v>3.1226750999999999</v>
      </c>
      <c r="CL166">
        <f>2.868861753</f>
        <v>2.868861753</v>
      </c>
      <c r="CM166">
        <f>2.870705446</f>
        <v>2.8707054460000001</v>
      </c>
      <c r="CN166">
        <f>2.746192049</f>
        <v>2.7461920489999998</v>
      </c>
      <c r="CO166">
        <f>2.834077673</f>
        <v>2.8340776729999999</v>
      </c>
      <c r="CP166">
        <f>1.864951165</f>
        <v>1.8649511649999999</v>
      </c>
      <c r="CQ166">
        <f>2.643045948</f>
        <v>2.6430459480000001</v>
      </c>
      <c r="CR166">
        <f>2.571080128</f>
        <v>2.5710801280000002</v>
      </c>
      <c r="CS166">
        <f>2.514499337</f>
        <v>2.5144993370000002</v>
      </c>
      <c r="CT166">
        <f>1.913908396</f>
        <v>1.9139083960000001</v>
      </c>
      <c r="CU166">
        <f>2.3244667</f>
        <v>2.3244666999999999</v>
      </c>
      <c r="CV166">
        <f>2.203024265</f>
        <v>2.2030242649999998</v>
      </c>
      <c r="CW166">
        <f>2.822994282</f>
        <v>2.8229942819999998</v>
      </c>
      <c r="CX166">
        <f>1.875494262</f>
        <v>1.8754942619999999</v>
      </c>
      <c r="CY166">
        <f>2.678423142</f>
        <v>2.6784231420000002</v>
      </c>
      <c r="CZ166">
        <f>2.83087153</f>
        <v>2.83087153</v>
      </c>
      <c r="DA166">
        <f>2.82743823</f>
        <v>2.8274382299999998</v>
      </c>
      <c r="DB166">
        <f>2.665160635</f>
        <v>2.6651606349999999</v>
      </c>
      <c r="DC166">
        <f>2.891784884</f>
        <v>2.8917848839999998</v>
      </c>
      <c r="DD166">
        <f>3.021574309</f>
        <v>3.021574309</v>
      </c>
      <c r="DE166">
        <f>3.002681882</f>
        <v>3.0026818820000001</v>
      </c>
      <c r="DF166">
        <f>2.914683245</f>
        <v>2.914683245</v>
      </c>
      <c r="DG166">
        <f>2.744966189</f>
        <v>2.7449661889999999</v>
      </c>
      <c r="DH166">
        <f>3.020108729</f>
        <v>3.0201087289999999</v>
      </c>
      <c r="DI166">
        <f>2.820217854</f>
        <v>2.820217854</v>
      </c>
      <c r="DJ166">
        <f>2.707630973</f>
        <v>2.7076309730000001</v>
      </c>
      <c r="DK166">
        <f>2.672352717</f>
        <v>2.6723527169999999</v>
      </c>
      <c r="DL166">
        <f>2.778208466</f>
        <v>2.7782084660000002</v>
      </c>
      <c r="DM166">
        <f>2.943325022</f>
        <v>2.9433250219999998</v>
      </c>
      <c r="DN166">
        <f>3.036292328</f>
        <v>3.036292328</v>
      </c>
      <c r="DO166">
        <f>2.844560611</f>
        <v>2.8445606109999999</v>
      </c>
      <c r="DP166">
        <f>2.951577976</f>
        <v>2.9515779759999998</v>
      </c>
      <c r="DQ166">
        <f>2.870701775</f>
        <v>2.8707017750000001</v>
      </c>
      <c r="DR166">
        <f>2.972741064</f>
        <v>2.972741064</v>
      </c>
      <c r="DS166">
        <f>2.826941056</f>
        <v>2.8269410559999999</v>
      </c>
      <c r="DT166">
        <f>2.840918078</f>
        <v>2.8409180780000001</v>
      </c>
      <c r="DU166">
        <f>2.902786405</f>
        <v>2.9027864050000001</v>
      </c>
    </row>
    <row r="167" spans="1:125">
      <c r="A167" t="str">
        <f>""</f>
        <v/>
      </c>
      <c r="B167" t="str">
        <f>""</f>
        <v/>
      </c>
      <c r="E167" t="str">
        <f>"静态"</f>
        <v>静态</v>
      </c>
      <c r="F167" t="str">
        <f t="shared" ref="F167:AK167" ca="1" si="48">HLOOKUP(INDIRECT(ADDRESS(2,COLUMN())),OFFSET($BN$2,0,0,ROW()-1,60),ROW()-1,FALSE)</f>
        <v/>
      </c>
      <c r="G167" t="str">
        <f t="shared" ca="1" si="48"/>
        <v/>
      </c>
      <c r="H167" t="str">
        <f t="shared" ca="1" si="48"/>
        <v/>
      </c>
      <c r="I167" t="str">
        <f t="shared" ca="1" si="48"/>
        <v/>
      </c>
      <c r="J167" t="str">
        <f t="shared" ca="1" si="48"/>
        <v/>
      </c>
      <c r="K167" t="str">
        <f t="shared" ca="1" si="48"/>
        <v/>
      </c>
      <c r="L167" t="str">
        <f t="shared" ca="1" si="48"/>
        <v/>
      </c>
      <c r="M167" t="str">
        <f t="shared" ca="1" si="48"/>
        <v/>
      </c>
      <c r="N167" t="str">
        <f t="shared" ca="1" si="48"/>
        <v/>
      </c>
      <c r="O167" t="str">
        <f t="shared" ca="1" si="48"/>
        <v/>
      </c>
      <c r="P167" t="str">
        <f t="shared" ca="1" si="48"/>
        <v/>
      </c>
      <c r="Q167" t="str">
        <f t="shared" ca="1" si="48"/>
        <v/>
      </c>
      <c r="R167" t="str">
        <f t="shared" ca="1" si="48"/>
        <v/>
      </c>
      <c r="S167" t="str">
        <f t="shared" ca="1" si="48"/>
        <v/>
      </c>
      <c r="T167" t="str">
        <f t="shared" ca="1" si="48"/>
        <v/>
      </c>
      <c r="U167" t="str">
        <f t="shared" ca="1" si="48"/>
        <v/>
      </c>
      <c r="V167" t="str">
        <f t="shared" ca="1" si="48"/>
        <v/>
      </c>
      <c r="W167" t="str">
        <f t="shared" ca="1" si="48"/>
        <v/>
      </c>
      <c r="X167" t="str">
        <f t="shared" ca="1" si="48"/>
        <v/>
      </c>
      <c r="Y167" t="str">
        <f t="shared" ca="1" si="48"/>
        <v/>
      </c>
      <c r="Z167" t="str">
        <f t="shared" ca="1" si="48"/>
        <v/>
      </c>
      <c r="AA167" t="str">
        <f t="shared" ca="1" si="48"/>
        <v/>
      </c>
      <c r="AB167" t="str">
        <f t="shared" ca="1" si="48"/>
        <v/>
      </c>
      <c r="AC167" t="str">
        <f t="shared" ca="1" si="48"/>
        <v/>
      </c>
      <c r="AD167" t="str">
        <f t="shared" ca="1" si="48"/>
        <v/>
      </c>
      <c r="AE167" t="str">
        <f t="shared" ca="1" si="48"/>
        <v/>
      </c>
      <c r="AF167" t="str">
        <f t="shared" ca="1" si="48"/>
        <v/>
      </c>
      <c r="AG167" t="str">
        <f t="shared" ca="1" si="48"/>
        <v/>
      </c>
      <c r="AH167" t="str">
        <f t="shared" ca="1" si="48"/>
        <v/>
      </c>
      <c r="AI167" t="str">
        <f t="shared" ca="1" si="48"/>
        <v/>
      </c>
      <c r="AJ167" t="str">
        <f t="shared" ca="1" si="48"/>
        <v/>
      </c>
      <c r="AK167" t="str">
        <f t="shared" ca="1" si="48"/>
        <v/>
      </c>
      <c r="AL167" t="str">
        <f t="shared" ref="AL167:BM167" ca="1" si="49">HLOOKUP(INDIRECT(ADDRESS(2,COLUMN())),OFFSET($BN$2,0,0,ROW()-1,60),ROW()-1,FALSE)</f>
        <v/>
      </c>
      <c r="AM167" t="str">
        <f t="shared" ca="1" si="49"/>
        <v/>
      </c>
      <c r="AN167" t="str">
        <f t="shared" ca="1" si="49"/>
        <v/>
      </c>
      <c r="AO167" t="str">
        <f t="shared" ca="1" si="49"/>
        <v/>
      </c>
      <c r="AP167" t="str">
        <f t="shared" ca="1" si="49"/>
        <v/>
      </c>
      <c r="AQ167" t="str">
        <f t="shared" ca="1" si="49"/>
        <v/>
      </c>
      <c r="AR167" t="str">
        <f t="shared" ca="1" si="49"/>
        <v/>
      </c>
      <c r="AS167" t="str">
        <f t="shared" ca="1" si="49"/>
        <v/>
      </c>
      <c r="AT167" t="str">
        <f t="shared" ca="1" si="49"/>
        <v/>
      </c>
      <c r="AU167" t="str">
        <f t="shared" ca="1" si="49"/>
        <v/>
      </c>
      <c r="AV167" t="str">
        <f t="shared" ca="1" si="49"/>
        <v/>
      </c>
      <c r="AW167" t="str">
        <f t="shared" ca="1" si="49"/>
        <v/>
      </c>
      <c r="AX167" t="str">
        <f t="shared" ca="1" si="49"/>
        <v/>
      </c>
      <c r="AY167" t="str">
        <f t="shared" ca="1" si="49"/>
        <v/>
      </c>
      <c r="AZ167" t="str">
        <f t="shared" ca="1" si="49"/>
        <v/>
      </c>
      <c r="BA167" t="str">
        <f t="shared" ca="1" si="49"/>
        <v/>
      </c>
      <c r="BB167" t="str">
        <f t="shared" ca="1" si="49"/>
        <v/>
      </c>
      <c r="BC167" t="str">
        <f t="shared" ca="1" si="49"/>
        <v/>
      </c>
      <c r="BD167" t="str">
        <f t="shared" ca="1" si="49"/>
        <v/>
      </c>
      <c r="BE167" t="str">
        <f t="shared" ca="1" si="49"/>
        <v/>
      </c>
      <c r="BF167" t="str">
        <f t="shared" ca="1" si="49"/>
        <v/>
      </c>
      <c r="BG167" t="str">
        <f t="shared" ca="1" si="49"/>
        <v/>
      </c>
      <c r="BH167" t="str">
        <f t="shared" ca="1" si="49"/>
        <v/>
      </c>
      <c r="BI167" t="str">
        <f t="shared" ca="1" si="49"/>
        <v/>
      </c>
      <c r="BJ167" t="str">
        <f t="shared" ca="1" si="49"/>
        <v/>
      </c>
      <c r="BK167" t="str">
        <f t="shared" ca="1" si="49"/>
        <v/>
      </c>
      <c r="BL167" t="str">
        <f t="shared" ca="1" si="49"/>
        <v/>
      </c>
      <c r="BM167" t="str">
        <f t="shared" ca="1" si="49"/>
        <v/>
      </c>
      <c r="BN167" t="str">
        <f>""</f>
        <v/>
      </c>
      <c r="BO167" t="str">
        <f>""</f>
        <v/>
      </c>
      <c r="BP167" t="str">
        <f>""</f>
        <v/>
      </c>
      <c r="BQ167" t="str">
        <f>""</f>
        <v/>
      </c>
      <c r="BR167" t="str">
        <f>""</f>
        <v/>
      </c>
      <c r="BS167" t="str">
        <f>""</f>
        <v/>
      </c>
      <c r="BT167" t="str">
        <f>""</f>
        <v/>
      </c>
      <c r="BU167" t="str">
        <f>""</f>
        <v/>
      </c>
      <c r="BV167" t="str">
        <f>""</f>
        <v/>
      </c>
      <c r="BW167" t="str">
        <f>""</f>
        <v/>
      </c>
      <c r="BX167" t="str">
        <f>""</f>
        <v/>
      </c>
      <c r="BY167" t="str">
        <f>""</f>
        <v/>
      </c>
      <c r="BZ167" t="str">
        <f>""</f>
        <v/>
      </c>
      <c r="CA167" t="str">
        <f>""</f>
        <v/>
      </c>
      <c r="CB167" t="str">
        <f>""</f>
        <v/>
      </c>
      <c r="CC167" t="str">
        <f>""</f>
        <v/>
      </c>
      <c r="CD167" t="str">
        <f>""</f>
        <v/>
      </c>
      <c r="CE167" t="str">
        <f>""</f>
        <v/>
      </c>
      <c r="CF167" t="str">
        <f>""</f>
        <v/>
      </c>
      <c r="CG167" t="str">
        <f>""</f>
        <v/>
      </c>
      <c r="CH167" t="str">
        <f>""</f>
        <v/>
      </c>
      <c r="CI167" t="str">
        <f>""</f>
        <v/>
      </c>
      <c r="CJ167" t="str">
        <f>""</f>
        <v/>
      </c>
      <c r="CK167" t="str">
        <f>""</f>
        <v/>
      </c>
      <c r="CL167" t="str">
        <f>""</f>
        <v/>
      </c>
      <c r="CM167" t="str">
        <f>""</f>
        <v/>
      </c>
      <c r="CN167" t="str">
        <f>""</f>
        <v/>
      </c>
      <c r="CO167" t="str">
        <f>""</f>
        <v/>
      </c>
      <c r="CP167" t="str">
        <f>""</f>
        <v/>
      </c>
      <c r="CQ167" t="str">
        <f>""</f>
        <v/>
      </c>
      <c r="CR167" t="str">
        <f>""</f>
        <v/>
      </c>
      <c r="CS167" t="str">
        <f>""</f>
        <v/>
      </c>
      <c r="CT167" t="str">
        <f>""</f>
        <v/>
      </c>
      <c r="CU167" t="str">
        <f>""</f>
        <v/>
      </c>
      <c r="CV167" t="str">
        <f>""</f>
        <v/>
      </c>
      <c r="CW167" t="str">
        <f>""</f>
        <v/>
      </c>
      <c r="CX167" t="str">
        <f>""</f>
        <v/>
      </c>
      <c r="CY167" t="str">
        <f>""</f>
        <v/>
      </c>
      <c r="CZ167" t="str">
        <f>""</f>
        <v/>
      </c>
      <c r="DA167" t="str">
        <f>""</f>
        <v/>
      </c>
      <c r="DB167" t="str">
        <f>""</f>
        <v/>
      </c>
      <c r="DC167" t="str">
        <f>""</f>
        <v/>
      </c>
      <c r="DD167" t="str">
        <f>""</f>
        <v/>
      </c>
      <c r="DE167" t="str">
        <f>""</f>
        <v/>
      </c>
      <c r="DF167" t="str">
        <f>""</f>
        <v/>
      </c>
      <c r="DG167" t="str">
        <f>""</f>
        <v/>
      </c>
      <c r="DH167" t="str">
        <f>""</f>
        <v/>
      </c>
      <c r="DI167" t="str">
        <f>""</f>
        <v/>
      </c>
      <c r="DJ167" t="str">
        <f>""</f>
        <v/>
      </c>
      <c r="DK167" t="str">
        <f>""</f>
        <v/>
      </c>
      <c r="DL167" t="str">
        <f>""</f>
        <v/>
      </c>
      <c r="DM167" t="str">
        <f>""</f>
        <v/>
      </c>
      <c r="DN167" t="str">
        <f>""</f>
        <v/>
      </c>
      <c r="DO167" t="str">
        <f>""</f>
        <v/>
      </c>
      <c r="DP167" t="str">
        <f>""</f>
        <v/>
      </c>
      <c r="DQ167" t="str">
        <f>""</f>
        <v/>
      </c>
      <c r="DR167" t="str">
        <f>""</f>
        <v/>
      </c>
      <c r="DS167" t="str">
        <f>""</f>
        <v/>
      </c>
      <c r="DT167" t="str">
        <f>""</f>
        <v/>
      </c>
      <c r="DU167" t="str">
        <f>""</f>
        <v/>
      </c>
    </row>
    <row r="168" spans="1:125">
      <c r="BN168" t="str">
        <f>""</f>
        <v/>
      </c>
      <c r="BO168" t="str">
        <f>""</f>
        <v/>
      </c>
      <c r="BP168" t="str">
        <f>""</f>
        <v/>
      </c>
      <c r="BQ168" t="str">
        <f>""</f>
        <v/>
      </c>
      <c r="BR168" t="str">
        <f>""</f>
        <v/>
      </c>
      <c r="BS168" t="str">
        <f>""</f>
        <v/>
      </c>
      <c r="BT168" t="str">
        <f>""</f>
        <v/>
      </c>
      <c r="BU168" t="str">
        <f>""</f>
        <v/>
      </c>
      <c r="BV168" t="str">
        <f>""</f>
        <v/>
      </c>
      <c r="BW168" t="str">
        <f>""</f>
        <v/>
      </c>
      <c r="BX168" t="str">
        <f>""</f>
        <v/>
      </c>
      <c r="BY168" t="str">
        <f>""</f>
        <v/>
      </c>
      <c r="BZ168" t="str">
        <f>""</f>
        <v/>
      </c>
      <c r="CA168" t="str">
        <f>""</f>
        <v/>
      </c>
      <c r="CB168" t="str">
        <f>""</f>
        <v/>
      </c>
      <c r="CC168" t="str">
        <f>""</f>
        <v/>
      </c>
      <c r="CD168" t="str">
        <f>""</f>
        <v/>
      </c>
      <c r="CE168" t="str">
        <f>""</f>
        <v/>
      </c>
      <c r="CF168" t="str">
        <f>""</f>
        <v/>
      </c>
      <c r="CG168" t="str">
        <f>""</f>
        <v/>
      </c>
      <c r="CH168" t="str">
        <f>""</f>
        <v/>
      </c>
      <c r="CI168" t="str">
        <f>""</f>
        <v/>
      </c>
      <c r="CJ168" t="str">
        <f>""</f>
        <v/>
      </c>
      <c r="CK168" t="str">
        <f>""</f>
        <v/>
      </c>
      <c r="CL168" t="str">
        <f>""</f>
        <v/>
      </c>
      <c r="CM168" t="str">
        <f>""</f>
        <v/>
      </c>
      <c r="CN168" t="str">
        <f>""</f>
        <v/>
      </c>
      <c r="CO168" t="str">
        <f>""</f>
        <v/>
      </c>
      <c r="CP168" t="str">
        <f>""</f>
        <v/>
      </c>
      <c r="CQ168" t="str">
        <f>""</f>
        <v/>
      </c>
      <c r="CR168" t="str">
        <f>""</f>
        <v/>
      </c>
      <c r="CS168" t="str">
        <f>""</f>
        <v/>
      </c>
      <c r="CT168" t="str">
        <f>""</f>
        <v/>
      </c>
      <c r="CU168" t="str">
        <f>""</f>
        <v/>
      </c>
      <c r="CV168" t="str">
        <f>""</f>
        <v/>
      </c>
      <c r="CW168" t="str">
        <f>""</f>
        <v/>
      </c>
      <c r="CX168" t="str">
        <f>""</f>
        <v/>
      </c>
      <c r="CY168" t="str">
        <f>""</f>
        <v/>
      </c>
      <c r="CZ168" t="str">
        <f>""</f>
        <v/>
      </c>
      <c r="DA168" t="str">
        <f>""</f>
        <v/>
      </c>
      <c r="DB168" t="str">
        <f>""</f>
        <v/>
      </c>
      <c r="DC168" t="str">
        <f>""</f>
        <v/>
      </c>
      <c r="DD168" t="str">
        <f>""</f>
        <v/>
      </c>
      <c r="DE168" t="str">
        <f>""</f>
        <v/>
      </c>
      <c r="DF168" t="str">
        <f>""</f>
        <v/>
      </c>
      <c r="DG168" t="str">
        <f>""</f>
        <v/>
      </c>
      <c r="DH168" t="str">
        <f>""</f>
        <v/>
      </c>
      <c r="DI168" t="str">
        <f>""</f>
        <v/>
      </c>
      <c r="DJ168" t="str">
        <f>""</f>
        <v/>
      </c>
      <c r="DK168" t="str">
        <f>""</f>
        <v/>
      </c>
      <c r="DL168" t="str">
        <f>""</f>
        <v/>
      </c>
      <c r="DM168" t="str">
        <f>""</f>
        <v/>
      </c>
      <c r="DN168" t="str">
        <f>""</f>
        <v/>
      </c>
      <c r="DO168" t="str">
        <f>""</f>
        <v/>
      </c>
      <c r="DP168" t="str">
        <f>""</f>
        <v/>
      </c>
      <c r="DQ168" t="str">
        <f>""</f>
        <v/>
      </c>
      <c r="DR168" t="str">
        <f>""</f>
        <v/>
      </c>
      <c r="DS168" t="str">
        <f>""</f>
        <v/>
      </c>
      <c r="DT168" t="str">
        <f>""</f>
        <v/>
      </c>
      <c r="DU168" t="str">
        <f>""</f>
        <v/>
      </c>
    </row>
    <row r="169" spans="1:125">
      <c r="BN169" t="str">
        <f>""</f>
        <v/>
      </c>
      <c r="BO169" t="str">
        <f>""</f>
        <v/>
      </c>
      <c r="BP169" t="str">
        <f>""</f>
        <v/>
      </c>
      <c r="BQ169" t="str">
        <f>""</f>
        <v/>
      </c>
      <c r="BR169" t="str">
        <f>""</f>
        <v/>
      </c>
      <c r="BS169" t="str">
        <f>""</f>
        <v/>
      </c>
      <c r="BT169" t="str">
        <f>""</f>
        <v/>
      </c>
      <c r="BU169" t="str">
        <f>""</f>
        <v/>
      </c>
      <c r="BV169" t="str">
        <f>""</f>
        <v/>
      </c>
      <c r="BW169" t="str">
        <f>""</f>
        <v/>
      </c>
      <c r="BX169" t="str">
        <f>""</f>
        <v/>
      </c>
      <c r="BY169" t="str">
        <f>""</f>
        <v/>
      </c>
      <c r="BZ169" t="str">
        <f>""</f>
        <v/>
      </c>
      <c r="CA169" t="str">
        <f>""</f>
        <v/>
      </c>
      <c r="CB169" t="str">
        <f>""</f>
        <v/>
      </c>
      <c r="CC169" t="str">
        <f>""</f>
        <v/>
      </c>
      <c r="CD169" t="str">
        <f>""</f>
        <v/>
      </c>
      <c r="CE169" t="str">
        <f>""</f>
        <v/>
      </c>
      <c r="CF169" t="str">
        <f>""</f>
        <v/>
      </c>
      <c r="CG169" t="str">
        <f>""</f>
        <v/>
      </c>
      <c r="CH169" t="str">
        <f>""</f>
        <v/>
      </c>
      <c r="CI169" t="str">
        <f>""</f>
        <v/>
      </c>
      <c r="CJ169" t="str">
        <f>""</f>
        <v/>
      </c>
      <c r="CK169" t="str">
        <f>""</f>
        <v/>
      </c>
      <c r="CL169" t="str">
        <f>""</f>
        <v/>
      </c>
      <c r="CM169" t="str">
        <f>""</f>
        <v/>
      </c>
      <c r="CN169" t="str">
        <f>""</f>
        <v/>
      </c>
      <c r="CO169" t="str">
        <f>""</f>
        <v/>
      </c>
      <c r="CP169" t="str">
        <f>""</f>
        <v/>
      </c>
      <c r="CQ169" t="str">
        <f>""</f>
        <v/>
      </c>
      <c r="CR169" t="str">
        <f>""</f>
        <v/>
      </c>
      <c r="CS169" t="str">
        <f>""</f>
        <v/>
      </c>
      <c r="CT169" t="str">
        <f>""</f>
        <v/>
      </c>
      <c r="CU169" t="str">
        <f>""</f>
        <v/>
      </c>
      <c r="CV169" t="str">
        <f>""</f>
        <v/>
      </c>
      <c r="CW169" t="str">
        <f>""</f>
        <v/>
      </c>
      <c r="CX169" t="str">
        <f>""</f>
        <v/>
      </c>
      <c r="CY169" t="str">
        <f>""</f>
        <v/>
      </c>
      <c r="CZ169" t="str">
        <f>""</f>
        <v/>
      </c>
      <c r="DA169" t="str">
        <f>""</f>
        <v/>
      </c>
      <c r="DB169" t="str">
        <f>""</f>
        <v/>
      </c>
      <c r="DC169" t="str">
        <f>""</f>
        <v/>
      </c>
      <c r="DD169" t="str">
        <f>""</f>
        <v/>
      </c>
      <c r="DE169" t="str">
        <f>""</f>
        <v/>
      </c>
      <c r="DF169" t="str">
        <f>""</f>
        <v/>
      </c>
      <c r="DG169" t="str">
        <f>""</f>
        <v/>
      </c>
      <c r="DH169" t="str">
        <f>""</f>
        <v/>
      </c>
      <c r="DI169" t="str">
        <f>""</f>
        <v/>
      </c>
      <c r="DJ169" t="str">
        <f>""</f>
        <v/>
      </c>
      <c r="DK169" t="str">
        <f>""</f>
        <v/>
      </c>
      <c r="DL169" t="str">
        <f>""</f>
        <v/>
      </c>
      <c r="DM169" t="str">
        <f>""</f>
        <v/>
      </c>
      <c r="DN169" t="str">
        <f>""</f>
        <v/>
      </c>
      <c r="DO169" t="str">
        <f>""</f>
        <v/>
      </c>
      <c r="DP169" t="str">
        <f>""</f>
        <v/>
      </c>
      <c r="DQ169" t="str">
        <f>""</f>
        <v/>
      </c>
      <c r="DR169" t="str">
        <f>""</f>
        <v/>
      </c>
      <c r="DS169" t="str">
        <f>""</f>
        <v/>
      </c>
      <c r="DT169" t="str">
        <f>""</f>
        <v/>
      </c>
      <c r="DU169" t="str">
        <f>""</f>
        <v/>
      </c>
    </row>
    <row r="170" spans="1:125">
      <c r="BN170" t="str">
        <f>""</f>
        <v/>
      </c>
      <c r="BO170" t="str">
        <f>""</f>
        <v/>
      </c>
      <c r="BP170" t="str">
        <f>""</f>
        <v/>
      </c>
      <c r="BQ170" t="str">
        <f>""</f>
        <v/>
      </c>
      <c r="BR170" t="str">
        <f>""</f>
        <v/>
      </c>
      <c r="BS170" t="str">
        <f>""</f>
        <v/>
      </c>
      <c r="BT170" t="str">
        <f>""</f>
        <v/>
      </c>
      <c r="BU170" t="str">
        <f>""</f>
        <v/>
      </c>
      <c r="BV170" t="str">
        <f>""</f>
        <v/>
      </c>
      <c r="BW170" t="str">
        <f>""</f>
        <v/>
      </c>
      <c r="BX170" t="str">
        <f>""</f>
        <v/>
      </c>
      <c r="BY170" t="str">
        <f>""</f>
        <v/>
      </c>
      <c r="BZ170" t="str">
        <f>""</f>
        <v/>
      </c>
      <c r="CA170" t="str">
        <f>""</f>
        <v/>
      </c>
      <c r="CB170" t="str">
        <f>""</f>
        <v/>
      </c>
      <c r="CC170" t="str">
        <f>""</f>
        <v/>
      </c>
      <c r="CD170" t="str">
        <f>""</f>
        <v/>
      </c>
      <c r="CE170" t="str">
        <f>""</f>
        <v/>
      </c>
      <c r="CF170" t="str">
        <f>""</f>
        <v/>
      </c>
      <c r="CG170" t="str">
        <f>""</f>
        <v/>
      </c>
      <c r="CH170" t="str">
        <f>""</f>
        <v/>
      </c>
      <c r="CI170" t="str">
        <f>""</f>
        <v/>
      </c>
      <c r="CJ170" t="str">
        <f>""</f>
        <v/>
      </c>
      <c r="CK170" t="str">
        <f>""</f>
        <v/>
      </c>
      <c r="CL170" t="str">
        <f>""</f>
        <v/>
      </c>
      <c r="CM170" t="str">
        <f>""</f>
        <v/>
      </c>
      <c r="CN170" t="str">
        <f>""</f>
        <v/>
      </c>
      <c r="CO170" t="str">
        <f>""</f>
        <v/>
      </c>
      <c r="CP170" t="str">
        <f>""</f>
        <v/>
      </c>
      <c r="CQ170" t="str">
        <f>""</f>
        <v/>
      </c>
      <c r="CR170" t="str">
        <f>""</f>
        <v/>
      </c>
      <c r="CS170" t="str">
        <f>""</f>
        <v/>
      </c>
      <c r="CT170" t="str">
        <f>""</f>
        <v/>
      </c>
      <c r="CU170" t="str">
        <f>""</f>
        <v/>
      </c>
      <c r="CV170" t="str">
        <f>""</f>
        <v/>
      </c>
      <c r="CW170" t="str">
        <f>""</f>
        <v/>
      </c>
      <c r="CX170" t="str">
        <f>""</f>
        <v/>
      </c>
      <c r="CY170" t="str">
        <f>""</f>
        <v/>
      </c>
      <c r="CZ170" t="str">
        <f>""</f>
        <v/>
      </c>
      <c r="DA170" t="str">
        <f>""</f>
        <v/>
      </c>
      <c r="DB170" t="str">
        <f>""</f>
        <v/>
      </c>
      <c r="DC170" t="str">
        <f>""</f>
        <v/>
      </c>
      <c r="DD170" t="str">
        <f>""</f>
        <v/>
      </c>
      <c r="DE170" t="str">
        <f>""</f>
        <v/>
      </c>
      <c r="DF170" t="str">
        <f>""</f>
        <v/>
      </c>
      <c r="DG170" t="str">
        <f>""</f>
        <v/>
      </c>
      <c r="DH170" t="str">
        <f>""</f>
        <v/>
      </c>
      <c r="DI170" t="str">
        <f>""</f>
        <v/>
      </c>
      <c r="DJ170" t="str">
        <f>""</f>
        <v/>
      </c>
      <c r="DK170" t="str">
        <f>""</f>
        <v/>
      </c>
      <c r="DL170" t="str">
        <f>""</f>
        <v/>
      </c>
      <c r="DM170" t="str">
        <f>""</f>
        <v/>
      </c>
      <c r="DN170" t="str">
        <f>""</f>
        <v/>
      </c>
      <c r="DO170" t="str">
        <f>""</f>
        <v/>
      </c>
      <c r="DP170" t="str">
        <f>""</f>
        <v/>
      </c>
      <c r="DQ170" t="str">
        <f>""</f>
        <v/>
      </c>
      <c r="DR170" t="str">
        <f>""</f>
        <v/>
      </c>
      <c r="DS170" t="str">
        <f>""</f>
        <v/>
      </c>
      <c r="DT170" t="str">
        <f>""</f>
        <v/>
      </c>
      <c r="DU170" t="str">
        <f>""</f>
        <v/>
      </c>
    </row>
    <row r="171" spans="1:125">
      <c r="BN171" t="str">
        <f>""</f>
        <v/>
      </c>
      <c r="BO171" t="str">
        <f>""</f>
        <v/>
      </c>
      <c r="BP171" t="str">
        <f>""</f>
        <v/>
      </c>
      <c r="BQ171" t="str">
        <f>""</f>
        <v/>
      </c>
      <c r="BR171" t="str">
        <f>""</f>
        <v/>
      </c>
      <c r="BS171" t="str">
        <f>""</f>
        <v/>
      </c>
      <c r="BT171" t="str">
        <f>""</f>
        <v/>
      </c>
      <c r="BU171" t="str">
        <f>""</f>
        <v/>
      </c>
      <c r="BV171" t="str">
        <f>""</f>
        <v/>
      </c>
      <c r="BW171" t="str">
        <f>""</f>
        <v/>
      </c>
      <c r="BX171" t="str">
        <f>""</f>
        <v/>
      </c>
      <c r="BY171" t="str">
        <f>""</f>
        <v/>
      </c>
      <c r="BZ171" t="str">
        <f>""</f>
        <v/>
      </c>
      <c r="CA171" t="str">
        <f>""</f>
        <v/>
      </c>
      <c r="CB171" t="str">
        <f>""</f>
        <v/>
      </c>
      <c r="CC171" t="str">
        <f>""</f>
        <v/>
      </c>
      <c r="CD171" t="str">
        <f>""</f>
        <v/>
      </c>
      <c r="CE171" t="str">
        <f>""</f>
        <v/>
      </c>
      <c r="CF171" t="str">
        <f>""</f>
        <v/>
      </c>
      <c r="CG171" t="str">
        <f>""</f>
        <v/>
      </c>
      <c r="CH171" t="str">
        <f>""</f>
        <v/>
      </c>
      <c r="CI171" t="str">
        <f>""</f>
        <v/>
      </c>
      <c r="CJ171" t="str">
        <f>""</f>
        <v/>
      </c>
      <c r="CK171" t="str">
        <f>""</f>
        <v/>
      </c>
      <c r="CL171" t="str">
        <f>""</f>
        <v/>
      </c>
      <c r="CM171" t="str">
        <f>""</f>
        <v/>
      </c>
      <c r="CN171" t="str">
        <f>""</f>
        <v/>
      </c>
      <c r="CO171" t="str">
        <f>""</f>
        <v/>
      </c>
      <c r="CP171" t="str">
        <f>""</f>
        <v/>
      </c>
      <c r="CQ171" t="str">
        <f>""</f>
        <v/>
      </c>
      <c r="CR171" t="str">
        <f>""</f>
        <v/>
      </c>
      <c r="CS171" t="str">
        <f>""</f>
        <v/>
      </c>
      <c r="CT171" t="str">
        <f>""</f>
        <v/>
      </c>
      <c r="CU171" t="str">
        <f>""</f>
        <v/>
      </c>
      <c r="CV171" t="str">
        <f>""</f>
        <v/>
      </c>
      <c r="CW171" t="str">
        <f>""</f>
        <v/>
      </c>
      <c r="CX171" t="str">
        <f>""</f>
        <v/>
      </c>
      <c r="CY171" t="str">
        <f>""</f>
        <v/>
      </c>
      <c r="CZ171" t="str">
        <f>""</f>
        <v/>
      </c>
      <c r="DA171" t="str">
        <f>""</f>
        <v/>
      </c>
      <c r="DB171" t="str">
        <f>""</f>
        <v/>
      </c>
      <c r="DC171" t="str">
        <f>""</f>
        <v/>
      </c>
      <c r="DD171" t="str">
        <f>""</f>
        <v/>
      </c>
      <c r="DE171" t="str">
        <f>""</f>
        <v/>
      </c>
      <c r="DF171" t="str">
        <f>""</f>
        <v/>
      </c>
      <c r="DG171" t="str">
        <f>""</f>
        <v/>
      </c>
      <c r="DH171" t="str">
        <f>""</f>
        <v/>
      </c>
      <c r="DI171" t="str">
        <f>""</f>
        <v/>
      </c>
      <c r="DJ171" t="str">
        <f>""</f>
        <v/>
      </c>
      <c r="DK171" t="str">
        <f>""</f>
        <v/>
      </c>
      <c r="DL171" t="str">
        <f>""</f>
        <v/>
      </c>
      <c r="DM171" t="str">
        <f>""</f>
        <v/>
      </c>
      <c r="DN171" t="str">
        <f>""</f>
        <v/>
      </c>
      <c r="DO171" t="str">
        <f>""</f>
        <v/>
      </c>
      <c r="DP171" t="str">
        <f>""</f>
        <v/>
      </c>
      <c r="DQ171" t="str">
        <f>""</f>
        <v/>
      </c>
      <c r="DR171" t="str">
        <f>""</f>
        <v/>
      </c>
      <c r="DS171" t="str">
        <f>""</f>
        <v/>
      </c>
      <c r="DT171" t="str">
        <f>""</f>
        <v/>
      </c>
      <c r="DU171" t="str">
        <f>""</f>
        <v/>
      </c>
    </row>
    <row r="172" spans="1:125">
      <c r="BN172" t="str">
        <f>""</f>
        <v/>
      </c>
      <c r="BO172" t="str">
        <f>""</f>
        <v/>
      </c>
      <c r="BP172" t="str">
        <f>""</f>
        <v/>
      </c>
      <c r="BQ172" t="str">
        <f>""</f>
        <v/>
      </c>
      <c r="BR172" t="str">
        <f>""</f>
        <v/>
      </c>
      <c r="BS172" t="str">
        <f>""</f>
        <v/>
      </c>
      <c r="BT172" t="str">
        <f>""</f>
        <v/>
      </c>
      <c r="BU172" t="str">
        <f>""</f>
        <v/>
      </c>
      <c r="BV172" t="str">
        <f>""</f>
        <v/>
      </c>
      <c r="BW172" t="str">
        <f>""</f>
        <v/>
      </c>
      <c r="BX172" t="str">
        <f>""</f>
        <v/>
      </c>
      <c r="BY172" t="str">
        <f>""</f>
        <v/>
      </c>
      <c r="BZ172" t="str">
        <f>""</f>
        <v/>
      </c>
      <c r="CA172" t="str">
        <f>""</f>
        <v/>
      </c>
      <c r="CB172" t="str">
        <f>""</f>
        <v/>
      </c>
      <c r="CC172" t="str">
        <f>""</f>
        <v/>
      </c>
      <c r="CD172" t="str">
        <f>""</f>
        <v/>
      </c>
      <c r="CE172" t="str">
        <f>""</f>
        <v/>
      </c>
      <c r="CF172" t="str">
        <f>""</f>
        <v/>
      </c>
      <c r="CG172" t="str">
        <f>""</f>
        <v/>
      </c>
      <c r="CH172" t="str">
        <f>""</f>
        <v/>
      </c>
      <c r="CI172" t="str">
        <f>""</f>
        <v/>
      </c>
      <c r="CJ172" t="str">
        <f>""</f>
        <v/>
      </c>
      <c r="CK172" t="str">
        <f>""</f>
        <v/>
      </c>
      <c r="CL172" t="str">
        <f>""</f>
        <v/>
      </c>
      <c r="CM172" t="str">
        <f>""</f>
        <v/>
      </c>
      <c r="CN172" t="str">
        <f>""</f>
        <v/>
      </c>
      <c r="CO172" t="str">
        <f>""</f>
        <v/>
      </c>
      <c r="CP172" t="str">
        <f>""</f>
        <v/>
      </c>
      <c r="CQ172" t="str">
        <f>""</f>
        <v/>
      </c>
      <c r="CR172" t="str">
        <f>""</f>
        <v/>
      </c>
      <c r="CS172" t="str">
        <f>""</f>
        <v/>
      </c>
      <c r="CT172" t="str">
        <f>""</f>
        <v/>
      </c>
      <c r="CU172" t="str">
        <f>""</f>
        <v/>
      </c>
      <c r="CV172" t="str">
        <f>""</f>
        <v/>
      </c>
      <c r="CW172" t="str">
        <f>""</f>
        <v/>
      </c>
      <c r="CX172" t="str">
        <f>""</f>
        <v/>
      </c>
      <c r="CY172" t="str">
        <f>""</f>
        <v/>
      </c>
      <c r="CZ172" t="str">
        <f>""</f>
        <v/>
      </c>
      <c r="DA172" t="str">
        <f>""</f>
        <v/>
      </c>
      <c r="DB172" t="str">
        <f>""</f>
        <v/>
      </c>
      <c r="DC172" t="str">
        <f>""</f>
        <v/>
      </c>
      <c r="DD172" t="str">
        <f>""</f>
        <v/>
      </c>
      <c r="DE172" t="str">
        <f>""</f>
        <v/>
      </c>
      <c r="DF172" t="str">
        <f>""</f>
        <v/>
      </c>
      <c r="DG172" t="str">
        <f>""</f>
        <v/>
      </c>
      <c r="DH172" t="str">
        <f>""</f>
        <v/>
      </c>
      <c r="DI172" t="str">
        <f>""</f>
        <v/>
      </c>
      <c r="DJ172" t="str">
        <f>""</f>
        <v/>
      </c>
      <c r="DK172" t="str">
        <f>""</f>
        <v/>
      </c>
      <c r="DL172" t="str">
        <f>""</f>
        <v/>
      </c>
      <c r="DM172" t="str">
        <f>""</f>
        <v/>
      </c>
      <c r="DN172" t="str">
        <f>""</f>
        <v/>
      </c>
      <c r="DO172" t="str">
        <f>""</f>
        <v/>
      </c>
      <c r="DP172" t="str">
        <f>""</f>
        <v/>
      </c>
      <c r="DQ172" t="str">
        <f>""</f>
        <v/>
      </c>
      <c r="DR172" t="str">
        <f>""</f>
        <v/>
      </c>
      <c r="DS172" t="str">
        <f>""</f>
        <v/>
      </c>
      <c r="DT172" t="str">
        <f>""</f>
        <v/>
      </c>
      <c r="DU172" t="str">
        <f>""</f>
        <v/>
      </c>
    </row>
    <row r="173" spans="1:125">
      <c r="BN173" t="str">
        <f>""</f>
        <v/>
      </c>
      <c r="BO173" t="str">
        <f>""</f>
        <v/>
      </c>
      <c r="BP173" t="str">
        <f>""</f>
        <v/>
      </c>
      <c r="BQ173" t="str">
        <f>""</f>
        <v/>
      </c>
      <c r="BR173" t="str">
        <f>""</f>
        <v/>
      </c>
      <c r="BS173" t="str">
        <f>""</f>
        <v/>
      </c>
      <c r="BT173" t="str">
        <f>""</f>
        <v/>
      </c>
      <c r="BU173" t="str">
        <f>""</f>
        <v/>
      </c>
      <c r="BV173" t="str">
        <f>""</f>
        <v/>
      </c>
      <c r="BW173" t="str">
        <f>""</f>
        <v/>
      </c>
      <c r="BX173" t="str">
        <f>""</f>
        <v/>
      </c>
      <c r="BY173" t="str">
        <f>""</f>
        <v/>
      </c>
      <c r="BZ173" t="str">
        <f>""</f>
        <v/>
      </c>
      <c r="CA173" t="str">
        <f>""</f>
        <v/>
      </c>
      <c r="CB173" t="str">
        <f>""</f>
        <v/>
      </c>
      <c r="CC173" t="str">
        <f>""</f>
        <v/>
      </c>
      <c r="CD173" t="str">
        <f>""</f>
        <v/>
      </c>
      <c r="CE173" t="str">
        <f>""</f>
        <v/>
      </c>
      <c r="CF173" t="str">
        <f>""</f>
        <v/>
      </c>
      <c r="CG173" t="str">
        <f>""</f>
        <v/>
      </c>
      <c r="CH173" t="str">
        <f>""</f>
        <v/>
      </c>
      <c r="CI173" t="str">
        <f>""</f>
        <v/>
      </c>
      <c r="CJ173" t="str">
        <f>""</f>
        <v/>
      </c>
      <c r="CK173" t="str">
        <f>""</f>
        <v/>
      </c>
      <c r="CL173" t="str">
        <f>""</f>
        <v/>
      </c>
      <c r="CM173" t="str">
        <f>""</f>
        <v/>
      </c>
      <c r="CN173" t="str">
        <f>""</f>
        <v/>
      </c>
      <c r="CO173" t="str">
        <f>""</f>
        <v/>
      </c>
      <c r="CP173" t="str">
        <f>""</f>
        <v/>
      </c>
      <c r="CQ173" t="str">
        <f>""</f>
        <v/>
      </c>
      <c r="CR173" t="str">
        <f>""</f>
        <v/>
      </c>
      <c r="CS173" t="str">
        <f>""</f>
        <v/>
      </c>
      <c r="CT173" t="str">
        <f>""</f>
        <v/>
      </c>
      <c r="CU173" t="str">
        <f>""</f>
        <v/>
      </c>
      <c r="CV173" t="str">
        <f>""</f>
        <v/>
      </c>
      <c r="CW173" t="str">
        <f>""</f>
        <v/>
      </c>
      <c r="CX173" t="str">
        <f>""</f>
        <v/>
      </c>
      <c r="CY173" t="str">
        <f>""</f>
        <v/>
      </c>
      <c r="CZ173" t="str">
        <f>""</f>
        <v/>
      </c>
      <c r="DA173" t="str">
        <f>""</f>
        <v/>
      </c>
      <c r="DB173" t="str">
        <f>""</f>
        <v/>
      </c>
      <c r="DC173" t="str">
        <f>""</f>
        <v/>
      </c>
      <c r="DD173" t="str">
        <f>""</f>
        <v/>
      </c>
      <c r="DE173" t="str">
        <f>""</f>
        <v/>
      </c>
      <c r="DF173" t="str">
        <f>""</f>
        <v/>
      </c>
      <c r="DG173" t="str">
        <f>""</f>
        <v/>
      </c>
      <c r="DH173" t="str">
        <f>""</f>
        <v/>
      </c>
      <c r="DI173" t="str">
        <f>""</f>
        <v/>
      </c>
      <c r="DJ173" t="str">
        <f>""</f>
        <v/>
      </c>
      <c r="DK173" t="str">
        <f>""</f>
        <v/>
      </c>
      <c r="DL173" t="str">
        <f>""</f>
        <v/>
      </c>
      <c r="DM173" t="str">
        <f>""</f>
        <v/>
      </c>
      <c r="DN173" t="str">
        <f>""</f>
        <v/>
      </c>
      <c r="DO173" t="str">
        <f>""</f>
        <v/>
      </c>
      <c r="DP173" t="str">
        <f>""</f>
        <v/>
      </c>
      <c r="DQ173" t="str">
        <f>""</f>
        <v/>
      </c>
      <c r="DR173" t="str">
        <f>""</f>
        <v/>
      </c>
      <c r="DS173" t="str">
        <f>""</f>
        <v/>
      </c>
      <c r="DT173" t="str">
        <f>""</f>
        <v/>
      </c>
      <c r="DU173" t="str">
        <f>""</f>
        <v/>
      </c>
    </row>
    <row r="174" spans="1:125">
      <c r="BN174" t="str">
        <f>""</f>
        <v/>
      </c>
      <c r="BO174" t="str">
        <f>""</f>
        <v/>
      </c>
      <c r="BP174" t="str">
        <f>""</f>
        <v/>
      </c>
      <c r="BQ174" t="str">
        <f>""</f>
        <v/>
      </c>
      <c r="BR174" t="str">
        <f>""</f>
        <v/>
      </c>
      <c r="BS174" t="str">
        <f>""</f>
        <v/>
      </c>
      <c r="BT174" t="str">
        <f>""</f>
        <v/>
      </c>
      <c r="BU174" t="str">
        <f>""</f>
        <v/>
      </c>
      <c r="BV174" t="str">
        <f>""</f>
        <v/>
      </c>
      <c r="BW174" t="str">
        <f>""</f>
        <v/>
      </c>
      <c r="BX174" t="str">
        <f>""</f>
        <v/>
      </c>
      <c r="BY174" t="str">
        <f>""</f>
        <v/>
      </c>
      <c r="BZ174" t="str">
        <f>""</f>
        <v/>
      </c>
      <c r="CA174" t="str">
        <f>""</f>
        <v/>
      </c>
      <c r="CB174" t="str">
        <f>""</f>
        <v/>
      </c>
      <c r="CC174" t="str">
        <f>""</f>
        <v/>
      </c>
      <c r="CD174" t="str">
        <f>""</f>
        <v/>
      </c>
      <c r="CE174" t="str">
        <f>""</f>
        <v/>
      </c>
      <c r="CF174" t="str">
        <f>""</f>
        <v/>
      </c>
      <c r="CG174" t="str">
        <f>""</f>
        <v/>
      </c>
      <c r="CH174" t="str">
        <f>""</f>
        <v/>
      </c>
      <c r="CI174" t="str">
        <f>""</f>
        <v/>
      </c>
      <c r="CJ174" t="str">
        <f>""</f>
        <v/>
      </c>
      <c r="CK174" t="str">
        <f>""</f>
        <v/>
      </c>
      <c r="CL174" t="str">
        <f>""</f>
        <v/>
      </c>
      <c r="CM174" t="str">
        <f>""</f>
        <v/>
      </c>
      <c r="CN174" t="str">
        <f>""</f>
        <v/>
      </c>
      <c r="CO174" t="str">
        <f>""</f>
        <v/>
      </c>
      <c r="CP174" t="str">
        <f>""</f>
        <v/>
      </c>
      <c r="CQ174" t="str">
        <f>""</f>
        <v/>
      </c>
      <c r="CR174" t="str">
        <f>""</f>
        <v/>
      </c>
      <c r="CS174" t="str">
        <f>""</f>
        <v/>
      </c>
      <c r="CT174" t="str">
        <f>""</f>
        <v/>
      </c>
      <c r="CU174" t="str">
        <f>""</f>
        <v/>
      </c>
      <c r="CV174" t="str">
        <f>""</f>
        <v/>
      </c>
      <c r="CW174" t="str">
        <f>""</f>
        <v/>
      </c>
      <c r="CX174" t="str">
        <f>""</f>
        <v/>
      </c>
      <c r="CY174" t="str">
        <f>""</f>
        <v/>
      </c>
      <c r="CZ174" t="str">
        <f>""</f>
        <v/>
      </c>
      <c r="DA174" t="str">
        <f>""</f>
        <v/>
      </c>
      <c r="DB174" t="str">
        <f>""</f>
        <v/>
      </c>
      <c r="DC174" t="str">
        <f>""</f>
        <v/>
      </c>
      <c r="DD174" t="str">
        <f>""</f>
        <v/>
      </c>
      <c r="DE174" t="str">
        <f>""</f>
        <v/>
      </c>
      <c r="DF174" t="str">
        <f>""</f>
        <v/>
      </c>
      <c r="DG174" t="str">
        <f>""</f>
        <v/>
      </c>
      <c r="DH174" t="str">
        <f>""</f>
        <v/>
      </c>
      <c r="DI174" t="str">
        <f>""</f>
        <v/>
      </c>
      <c r="DJ174" t="str">
        <f>""</f>
        <v/>
      </c>
      <c r="DK174" t="str">
        <f>""</f>
        <v/>
      </c>
      <c r="DL174" t="str">
        <f>""</f>
        <v/>
      </c>
      <c r="DM174" t="str">
        <f>""</f>
        <v/>
      </c>
      <c r="DN174" t="str">
        <f>""</f>
        <v/>
      </c>
      <c r="DO174" t="str">
        <f>""</f>
        <v/>
      </c>
      <c r="DP174" t="str">
        <f>""</f>
        <v/>
      </c>
      <c r="DQ174" t="str">
        <f>""</f>
        <v/>
      </c>
      <c r="DR174" t="str">
        <f>""</f>
        <v/>
      </c>
      <c r="DS174" t="str">
        <f>""</f>
        <v/>
      </c>
      <c r="DT174" t="str">
        <f>""</f>
        <v/>
      </c>
      <c r="DU174" t="str">
        <f>""</f>
        <v/>
      </c>
    </row>
    <row r="175" spans="1:125">
      <c r="A175" t="str">
        <f t="shared" ref="A175:AF175" si="50">"~~~~~~~~~~"</f>
        <v>~~~~~~~~~~</v>
      </c>
      <c r="B175" t="str">
        <f t="shared" si="50"/>
        <v>~~~~~~~~~~</v>
      </c>
      <c r="C175" t="str">
        <f t="shared" si="50"/>
        <v>~~~~~~~~~~</v>
      </c>
      <c r="D175" t="str">
        <f t="shared" si="50"/>
        <v>~~~~~~~~~~</v>
      </c>
      <c r="E175" t="str">
        <f t="shared" si="50"/>
        <v>~~~~~~~~~~</v>
      </c>
      <c r="F175" t="str">
        <f t="shared" si="50"/>
        <v>~~~~~~~~~~</v>
      </c>
      <c r="G175" t="str">
        <f t="shared" si="50"/>
        <v>~~~~~~~~~~</v>
      </c>
      <c r="H175" t="str">
        <f t="shared" si="50"/>
        <v>~~~~~~~~~~</v>
      </c>
      <c r="I175" t="str">
        <f t="shared" si="50"/>
        <v>~~~~~~~~~~</v>
      </c>
      <c r="J175" t="str">
        <f t="shared" si="50"/>
        <v>~~~~~~~~~~</v>
      </c>
      <c r="K175" t="str">
        <f t="shared" si="50"/>
        <v>~~~~~~~~~~</v>
      </c>
      <c r="L175" t="str">
        <f t="shared" si="50"/>
        <v>~~~~~~~~~~</v>
      </c>
      <c r="M175" t="str">
        <f t="shared" si="50"/>
        <v>~~~~~~~~~~</v>
      </c>
      <c r="N175" t="str">
        <f t="shared" si="50"/>
        <v>~~~~~~~~~~</v>
      </c>
      <c r="O175" t="str">
        <f t="shared" si="50"/>
        <v>~~~~~~~~~~</v>
      </c>
      <c r="P175" t="str">
        <f t="shared" si="50"/>
        <v>~~~~~~~~~~</v>
      </c>
      <c r="Q175" t="str">
        <f t="shared" si="50"/>
        <v>~~~~~~~~~~</v>
      </c>
      <c r="R175" t="str">
        <f t="shared" si="50"/>
        <v>~~~~~~~~~~</v>
      </c>
      <c r="S175" t="str">
        <f t="shared" si="50"/>
        <v>~~~~~~~~~~</v>
      </c>
      <c r="T175" t="str">
        <f t="shared" si="50"/>
        <v>~~~~~~~~~~</v>
      </c>
      <c r="U175" t="str">
        <f t="shared" si="50"/>
        <v>~~~~~~~~~~</v>
      </c>
      <c r="V175" t="str">
        <f t="shared" si="50"/>
        <v>~~~~~~~~~~</v>
      </c>
      <c r="W175" t="str">
        <f t="shared" si="50"/>
        <v>~~~~~~~~~~</v>
      </c>
      <c r="X175" t="str">
        <f t="shared" si="50"/>
        <v>~~~~~~~~~~</v>
      </c>
      <c r="Y175" t="str">
        <f t="shared" si="50"/>
        <v>~~~~~~~~~~</v>
      </c>
      <c r="Z175" t="str">
        <f t="shared" si="50"/>
        <v>~~~~~~~~~~</v>
      </c>
      <c r="AA175" t="str">
        <f t="shared" si="50"/>
        <v>~~~~~~~~~~</v>
      </c>
      <c r="AB175" t="str">
        <f t="shared" si="50"/>
        <v>~~~~~~~~~~</v>
      </c>
      <c r="AC175" t="str">
        <f t="shared" si="50"/>
        <v>~~~~~~~~~~</v>
      </c>
      <c r="AD175" t="str">
        <f t="shared" si="50"/>
        <v>~~~~~~~~~~</v>
      </c>
      <c r="AE175" t="str">
        <f t="shared" si="50"/>
        <v>~~~~~~~~~~</v>
      </c>
      <c r="AF175" t="str">
        <f t="shared" si="50"/>
        <v>~~~~~~~~~~</v>
      </c>
      <c r="AG175" t="str">
        <f t="shared" ref="AG175:BM175" si="51">"~~~~~~~~~~"</f>
        <v>~~~~~~~~~~</v>
      </c>
      <c r="AH175" t="str">
        <f t="shared" si="51"/>
        <v>~~~~~~~~~~</v>
      </c>
      <c r="AI175" t="str">
        <f t="shared" si="51"/>
        <v>~~~~~~~~~~</v>
      </c>
      <c r="AJ175" t="str">
        <f t="shared" si="51"/>
        <v>~~~~~~~~~~</v>
      </c>
      <c r="AK175" t="str">
        <f t="shared" si="51"/>
        <v>~~~~~~~~~~</v>
      </c>
      <c r="AL175" t="str">
        <f t="shared" si="51"/>
        <v>~~~~~~~~~~</v>
      </c>
      <c r="AM175" t="str">
        <f t="shared" si="51"/>
        <v>~~~~~~~~~~</v>
      </c>
      <c r="AN175" t="str">
        <f t="shared" si="51"/>
        <v>~~~~~~~~~~</v>
      </c>
      <c r="AO175" t="str">
        <f t="shared" si="51"/>
        <v>~~~~~~~~~~</v>
      </c>
      <c r="AP175" t="str">
        <f t="shared" si="51"/>
        <v>~~~~~~~~~~</v>
      </c>
      <c r="AQ175" t="str">
        <f t="shared" si="51"/>
        <v>~~~~~~~~~~</v>
      </c>
      <c r="AR175" t="str">
        <f t="shared" si="51"/>
        <v>~~~~~~~~~~</v>
      </c>
      <c r="AS175" t="str">
        <f t="shared" si="51"/>
        <v>~~~~~~~~~~</v>
      </c>
      <c r="AT175" t="str">
        <f t="shared" si="51"/>
        <v>~~~~~~~~~~</v>
      </c>
      <c r="AU175" t="str">
        <f t="shared" si="51"/>
        <v>~~~~~~~~~~</v>
      </c>
      <c r="AV175" t="str">
        <f t="shared" si="51"/>
        <v>~~~~~~~~~~</v>
      </c>
      <c r="AW175" t="str">
        <f t="shared" si="51"/>
        <v>~~~~~~~~~~</v>
      </c>
      <c r="AX175" t="str">
        <f t="shared" si="51"/>
        <v>~~~~~~~~~~</v>
      </c>
      <c r="AY175" t="str">
        <f t="shared" si="51"/>
        <v>~~~~~~~~~~</v>
      </c>
      <c r="AZ175" t="str">
        <f t="shared" si="51"/>
        <v>~~~~~~~~~~</v>
      </c>
      <c r="BA175" t="str">
        <f t="shared" si="51"/>
        <v>~~~~~~~~~~</v>
      </c>
      <c r="BB175" t="str">
        <f t="shared" si="51"/>
        <v>~~~~~~~~~~</v>
      </c>
      <c r="BC175" t="str">
        <f t="shared" si="51"/>
        <v>~~~~~~~~~~</v>
      </c>
      <c r="BD175" t="str">
        <f t="shared" si="51"/>
        <v>~~~~~~~~~~</v>
      </c>
      <c r="BE175" t="str">
        <f t="shared" si="51"/>
        <v>~~~~~~~~~~</v>
      </c>
      <c r="BF175" t="str">
        <f t="shared" si="51"/>
        <v>~~~~~~~~~~</v>
      </c>
      <c r="BG175" t="str">
        <f t="shared" si="51"/>
        <v>~~~~~~~~~~</v>
      </c>
      <c r="BH175" t="str">
        <f t="shared" si="51"/>
        <v>~~~~~~~~~~</v>
      </c>
      <c r="BI175" t="str">
        <f t="shared" si="51"/>
        <v>~~~~~~~~~~</v>
      </c>
      <c r="BJ175" t="str">
        <f t="shared" si="51"/>
        <v>~~~~~~~~~~</v>
      </c>
      <c r="BK175" t="str">
        <f t="shared" si="51"/>
        <v>~~~~~~~~~~</v>
      </c>
      <c r="BL175" t="str">
        <f t="shared" si="51"/>
        <v>~~~~~~~~~~</v>
      </c>
      <c r="BM175" t="str">
        <f t="shared" si="51"/>
        <v>~~~~~~~~~~</v>
      </c>
      <c r="BN175" t="str">
        <f>""</f>
        <v/>
      </c>
      <c r="BO175" t="str">
        <f>""</f>
        <v/>
      </c>
      <c r="BP175" t="str">
        <f>""</f>
        <v/>
      </c>
      <c r="BQ175" t="str">
        <f>""</f>
        <v/>
      </c>
      <c r="BR175" t="str">
        <f>""</f>
        <v/>
      </c>
      <c r="BS175" t="str">
        <f>""</f>
        <v/>
      </c>
      <c r="BT175" t="str">
        <f>""</f>
        <v/>
      </c>
      <c r="BU175" t="str">
        <f>""</f>
        <v/>
      </c>
      <c r="BV175" t="str">
        <f>""</f>
        <v/>
      </c>
      <c r="BW175" t="str">
        <f>""</f>
        <v/>
      </c>
      <c r="BX175" t="str">
        <f>""</f>
        <v/>
      </c>
      <c r="BY175" t="str">
        <f>""</f>
        <v/>
      </c>
      <c r="BZ175" t="str">
        <f>""</f>
        <v/>
      </c>
      <c r="CA175" t="str">
        <f>""</f>
        <v/>
      </c>
      <c r="CB175" t="str">
        <f>""</f>
        <v/>
      </c>
      <c r="CC175" t="str">
        <f>""</f>
        <v/>
      </c>
      <c r="CD175" t="str">
        <f>""</f>
        <v/>
      </c>
      <c r="CE175" t="str">
        <f>""</f>
        <v/>
      </c>
      <c r="CF175" t="str">
        <f>""</f>
        <v/>
      </c>
      <c r="CG175" t="str">
        <f>""</f>
        <v/>
      </c>
      <c r="CH175" t="str">
        <f>""</f>
        <v/>
      </c>
      <c r="CI175" t="str">
        <f>""</f>
        <v/>
      </c>
      <c r="CJ175" t="str">
        <f>""</f>
        <v/>
      </c>
      <c r="CK175" t="str">
        <f>""</f>
        <v/>
      </c>
      <c r="CL175" t="str">
        <f>""</f>
        <v/>
      </c>
      <c r="CM175" t="str">
        <f>""</f>
        <v/>
      </c>
      <c r="CN175" t="str">
        <f>""</f>
        <v/>
      </c>
      <c r="CO175" t="str">
        <f>""</f>
        <v/>
      </c>
      <c r="CP175" t="str">
        <f>""</f>
        <v/>
      </c>
      <c r="CQ175" t="str">
        <f>""</f>
        <v/>
      </c>
      <c r="CR175" t="str">
        <f>""</f>
        <v/>
      </c>
      <c r="CS175" t="str">
        <f>""</f>
        <v/>
      </c>
      <c r="CT175" t="str">
        <f>""</f>
        <v/>
      </c>
      <c r="CU175" t="str">
        <f>""</f>
        <v/>
      </c>
      <c r="CV175" t="str">
        <f>""</f>
        <v/>
      </c>
      <c r="CW175" t="str">
        <f>""</f>
        <v/>
      </c>
      <c r="CX175" t="str">
        <f>""</f>
        <v/>
      </c>
      <c r="CY175" t="str">
        <f>""</f>
        <v/>
      </c>
      <c r="CZ175" t="str">
        <f>""</f>
        <v/>
      </c>
      <c r="DA175" t="str">
        <f>""</f>
        <v/>
      </c>
      <c r="DB175" t="str">
        <f>""</f>
        <v/>
      </c>
      <c r="DC175" t="str">
        <f>""</f>
        <v/>
      </c>
      <c r="DD175" t="str">
        <f>""</f>
        <v/>
      </c>
      <c r="DE175" t="str">
        <f>""</f>
        <v/>
      </c>
      <c r="DF175" t="str">
        <f>""</f>
        <v/>
      </c>
      <c r="DG175" t="str">
        <f>""</f>
        <v/>
      </c>
      <c r="DH175" t="str">
        <f>""</f>
        <v/>
      </c>
      <c r="DI175" t="str">
        <f>""</f>
        <v/>
      </c>
      <c r="DJ175" t="str">
        <f>""</f>
        <v/>
      </c>
      <c r="DK175" t="str">
        <f>""</f>
        <v/>
      </c>
      <c r="DL175" t="str">
        <f>""</f>
        <v/>
      </c>
      <c r="DM175" t="str">
        <f>""</f>
        <v/>
      </c>
      <c r="DN175" t="str">
        <f>""</f>
        <v/>
      </c>
      <c r="DO175" t="str">
        <f>""</f>
        <v/>
      </c>
      <c r="DP175" t="str">
        <f>""</f>
        <v/>
      </c>
      <c r="DQ175" t="str">
        <f>""</f>
        <v/>
      </c>
      <c r="DR175" t="str">
        <f>""</f>
        <v/>
      </c>
      <c r="DS175" t="str">
        <f>""</f>
        <v/>
      </c>
      <c r="DT175" t="str">
        <f>""</f>
        <v/>
      </c>
      <c r="DU175" t="str">
        <f>""</f>
        <v/>
      </c>
    </row>
    <row r="176" spans="1:125">
      <c r="A176" t="str">
        <f>"通过上面公式行而添加下列所有数据行以供参考之用。"</f>
        <v>通过上面公式行而添加下列所有数据行以供参考之用。</v>
      </c>
      <c r="BN176" t="str">
        <f>""</f>
        <v/>
      </c>
      <c r="BO176" t="str">
        <f>""</f>
        <v/>
      </c>
      <c r="BP176" t="str">
        <f>""</f>
        <v/>
      </c>
      <c r="BQ176" t="str">
        <f>""</f>
        <v/>
      </c>
      <c r="BR176" t="str">
        <f>""</f>
        <v/>
      </c>
      <c r="BS176" t="str">
        <f>""</f>
        <v/>
      </c>
      <c r="BT176" t="str">
        <f>""</f>
        <v/>
      </c>
      <c r="BU176" t="str">
        <f>""</f>
        <v/>
      </c>
      <c r="BV176" t="str">
        <f>""</f>
        <v/>
      </c>
      <c r="BW176" t="str">
        <f>""</f>
        <v/>
      </c>
      <c r="BX176" t="str">
        <f>""</f>
        <v/>
      </c>
      <c r="BY176" t="str">
        <f>""</f>
        <v/>
      </c>
      <c r="BZ176" t="str">
        <f>""</f>
        <v/>
      </c>
      <c r="CA176" t="str">
        <f>""</f>
        <v/>
      </c>
      <c r="CB176" t="str">
        <f>""</f>
        <v/>
      </c>
      <c r="CC176" t="str">
        <f>""</f>
        <v/>
      </c>
      <c r="CD176" t="str">
        <f>""</f>
        <v/>
      </c>
      <c r="CE176" t="str">
        <f>""</f>
        <v/>
      </c>
      <c r="CF176" t="str">
        <f>""</f>
        <v/>
      </c>
      <c r="CG176" t="str">
        <f>""</f>
        <v/>
      </c>
      <c r="CH176" t="str">
        <f>""</f>
        <v/>
      </c>
      <c r="CI176" t="str">
        <f>""</f>
        <v/>
      </c>
      <c r="CJ176" t="str">
        <f>""</f>
        <v/>
      </c>
      <c r="CK176" t="str">
        <f>""</f>
        <v/>
      </c>
      <c r="CL176" t="str">
        <f>""</f>
        <v/>
      </c>
      <c r="CM176" t="str">
        <f>""</f>
        <v/>
      </c>
      <c r="CN176" t="str">
        <f>""</f>
        <v/>
      </c>
      <c r="CO176" t="str">
        <f>""</f>
        <v/>
      </c>
      <c r="CP176" t="str">
        <f>""</f>
        <v/>
      </c>
      <c r="CQ176" t="str">
        <f>""</f>
        <v/>
      </c>
      <c r="CR176" t="str">
        <f>""</f>
        <v/>
      </c>
      <c r="CS176" t="str">
        <f>""</f>
        <v/>
      </c>
      <c r="CT176" t="str">
        <f>""</f>
        <v/>
      </c>
      <c r="CU176" t="str">
        <f>""</f>
        <v/>
      </c>
      <c r="CV176" t="str">
        <f>""</f>
        <v/>
      </c>
      <c r="CW176" t="str">
        <f>""</f>
        <v/>
      </c>
      <c r="CX176" t="str">
        <f>""</f>
        <v/>
      </c>
      <c r="CY176" t="str">
        <f>""</f>
        <v/>
      </c>
      <c r="CZ176" t="str">
        <f>""</f>
        <v/>
      </c>
      <c r="DA176" t="str">
        <f>""</f>
        <v/>
      </c>
      <c r="DB176" t="str">
        <f>""</f>
        <v/>
      </c>
      <c r="DC176" t="str">
        <f>""</f>
        <v/>
      </c>
      <c r="DD176" t="str">
        <f>""</f>
        <v/>
      </c>
      <c r="DE176" t="str">
        <f>""</f>
        <v/>
      </c>
      <c r="DF176" t="str">
        <f>""</f>
        <v/>
      </c>
      <c r="DG176" t="str">
        <f>""</f>
        <v/>
      </c>
      <c r="DH176" t="str">
        <f>""</f>
        <v/>
      </c>
      <c r="DI176" t="str">
        <f>""</f>
        <v/>
      </c>
      <c r="DJ176" t="str">
        <f>""</f>
        <v/>
      </c>
      <c r="DK176" t="str">
        <f>""</f>
        <v/>
      </c>
      <c r="DL176" t="str">
        <f>""</f>
        <v/>
      </c>
      <c r="DM176" t="str">
        <f>""</f>
        <v/>
      </c>
      <c r="DN176" t="str">
        <f>""</f>
        <v/>
      </c>
      <c r="DO176" t="str">
        <f>""</f>
        <v/>
      </c>
      <c r="DP176" t="str">
        <f>""</f>
        <v/>
      </c>
      <c r="DQ176" t="str">
        <f>""</f>
        <v/>
      </c>
      <c r="DR176" t="str">
        <f>""</f>
        <v/>
      </c>
      <c r="DS176" t="str">
        <f>""</f>
        <v/>
      </c>
      <c r="DT176" t="str">
        <f>""</f>
        <v/>
      </c>
      <c r="DU176" t="str">
        <f>""</f>
        <v/>
      </c>
    </row>
    <row r="177" spans="1:125">
      <c r="A177">
        <f>RTD("bloomberg.ccyreader", "", "#track", "DBG", "BIHITX", "1.0","RepeatHit")</f>
        <v>0</v>
      </c>
      <c r="BN177" t="str">
        <f>""</f>
        <v/>
      </c>
      <c r="BO177" t="str">
        <f>""</f>
        <v/>
      </c>
      <c r="BP177" t="str">
        <f>""</f>
        <v/>
      </c>
      <c r="BQ177" t="str">
        <f>""</f>
        <v/>
      </c>
      <c r="BR177" t="str">
        <f>""</f>
        <v/>
      </c>
      <c r="BS177" t="str">
        <f>""</f>
        <v/>
      </c>
      <c r="BT177" t="str">
        <f>""</f>
        <v/>
      </c>
      <c r="BU177" t="str">
        <f>""</f>
        <v/>
      </c>
      <c r="BV177" t="str">
        <f>""</f>
        <v/>
      </c>
      <c r="BW177" t="str">
        <f>""</f>
        <v/>
      </c>
      <c r="BX177" t="str">
        <f>""</f>
        <v/>
      </c>
      <c r="BY177" t="str">
        <f>""</f>
        <v/>
      </c>
      <c r="BZ177" t="str">
        <f>""</f>
        <v/>
      </c>
      <c r="CA177" t="str">
        <f>""</f>
        <v/>
      </c>
      <c r="CB177" t="str">
        <f>""</f>
        <v/>
      </c>
      <c r="CC177" t="str">
        <f>""</f>
        <v/>
      </c>
      <c r="CD177" t="str">
        <f>""</f>
        <v/>
      </c>
      <c r="CE177" t="str">
        <f>""</f>
        <v/>
      </c>
      <c r="CF177" t="str">
        <f>""</f>
        <v/>
      </c>
      <c r="CG177" t="str">
        <f>""</f>
        <v/>
      </c>
      <c r="CH177" t="str">
        <f>""</f>
        <v/>
      </c>
      <c r="CI177" t="str">
        <f>""</f>
        <v/>
      </c>
      <c r="CJ177" t="str">
        <f>""</f>
        <v/>
      </c>
      <c r="CK177" t="str">
        <f>""</f>
        <v/>
      </c>
      <c r="CL177" t="str">
        <f>""</f>
        <v/>
      </c>
      <c r="CM177" t="str">
        <f>""</f>
        <v/>
      </c>
      <c r="CN177" t="str">
        <f>""</f>
        <v/>
      </c>
      <c r="CO177" t="str">
        <f>""</f>
        <v/>
      </c>
      <c r="CP177" t="str">
        <f>""</f>
        <v/>
      </c>
      <c r="CQ177" t="str">
        <f>""</f>
        <v/>
      </c>
      <c r="CR177" t="str">
        <f>""</f>
        <v/>
      </c>
      <c r="CS177" t="str">
        <f>""</f>
        <v/>
      </c>
      <c r="CT177" t="str">
        <f>""</f>
        <v/>
      </c>
      <c r="CU177" t="str">
        <f>""</f>
        <v/>
      </c>
      <c r="CV177" t="str">
        <f>""</f>
        <v/>
      </c>
      <c r="CW177" t="str">
        <f>""</f>
        <v/>
      </c>
      <c r="CX177" t="str">
        <f>""</f>
        <v/>
      </c>
      <c r="CY177" t="str">
        <f>""</f>
        <v/>
      </c>
      <c r="CZ177" t="str">
        <f>""</f>
        <v/>
      </c>
      <c r="DA177" t="str">
        <f>""</f>
        <v/>
      </c>
      <c r="DB177" t="str">
        <f>""</f>
        <v/>
      </c>
      <c r="DC177" t="str">
        <f>""</f>
        <v/>
      </c>
      <c r="DD177" t="str">
        <f>""</f>
        <v/>
      </c>
      <c r="DE177" t="str">
        <f>""</f>
        <v/>
      </c>
      <c r="DF177" t="str">
        <f>""</f>
        <v/>
      </c>
      <c r="DG177" t="str">
        <f>""</f>
        <v/>
      </c>
      <c r="DH177" t="str">
        <f>""</f>
        <v/>
      </c>
      <c r="DI177" t="str">
        <f>""</f>
        <v/>
      </c>
      <c r="DJ177" t="str">
        <f>""</f>
        <v/>
      </c>
      <c r="DK177" t="str">
        <f>""</f>
        <v/>
      </c>
      <c r="DL177" t="str">
        <f>""</f>
        <v/>
      </c>
      <c r="DM177" t="str">
        <f>""</f>
        <v/>
      </c>
      <c r="DN177" t="str">
        <f>""</f>
        <v/>
      </c>
      <c r="DO177" t="str">
        <f>""</f>
        <v/>
      </c>
      <c r="DP177" t="str">
        <f>""</f>
        <v/>
      </c>
      <c r="DQ177" t="str">
        <f>""</f>
        <v/>
      </c>
      <c r="DR177" t="str">
        <f>""</f>
        <v/>
      </c>
      <c r="DS177" t="str">
        <f>""</f>
        <v/>
      </c>
      <c r="DT177" t="str">
        <f>""</f>
        <v/>
      </c>
      <c r="DU177" t="str">
        <f>""</f>
        <v/>
      </c>
    </row>
    <row r="178" spans="1:125">
      <c r="A178" t="str">
        <f>"货币"</f>
        <v>货币</v>
      </c>
      <c r="B178" t="str">
        <f>"USD"</f>
        <v>USD</v>
      </c>
      <c r="BN178" t="str">
        <f>""</f>
        <v/>
      </c>
      <c r="BO178" t="str">
        <f>""</f>
        <v/>
      </c>
      <c r="BP178" t="str">
        <f>""</f>
        <v/>
      </c>
      <c r="BQ178" t="str">
        <f>""</f>
        <v/>
      </c>
      <c r="BR178" t="str">
        <f>""</f>
        <v/>
      </c>
      <c r="BS178" t="str">
        <f>""</f>
        <v/>
      </c>
      <c r="BT178" t="str">
        <f>""</f>
        <v/>
      </c>
      <c r="BU178" t="str">
        <f>""</f>
        <v/>
      </c>
      <c r="BV178" t="str">
        <f>""</f>
        <v/>
      </c>
      <c r="BW178" t="str">
        <f>""</f>
        <v/>
      </c>
      <c r="BX178" t="str">
        <f>""</f>
        <v/>
      </c>
      <c r="BY178" t="str">
        <f>""</f>
        <v/>
      </c>
      <c r="BZ178" t="str">
        <f>""</f>
        <v/>
      </c>
      <c r="CA178" t="str">
        <f>""</f>
        <v/>
      </c>
      <c r="CB178" t="str">
        <f>""</f>
        <v/>
      </c>
      <c r="CC178" t="str">
        <f>""</f>
        <v/>
      </c>
      <c r="CD178" t="str">
        <f>""</f>
        <v/>
      </c>
      <c r="CE178" t="str">
        <f>""</f>
        <v/>
      </c>
      <c r="CF178" t="str">
        <f>""</f>
        <v/>
      </c>
      <c r="CG178" t="str">
        <f>""</f>
        <v/>
      </c>
      <c r="CH178" t="str">
        <f>""</f>
        <v/>
      </c>
      <c r="CI178" t="str">
        <f>""</f>
        <v/>
      </c>
      <c r="CJ178" t="str">
        <f>""</f>
        <v/>
      </c>
      <c r="CK178" t="str">
        <f>""</f>
        <v/>
      </c>
      <c r="CL178" t="str">
        <f>""</f>
        <v/>
      </c>
      <c r="CM178" t="str">
        <f>""</f>
        <v/>
      </c>
      <c r="CN178" t="str">
        <f>""</f>
        <v/>
      </c>
      <c r="CO178" t="str">
        <f>""</f>
        <v/>
      </c>
      <c r="CP178" t="str">
        <f>""</f>
        <v/>
      </c>
      <c r="CQ178" t="str">
        <f>""</f>
        <v/>
      </c>
      <c r="CR178" t="str">
        <f>""</f>
        <v/>
      </c>
      <c r="CS178" t="str">
        <f>""</f>
        <v/>
      </c>
      <c r="CT178" t="str">
        <f>""</f>
        <v/>
      </c>
      <c r="CU178" t="str">
        <f>""</f>
        <v/>
      </c>
      <c r="CV178" t="str">
        <f>""</f>
        <v/>
      </c>
      <c r="CW178" t="str">
        <f>""</f>
        <v/>
      </c>
      <c r="CX178" t="str">
        <f>""</f>
        <v/>
      </c>
      <c r="CY178" t="str">
        <f>""</f>
        <v/>
      </c>
      <c r="CZ178" t="str">
        <f>""</f>
        <v/>
      </c>
      <c r="DA178" t="str">
        <f>""</f>
        <v/>
      </c>
      <c r="DB178" t="str">
        <f>""</f>
        <v/>
      </c>
      <c r="DC178" t="str">
        <f>""</f>
        <v/>
      </c>
      <c r="DD178" t="str">
        <f>""</f>
        <v/>
      </c>
      <c r="DE178" t="str">
        <f>""</f>
        <v/>
      </c>
      <c r="DF178" t="str">
        <f>""</f>
        <v/>
      </c>
      <c r="DG178" t="str">
        <f>""</f>
        <v/>
      </c>
      <c r="DH178" t="str">
        <f>""</f>
        <v/>
      </c>
      <c r="DI178" t="str">
        <f>""</f>
        <v/>
      </c>
      <c r="DJ178" t="str">
        <f>""</f>
        <v/>
      </c>
      <c r="DK178" t="str">
        <f>""</f>
        <v/>
      </c>
      <c r="DL178" t="str">
        <f>""</f>
        <v/>
      </c>
      <c r="DM178" t="str">
        <f>""</f>
        <v/>
      </c>
      <c r="DN178" t="str">
        <f>""</f>
        <v/>
      </c>
      <c r="DO178" t="str">
        <f>""</f>
        <v/>
      </c>
      <c r="DP178" t="str">
        <f>""</f>
        <v/>
      </c>
      <c r="DQ178" t="str">
        <f>""</f>
        <v/>
      </c>
      <c r="DR178" t="str">
        <f>""</f>
        <v/>
      </c>
      <c r="DS178" t="str">
        <f>""</f>
        <v/>
      </c>
      <c r="DT178" t="str">
        <f>""</f>
        <v/>
      </c>
      <c r="DU178" t="str">
        <f>""</f>
        <v/>
      </c>
    </row>
    <row r="179" spans="1:125">
      <c r="A179" t="str">
        <f>"周期"</f>
        <v>周期</v>
      </c>
      <c r="B179" t="str">
        <f>"CQ"</f>
        <v>CQ</v>
      </c>
      <c r="C179" t="str">
        <f>"AQ"</f>
        <v>AQ</v>
      </c>
      <c r="BN179" t="str">
        <f>""</f>
        <v/>
      </c>
      <c r="BO179" t="str">
        <f>""</f>
        <v/>
      </c>
      <c r="BP179" t="str">
        <f>""</f>
        <v/>
      </c>
      <c r="BQ179" t="str">
        <f>""</f>
        <v/>
      </c>
      <c r="BR179" t="str">
        <f>""</f>
        <v/>
      </c>
      <c r="BS179" t="str">
        <f>""</f>
        <v/>
      </c>
      <c r="BT179" t="str">
        <f>""</f>
        <v/>
      </c>
      <c r="BU179" t="str">
        <f>""</f>
        <v/>
      </c>
      <c r="BV179" t="str">
        <f>""</f>
        <v/>
      </c>
      <c r="BW179" t="str">
        <f>""</f>
        <v/>
      </c>
      <c r="BX179" t="str">
        <f>""</f>
        <v/>
      </c>
      <c r="BY179" t="str">
        <f>""</f>
        <v/>
      </c>
      <c r="BZ179" t="str">
        <f>""</f>
        <v/>
      </c>
      <c r="CA179" t="str">
        <f>""</f>
        <v/>
      </c>
      <c r="CB179" t="str">
        <f>""</f>
        <v/>
      </c>
      <c r="CC179" t="str">
        <f>""</f>
        <v/>
      </c>
      <c r="CD179" t="str">
        <f>""</f>
        <v/>
      </c>
      <c r="CE179" t="str">
        <f>""</f>
        <v/>
      </c>
      <c r="CF179" t="str">
        <f>""</f>
        <v/>
      </c>
      <c r="CG179" t="str">
        <f>""</f>
        <v/>
      </c>
      <c r="CH179" t="str">
        <f>""</f>
        <v/>
      </c>
      <c r="CI179" t="str">
        <f>""</f>
        <v/>
      </c>
      <c r="CJ179" t="str">
        <f>""</f>
        <v/>
      </c>
      <c r="CK179" t="str">
        <f>""</f>
        <v/>
      </c>
      <c r="CL179" t="str">
        <f>""</f>
        <v/>
      </c>
      <c r="CM179" t="str">
        <f>""</f>
        <v/>
      </c>
      <c r="CN179" t="str">
        <f>""</f>
        <v/>
      </c>
      <c r="CO179" t="str">
        <f>""</f>
        <v/>
      </c>
      <c r="CP179" t="str">
        <f>""</f>
        <v/>
      </c>
      <c r="CQ179" t="str">
        <f>""</f>
        <v/>
      </c>
      <c r="CR179" t="str">
        <f>""</f>
        <v/>
      </c>
      <c r="CS179" t="str">
        <f>""</f>
        <v/>
      </c>
      <c r="CT179" t="str">
        <f>""</f>
        <v/>
      </c>
      <c r="CU179" t="str">
        <f>""</f>
        <v/>
      </c>
      <c r="CV179" t="str">
        <f>""</f>
        <v/>
      </c>
      <c r="CW179" t="str">
        <f>""</f>
        <v/>
      </c>
      <c r="CX179" t="str">
        <f>""</f>
        <v/>
      </c>
      <c r="CY179" t="str">
        <f>""</f>
        <v/>
      </c>
      <c r="CZ179" t="str">
        <f>""</f>
        <v/>
      </c>
      <c r="DA179" t="str">
        <f>""</f>
        <v/>
      </c>
      <c r="DB179" t="str">
        <f>""</f>
        <v/>
      </c>
      <c r="DC179" t="str">
        <f>""</f>
        <v/>
      </c>
      <c r="DD179" t="str">
        <f>""</f>
        <v/>
      </c>
      <c r="DE179" t="str">
        <f>""</f>
        <v/>
      </c>
      <c r="DF179" t="str">
        <f>""</f>
        <v/>
      </c>
      <c r="DG179" t="str">
        <f>""</f>
        <v/>
      </c>
      <c r="DH179" t="str">
        <f>""</f>
        <v/>
      </c>
      <c r="DI179" t="str">
        <f>""</f>
        <v/>
      </c>
      <c r="DJ179" t="str">
        <f>""</f>
        <v/>
      </c>
      <c r="DK179" t="str">
        <f>""</f>
        <v/>
      </c>
      <c r="DL179" t="str">
        <f>""</f>
        <v/>
      </c>
      <c r="DM179" t="str">
        <f>""</f>
        <v/>
      </c>
      <c r="DN179" t="str">
        <f>""</f>
        <v/>
      </c>
      <c r="DO179" t="str">
        <f>""</f>
        <v/>
      </c>
      <c r="DP179" t="str">
        <f>""</f>
        <v/>
      </c>
      <c r="DQ179" t="str">
        <f>""</f>
        <v/>
      </c>
      <c r="DR179" t="str">
        <f>""</f>
        <v/>
      </c>
      <c r="DS179" t="str">
        <f>""</f>
        <v/>
      </c>
      <c r="DT179" t="str">
        <f>""</f>
        <v/>
      </c>
      <c r="DU179" t="str">
        <f>""</f>
        <v/>
      </c>
    </row>
    <row r="180" spans="1:125">
      <c r="A180" t="str">
        <f>"周期数"</f>
        <v>周期数</v>
      </c>
      <c r="B180">
        <f>60</f>
        <v>60</v>
      </c>
      <c r="BN180" t="str">
        <f>""</f>
        <v/>
      </c>
      <c r="BO180" t="str">
        <f>""</f>
        <v/>
      </c>
      <c r="BP180" t="str">
        <f>""</f>
        <v/>
      </c>
      <c r="BQ180" t="str">
        <f>""</f>
        <v/>
      </c>
      <c r="BR180" t="str">
        <f>""</f>
        <v/>
      </c>
      <c r="BS180" t="str">
        <f>""</f>
        <v/>
      </c>
      <c r="BT180" t="str">
        <f>""</f>
        <v/>
      </c>
      <c r="BU180" t="str">
        <f>""</f>
        <v/>
      </c>
      <c r="BV180" t="str">
        <f>""</f>
        <v/>
      </c>
      <c r="BW180" t="str">
        <f>""</f>
        <v/>
      </c>
      <c r="BX180" t="str">
        <f>""</f>
        <v/>
      </c>
      <c r="BY180" t="str">
        <f>""</f>
        <v/>
      </c>
      <c r="BZ180" t="str">
        <f>""</f>
        <v/>
      </c>
      <c r="CA180" t="str">
        <f>""</f>
        <v/>
      </c>
      <c r="CB180" t="str">
        <f>""</f>
        <v/>
      </c>
      <c r="CC180" t="str">
        <f>""</f>
        <v/>
      </c>
      <c r="CD180" t="str">
        <f>""</f>
        <v/>
      </c>
      <c r="CE180" t="str">
        <f>""</f>
        <v/>
      </c>
      <c r="CF180" t="str">
        <f>""</f>
        <v/>
      </c>
      <c r="CG180" t="str">
        <f>""</f>
        <v/>
      </c>
      <c r="CH180" t="str">
        <f>""</f>
        <v/>
      </c>
      <c r="CI180" t="str">
        <f>""</f>
        <v/>
      </c>
      <c r="CJ180" t="str">
        <f>""</f>
        <v/>
      </c>
      <c r="CK180" t="str">
        <f>""</f>
        <v/>
      </c>
      <c r="CL180" t="str">
        <f>""</f>
        <v/>
      </c>
      <c r="CM180" t="str">
        <f>""</f>
        <v/>
      </c>
      <c r="CN180" t="str">
        <f>""</f>
        <v/>
      </c>
      <c r="CO180" t="str">
        <f>""</f>
        <v/>
      </c>
      <c r="CP180" t="str">
        <f>""</f>
        <v/>
      </c>
      <c r="CQ180" t="str">
        <f>""</f>
        <v/>
      </c>
      <c r="CR180" t="str">
        <f>""</f>
        <v/>
      </c>
      <c r="CS180" t="str">
        <f>""</f>
        <v/>
      </c>
      <c r="CT180" t="str">
        <f>""</f>
        <v/>
      </c>
      <c r="CU180" t="str">
        <f>""</f>
        <v/>
      </c>
      <c r="CV180" t="str">
        <f>""</f>
        <v/>
      </c>
      <c r="CW180" t="str">
        <f>""</f>
        <v/>
      </c>
      <c r="CX180" t="str">
        <f>""</f>
        <v/>
      </c>
      <c r="CY180" t="str">
        <f>""</f>
        <v/>
      </c>
      <c r="CZ180" t="str">
        <f>""</f>
        <v/>
      </c>
      <c r="DA180" t="str">
        <f>""</f>
        <v/>
      </c>
      <c r="DB180" t="str">
        <f>""</f>
        <v/>
      </c>
      <c r="DC180" t="str">
        <f>""</f>
        <v/>
      </c>
      <c r="DD180" t="str">
        <f>""</f>
        <v/>
      </c>
      <c r="DE180" t="str">
        <f>""</f>
        <v/>
      </c>
      <c r="DF180" t="str">
        <f>""</f>
        <v/>
      </c>
      <c r="DG180" t="str">
        <f>""</f>
        <v/>
      </c>
      <c r="DH180" t="str">
        <f>""</f>
        <v/>
      </c>
      <c r="DI180" t="str">
        <f>""</f>
        <v/>
      </c>
      <c r="DJ180" t="str">
        <f>""</f>
        <v/>
      </c>
      <c r="DK180" t="str">
        <f>""</f>
        <v/>
      </c>
      <c r="DL180" t="str">
        <f>""</f>
        <v/>
      </c>
      <c r="DM180" t="str">
        <f>""</f>
        <v/>
      </c>
      <c r="DN180" t="str">
        <f>""</f>
        <v/>
      </c>
      <c r="DO180" t="str">
        <f>""</f>
        <v/>
      </c>
      <c r="DP180" t="str">
        <f>""</f>
        <v/>
      </c>
      <c r="DQ180" t="str">
        <f>""</f>
        <v/>
      </c>
      <c r="DR180" t="str">
        <f>""</f>
        <v/>
      </c>
      <c r="DS180" t="str">
        <f>""</f>
        <v/>
      </c>
      <c r="DT180" t="str">
        <f>""</f>
        <v/>
      </c>
      <c r="DU180" t="str">
        <f>""</f>
        <v/>
      </c>
    </row>
    <row r="181" spans="1:125">
      <c r="A181" t="str">
        <f>"起始日期"</f>
        <v>起始日期</v>
      </c>
      <c r="B181" t="str">
        <f>CONCATENATE("-",$B$180,$B$179)</f>
        <v>-60CQ</v>
      </c>
      <c r="C181" t="str">
        <f>CONCATENATE("-",$B$180,$C$179)</f>
        <v>-60AQ</v>
      </c>
      <c r="BN181" t="str">
        <f>""</f>
        <v/>
      </c>
      <c r="BO181" t="str">
        <f>""</f>
        <v/>
      </c>
      <c r="BP181" t="str">
        <f>""</f>
        <v/>
      </c>
      <c r="BQ181" t="str">
        <f>""</f>
        <v/>
      </c>
      <c r="BR181" t="str">
        <f>""</f>
        <v/>
      </c>
      <c r="BS181" t="str">
        <f>""</f>
        <v/>
      </c>
      <c r="BT181" t="str">
        <f>""</f>
        <v/>
      </c>
      <c r="BU181" t="str">
        <f>""</f>
        <v/>
      </c>
      <c r="BV181" t="str">
        <f>""</f>
        <v/>
      </c>
      <c r="BW181" t="str">
        <f>""</f>
        <v/>
      </c>
      <c r="BX181" t="str">
        <f>""</f>
        <v/>
      </c>
      <c r="BY181" t="str">
        <f>""</f>
        <v/>
      </c>
      <c r="BZ181" t="str">
        <f>""</f>
        <v/>
      </c>
      <c r="CA181" t="str">
        <f>""</f>
        <v/>
      </c>
      <c r="CB181" t="str">
        <f>""</f>
        <v/>
      </c>
      <c r="CC181" t="str">
        <f>""</f>
        <v/>
      </c>
      <c r="CD181" t="str">
        <f>""</f>
        <v/>
      </c>
      <c r="CE181" t="str">
        <f>""</f>
        <v/>
      </c>
      <c r="CF181" t="str">
        <f>""</f>
        <v/>
      </c>
      <c r="CG181" t="str">
        <f>""</f>
        <v/>
      </c>
      <c r="CH181" t="str">
        <f>""</f>
        <v/>
      </c>
      <c r="CI181" t="str">
        <f>""</f>
        <v/>
      </c>
      <c r="CJ181" t="str">
        <f>""</f>
        <v/>
      </c>
      <c r="CK181" t="str">
        <f>""</f>
        <v/>
      </c>
      <c r="CL181" t="str">
        <f>""</f>
        <v/>
      </c>
      <c r="CM181" t="str">
        <f>""</f>
        <v/>
      </c>
      <c r="CN181" t="str">
        <f>""</f>
        <v/>
      </c>
      <c r="CO181" t="str">
        <f>""</f>
        <v/>
      </c>
      <c r="CP181" t="str">
        <f>""</f>
        <v/>
      </c>
      <c r="CQ181" t="str">
        <f>""</f>
        <v/>
      </c>
      <c r="CR181" t="str">
        <f>""</f>
        <v/>
      </c>
      <c r="CS181" t="str">
        <f>""</f>
        <v/>
      </c>
      <c r="CT181" t="str">
        <f>""</f>
        <v/>
      </c>
      <c r="CU181" t="str">
        <f>""</f>
        <v/>
      </c>
      <c r="CV181" t="str">
        <f>""</f>
        <v/>
      </c>
      <c r="CW181" t="str">
        <f>""</f>
        <v/>
      </c>
      <c r="CX181" t="str">
        <f>""</f>
        <v/>
      </c>
      <c r="CY181" t="str">
        <f>""</f>
        <v/>
      </c>
      <c r="CZ181" t="str">
        <f>""</f>
        <v/>
      </c>
      <c r="DA181" t="str">
        <f>""</f>
        <v/>
      </c>
      <c r="DB181" t="str">
        <f>""</f>
        <v/>
      </c>
      <c r="DC181" t="str">
        <f>""</f>
        <v/>
      </c>
      <c r="DD181" t="str">
        <f>""</f>
        <v/>
      </c>
      <c r="DE181" t="str">
        <f>""</f>
        <v/>
      </c>
      <c r="DF181" t="str">
        <f>""</f>
        <v/>
      </c>
      <c r="DG181" t="str">
        <f>""</f>
        <v/>
      </c>
      <c r="DH181" t="str">
        <f>""</f>
        <v/>
      </c>
      <c r="DI181" t="str">
        <f>""</f>
        <v/>
      </c>
      <c r="DJ181" t="str">
        <f>""</f>
        <v/>
      </c>
      <c r="DK181" t="str">
        <f>""</f>
        <v/>
      </c>
      <c r="DL181" t="str">
        <f>""</f>
        <v/>
      </c>
      <c r="DM181" t="str">
        <f>""</f>
        <v/>
      </c>
      <c r="DN181" t="str">
        <f>""</f>
        <v/>
      </c>
      <c r="DO181" t="str">
        <f>""</f>
        <v/>
      </c>
      <c r="DP181" t="str">
        <f>""</f>
        <v/>
      </c>
      <c r="DQ181" t="str">
        <f>""</f>
        <v/>
      </c>
      <c r="DR181" t="str">
        <f>""</f>
        <v/>
      </c>
      <c r="DS181" t="str">
        <f>""</f>
        <v/>
      </c>
      <c r="DT181" t="str">
        <f>""</f>
        <v/>
      </c>
      <c r="DU181" t="str">
        <f>""</f>
        <v/>
      </c>
    </row>
    <row r="182" spans="1:125">
      <c r="A182" t="str">
        <f>"End Date"</f>
        <v>End Date</v>
      </c>
      <c r="B182">
        <f ca="1">TODAY()</f>
        <v>43173</v>
      </c>
      <c r="BN182" t="str">
        <f>""</f>
        <v/>
      </c>
      <c r="BO182" t="str">
        <f>""</f>
        <v/>
      </c>
      <c r="BP182" t="str">
        <f>""</f>
        <v/>
      </c>
      <c r="BQ182" t="str">
        <f>""</f>
        <v/>
      </c>
      <c r="BR182" t="str">
        <f>""</f>
        <v/>
      </c>
      <c r="BS182" t="str">
        <f>""</f>
        <v/>
      </c>
      <c r="BT182" t="str">
        <f>""</f>
        <v/>
      </c>
      <c r="BU182" t="str">
        <f>""</f>
        <v/>
      </c>
      <c r="BV182" t="str">
        <f>""</f>
        <v/>
      </c>
      <c r="BW182" t="str">
        <f>""</f>
        <v/>
      </c>
      <c r="BX182" t="str">
        <f>""</f>
        <v/>
      </c>
      <c r="BY182" t="str">
        <f>""</f>
        <v/>
      </c>
      <c r="BZ182" t="str">
        <f>""</f>
        <v/>
      </c>
      <c r="CA182" t="str">
        <f>""</f>
        <v/>
      </c>
      <c r="CB182" t="str">
        <f>""</f>
        <v/>
      </c>
      <c r="CC182" t="str">
        <f>""</f>
        <v/>
      </c>
      <c r="CD182" t="str">
        <f>""</f>
        <v/>
      </c>
      <c r="CE182" t="str">
        <f>""</f>
        <v/>
      </c>
      <c r="CF182" t="str">
        <f>""</f>
        <v/>
      </c>
      <c r="CG182" t="str">
        <f>""</f>
        <v/>
      </c>
      <c r="CH182" t="str">
        <f>""</f>
        <v/>
      </c>
      <c r="CI182" t="str">
        <f>""</f>
        <v/>
      </c>
      <c r="CJ182" t="str">
        <f>""</f>
        <v/>
      </c>
      <c r="CK182" t="str">
        <f>""</f>
        <v/>
      </c>
      <c r="CL182" t="str">
        <f>""</f>
        <v/>
      </c>
      <c r="CM182" t="str">
        <f>""</f>
        <v/>
      </c>
      <c r="CN182" t="str">
        <f>""</f>
        <v/>
      </c>
      <c r="CO182" t="str">
        <f>""</f>
        <v/>
      </c>
      <c r="CP182" t="str">
        <f>""</f>
        <v/>
      </c>
      <c r="CQ182" t="str">
        <f>""</f>
        <v/>
      </c>
      <c r="CR182" t="str">
        <f>""</f>
        <v/>
      </c>
      <c r="CS182" t="str">
        <f>""</f>
        <v/>
      </c>
      <c r="CT182" t="str">
        <f>""</f>
        <v/>
      </c>
      <c r="CU182" t="str">
        <f>""</f>
        <v/>
      </c>
      <c r="CV182" t="str">
        <f>""</f>
        <v/>
      </c>
      <c r="CW182" t="str">
        <f>""</f>
        <v/>
      </c>
      <c r="CX182" t="str">
        <f>""</f>
        <v/>
      </c>
      <c r="CY182" t="str">
        <f>""</f>
        <v/>
      </c>
      <c r="CZ182" t="str">
        <f>""</f>
        <v/>
      </c>
      <c r="DA182" t="str">
        <f>""</f>
        <v/>
      </c>
      <c r="DB182" t="str">
        <f>""</f>
        <v/>
      </c>
      <c r="DC182" t="str">
        <f>""</f>
        <v/>
      </c>
      <c r="DD182" t="str">
        <f>""</f>
        <v/>
      </c>
      <c r="DE182" t="str">
        <f>""</f>
        <v/>
      </c>
      <c r="DF182" t="str">
        <f>""</f>
        <v/>
      </c>
      <c r="DG182" t="str">
        <f>""</f>
        <v/>
      </c>
      <c r="DH182" t="str">
        <f>""</f>
        <v/>
      </c>
      <c r="DI182" t="str">
        <f>""</f>
        <v/>
      </c>
      <c r="DJ182" t="str">
        <f>""</f>
        <v/>
      </c>
      <c r="DK182" t="str">
        <f>""</f>
        <v/>
      </c>
      <c r="DL182" t="str">
        <f>""</f>
        <v/>
      </c>
      <c r="DM182" t="str">
        <f>""</f>
        <v/>
      </c>
      <c r="DN182" t="str">
        <f>""</f>
        <v/>
      </c>
      <c r="DO182" t="str">
        <f>""</f>
        <v/>
      </c>
      <c r="DP182" t="str">
        <f>""</f>
        <v/>
      </c>
      <c r="DQ182" t="str">
        <f>""</f>
        <v/>
      </c>
      <c r="DR182" t="str">
        <f>""</f>
        <v/>
      </c>
      <c r="DS182" t="str">
        <f>""</f>
        <v/>
      </c>
      <c r="DT182" t="str">
        <f>""</f>
        <v/>
      </c>
      <c r="DU182" t="str">
        <f>""</f>
        <v/>
      </c>
    </row>
    <row r="183" spans="1:125">
      <c r="A183" t="str">
        <f>"HeaderStatus"</f>
        <v>HeaderStatus</v>
      </c>
      <c r="B183">
        <f ca="1">$B$354*$B$362</f>
        <v>4</v>
      </c>
      <c r="BN183" t="str">
        <f>""</f>
        <v/>
      </c>
      <c r="BO183" t="str">
        <f>""</f>
        <v/>
      </c>
      <c r="BP183" t="str">
        <f>""</f>
        <v/>
      </c>
      <c r="BQ183" t="str">
        <f>""</f>
        <v/>
      </c>
      <c r="BR183" t="str">
        <f>""</f>
        <v/>
      </c>
      <c r="BS183" t="str">
        <f>""</f>
        <v/>
      </c>
      <c r="BT183" t="str">
        <f>""</f>
        <v/>
      </c>
      <c r="BU183" t="str">
        <f>""</f>
        <v/>
      </c>
      <c r="BV183" t="str">
        <f>""</f>
        <v/>
      </c>
      <c r="BW183" t="str">
        <f>""</f>
        <v/>
      </c>
      <c r="BX183" t="str">
        <f>""</f>
        <v/>
      </c>
      <c r="BY183" t="str">
        <f>""</f>
        <v/>
      </c>
      <c r="BZ183" t="str">
        <f>""</f>
        <v/>
      </c>
      <c r="CA183" t="str">
        <f>""</f>
        <v/>
      </c>
      <c r="CB183" t="str">
        <f>""</f>
        <v/>
      </c>
      <c r="CC183" t="str">
        <f>""</f>
        <v/>
      </c>
      <c r="CD183" t="str">
        <f>""</f>
        <v/>
      </c>
      <c r="CE183" t="str">
        <f>""</f>
        <v/>
      </c>
      <c r="CF183" t="str">
        <f>""</f>
        <v/>
      </c>
      <c r="CG183" t="str">
        <f>""</f>
        <v/>
      </c>
      <c r="CH183" t="str">
        <f>""</f>
        <v/>
      </c>
      <c r="CI183" t="str">
        <f>""</f>
        <v/>
      </c>
      <c r="CJ183" t="str">
        <f>""</f>
        <v/>
      </c>
      <c r="CK183" t="str">
        <f>""</f>
        <v/>
      </c>
      <c r="CL183" t="str">
        <f>""</f>
        <v/>
      </c>
      <c r="CM183" t="str">
        <f>""</f>
        <v/>
      </c>
      <c r="CN183" t="str">
        <f>""</f>
        <v/>
      </c>
      <c r="CO183" t="str">
        <f>""</f>
        <v/>
      </c>
      <c r="CP183" t="str">
        <f>""</f>
        <v/>
      </c>
      <c r="CQ183" t="str">
        <f>""</f>
        <v/>
      </c>
      <c r="CR183" t="str">
        <f>""</f>
        <v/>
      </c>
      <c r="CS183" t="str">
        <f>""</f>
        <v/>
      </c>
      <c r="CT183" t="str">
        <f>""</f>
        <v/>
      </c>
      <c r="CU183" t="str">
        <f>""</f>
        <v/>
      </c>
      <c r="CV183" t="str">
        <f>""</f>
        <v/>
      </c>
      <c r="CW183" t="str">
        <f>""</f>
        <v/>
      </c>
      <c r="CX183" t="str">
        <f>""</f>
        <v/>
      </c>
      <c r="CY183" t="str">
        <f>""</f>
        <v/>
      </c>
      <c r="CZ183" t="str">
        <f>""</f>
        <v/>
      </c>
      <c r="DA183" t="str">
        <f>""</f>
        <v/>
      </c>
      <c r="DB183" t="str">
        <f>""</f>
        <v/>
      </c>
      <c r="DC183" t="str">
        <f>""</f>
        <v/>
      </c>
      <c r="DD183" t="str">
        <f>""</f>
        <v/>
      </c>
      <c r="DE183" t="str">
        <f>""</f>
        <v/>
      </c>
      <c r="DF183" t="str">
        <f>""</f>
        <v/>
      </c>
      <c r="DG183" t="str">
        <f>""</f>
        <v/>
      </c>
      <c r="DH183" t="str">
        <f>""</f>
        <v/>
      </c>
      <c r="DI183" t="str">
        <f>""</f>
        <v/>
      </c>
      <c r="DJ183" t="str">
        <f>""</f>
        <v/>
      </c>
      <c r="DK183" t="str">
        <f>""</f>
        <v/>
      </c>
      <c r="DL183" t="str">
        <f>""</f>
        <v/>
      </c>
      <c r="DM183" t="str">
        <f>""</f>
        <v/>
      </c>
      <c r="DN183" t="str">
        <f>""</f>
        <v/>
      </c>
      <c r="DO183" t="str">
        <f>""</f>
        <v/>
      </c>
      <c r="DP183" t="str">
        <f>""</f>
        <v/>
      </c>
      <c r="DQ183" t="str">
        <f>""</f>
        <v/>
      </c>
      <c r="DR183" t="str">
        <f>""</f>
        <v/>
      </c>
      <c r="DS183" t="str">
        <f>""</f>
        <v/>
      </c>
      <c r="DT183" t="str">
        <f>""</f>
        <v/>
      </c>
      <c r="DU183" t="str">
        <f>""</f>
        <v/>
      </c>
    </row>
    <row r="184" spans="1:125">
      <c r="BN184" t="str">
        <f>""</f>
        <v/>
      </c>
      <c r="BO184" t="str">
        <f>""</f>
        <v/>
      </c>
      <c r="BP184" t="str">
        <f>""</f>
        <v/>
      </c>
      <c r="BQ184" t="str">
        <f>""</f>
        <v/>
      </c>
      <c r="BR184" t="str">
        <f>""</f>
        <v/>
      </c>
      <c r="BS184" t="str">
        <f>""</f>
        <v/>
      </c>
      <c r="BT184" t="str">
        <f>""</f>
        <v/>
      </c>
      <c r="BU184" t="str">
        <f>""</f>
        <v/>
      </c>
      <c r="BV184" t="str">
        <f>""</f>
        <v/>
      </c>
      <c r="BW184" t="str">
        <f>""</f>
        <v/>
      </c>
      <c r="BX184" t="str">
        <f>""</f>
        <v/>
      </c>
      <c r="BY184" t="str">
        <f>""</f>
        <v/>
      </c>
      <c r="BZ184" t="str">
        <f>""</f>
        <v/>
      </c>
      <c r="CA184" t="str">
        <f>""</f>
        <v/>
      </c>
      <c r="CB184" t="str">
        <f>""</f>
        <v/>
      </c>
      <c r="CC184" t="str">
        <f>""</f>
        <v/>
      </c>
      <c r="CD184" t="str">
        <f>""</f>
        <v/>
      </c>
      <c r="CE184" t="str">
        <f>""</f>
        <v/>
      </c>
      <c r="CF184" t="str">
        <f>""</f>
        <v/>
      </c>
      <c r="CG184" t="str">
        <f>""</f>
        <v/>
      </c>
      <c r="CH184" t="str">
        <f>""</f>
        <v/>
      </c>
      <c r="CI184" t="str">
        <f>""</f>
        <v/>
      </c>
      <c r="CJ184" t="str">
        <f>""</f>
        <v/>
      </c>
      <c r="CK184" t="str">
        <f>""</f>
        <v/>
      </c>
      <c r="CL184" t="str">
        <f>""</f>
        <v/>
      </c>
      <c r="CM184" t="str">
        <f>""</f>
        <v/>
      </c>
      <c r="CN184" t="str">
        <f>""</f>
        <v/>
      </c>
      <c r="CO184" t="str">
        <f>""</f>
        <v/>
      </c>
      <c r="CP184" t="str">
        <f>""</f>
        <v/>
      </c>
      <c r="CQ184" t="str">
        <f>""</f>
        <v/>
      </c>
      <c r="CR184" t="str">
        <f>""</f>
        <v/>
      </c>
      <c r="CS184" t="str">
        <f>""</f>
        <v/>
      </c>
      <c r="CT184" t="str">
        <f>""</f>
        <v/>
      </c>
      <c r="CU184" t="str">
        <f>""</f>
        <v/>
      </c>
      <c r="CV184" t="str">
        <f>""</f>
        <v/>
      </c>
      <c r="CW184" t="str">
        <f>""</f>
        <v/>
      </c>
      <c r="CX184" t="str">
        <f>""</f>
        <v/>
      </c>
      <c r="CY184" t="str">
        <f>""</f>
        <v/>
      </c>
      <c r="CZ184" t="str">
        <f>""</f>
        <v/>
      </c>
      <c r="DA184" t="str">
        <f>""</f>
        <v/>
      </c>
      <c r="DB184" t="str">
        <f>""</f>
        <v/>
      </c>
      <c r="DC184" t="str">
        <f>""</f>
        <v/>
      </c>
      <c r="DD184" t="str">
        <f>""</f>
        <v/>
      </c>
      <c r="DE184" t="str">
        <f>""</f>
        <v/>
      </c>
      <c r="DF184" t="str">
        <f>""</f>
        <v/>
      </c>
      <c r="DG184" t="str">
        <f>""</f>
        <v/>
      </c>
      <c r="DH184" t="str">
        <f>""</f>
        <v/>
      </c>
      <c r="DI184" t="str">
        <f>""</f>
        <v/>
      </c>
      <c r="DJ184" t="str">
        <f>""</f>
        <v/>
      </c>
      <c r="DK184" t="str">
        <f>""</f>
        <v/>
      </c>
      <c r="DL184" t="str">
        <f>""</f>
        <v/>
      </c>
      <c r="DM184" t="str">
        <f>""</f>
        <v/>
      </c>
      <c r="DN184" t="str">
        <f>""</f>
        <v/>
      </c>
      <c r="DO184" t="str">
        <f>""</f>
        <v/>
      </c>
      <c r="DP184" t="str">
        <f>""</f>
        <v/>
      </c>
      <c r="DQ184" t="str">
        <f>""</f>
        <v/>
      </c>
      <c r="DR184" t="str">
        <f>""</f>
        <v/>
      </c>
      <c r="DS184" t="str">
        <f>""</f>
        <v/>
      </c>
      <c r="DT184" t="str">
        <f>""</f>
        <v/>
      </c>
      <c r="DU184" t="str">
        <f>""</f>
        <v/>
      </c>
    </row>
    <row r="185" spans="1:125">
      <c r="B185" t="str">
        <f>"RECFTAEQ Index"</f>
        <v>RECFTAEQ Index</v>
      </c>
      <c r="C185" t="str">
        <f t="shared" ref="C185:C216" si="52">"PR005"</f>
        <v>PR005</v>
      </c>
      <c r="D185" t="str">
        <f t="shared" ref="D185:D216" si="53">"PX_LAST"</f>
        <v>PX_LAST</v>
      </c>
      <c r="E185" t="str">
        <f t="shared" ref="E185:E216" si="54">"动态"</f>
        <v>动态</v>
      </c>
      <c r="F185" t="str">
        <f ca="1">BDH($B$185,$C$185,$B$181,$B$182,CONCATENATE("Per=",$B$179),"Dts=H","Dir=H",CONCATENATE("Points=",$B$180),"Sort=R","Days=A","Fill=B",CONCATENATE("FX=", $B$178) )</f>
        <v>#N/A Authorization</v>
      </c>
      <c r="BN185" t="str">
        <f>""</f>
        <v/>
      </c>
      <c r="BO185" t="str">
        <f>""</f>
        <v/>
      </c>
      <c r="BP185" t="str">
        <f>""</f>
        <v/>
      </c>
      <c r="BQ185" t="str">
        <f>""</f>
        <v/>
      </c>
      <c r="BR185" t="str">
        <f>""</f>
        <v/>
      </c>
      <c r="BS185" t="str">
        <f>""</f>
        <v/>
      </c>
      <c r="BT185" t="str">
        <f>""</f>
        <v/>
      </c>
      <c r="BU185" t="str">
        <f>""</f>
        <v/>
      </c>
      <c r="BV185" t="str">
        <f>""</f>
        <v/>
      </c>
      <c r="BW185" t="str">
        <f>""</f>
        <v/>
      </c>
      <c r="BX185" t="str">
        <f>""</f>
        <v/>
      </c>
      <c r="BY185" t="str">
        <f>""</f>
        <v/>
      </c>
      <c r="BZ185" t="str">
        <f>""</f>
        <v/>
      </c>
      <c r="CA185" t="str">
        <f>""</f>
        <v/>
      </c>
      <c r="CB185" t="str">
        <f>""</f>
        <v/>
      </c>
      <c r="CC185" t="str">
        <f>""</f>
        <v/>
      </c>
      <c r="CD185" t="str">
        <f>""</f>
        <v/>
      </c>
      <c r="CE185" t="str">
        <f>""</f>
        <v/>
      </c>
      <c r="CF185" t="str">
        <f>""</f>
        <v/>
      </c>
      <c r="CG185" t="str">
        <f>""</f>
        <v/>
      </c>
      <c r="CH185" t="str">
        <f>""</f>
        <v/>
      </c>
      <c r="CI185" t="str">
        <f>""</f>
        <v/>
      </c>
      <c r="CJ185" t="str">
        <f>""</f>
        <v/>
      </c>
      <c r="CK185" t="str">
        <f>""</f>
        <v/>
      </c>
      <c r="CL185" t="str">
        <f>""</f>
        <v/>
      </c>
      <c r="CM185" t="str">
        <f>""</f>
        <v/>
      </c>
      <c r="CN185" t="str">
        <f>""</f>
        <v/>
      </c>
      <c r="CO185" t="str">
        <f>""</f>
        <v/>
      </c>
      <c r="CP185" t="str">
        <f>""</f>
        <v/>
      </c>
      <c r="CQ185" t="str">
        <f>""</f>
        <v/>
      </c>
      <c r="CR185" t="str">
        <f>""</f>
        <v/>
      </c>
      <c r="CS185" t="str">
        <f>""</f>
        <v/>
      </c>
      <c r="CT185" t="str">
        <f>""</f>
        <v/>
      </c>
      <c r="CU185" t="str">
        <f>""</f>
        <v/>
      </c>
      <c r="CV185" t="str">
        <f>""</f>
        <v/>
      </c>
      <c r="CW185" t="str">
        <f>""</f>
        <v/>
      </c>
      <c r="CX185" t="str">
        <f>""</f>
        <v/>
      </c>
      <c r="CY185" t="str">
        <f>""</f>
        <v/>
      </c>
      <c r="CZ185" t="str">
        <f>""</f>
        <v/>
      </c>
      <c r="DA185" t="str">
        <f>""</f>
        <v/>
      </c>
      <c r="DB185" t="str">
        <f>""</f>
        <v/>
      </c>
      <c r="DC185" t="str">
        <f>""</f>
        <v/>
      </c>
      <c r="DD185" t="str">
        <f>""</f>
        <v/>
      </c>
      <c r="DE185" t="str">
        <f>""</f>
        <v/>
      </c>
      <c r="DF185" t="str">
        <f>""</f>
        <v/>
      </c>
      <c r="DG185" t="str">
        <f>""</f>
        <v/>
      </c>
      <c r="DH185" t="str">
        <f>""</f>
        <v/>
      </c>
      <c r="DI185" t="str">
        <f>""</f>
        <v/>
      </c>
      <c r="DJ185" t="str">
        <f>""</f>
        <v/>
      </c>
      <c r="DK185" t="str">
        <f>""</f>
        <v/>
      </c>
      <c r="DL185" t="str">
        <f>""</f>
        <v/>
      </c>
      <c r="DM185" t="str">
        <f>""</f>
        <v/>
      </c>
      <c r="DN185" t="str">
        <f>""</f>
        <v/>
      </c>
      <c r="DO185" t="str">
        <f>""</f>
        <v/>
      </c>
      <c r="DP185" t="str">
        <f>""</f>
        <v/>
      </c>
      <c r="DQ185" t="str">
        <f>""</f>
        <v/>
      </c>
      <c r="DR185" t="str">
        <f>""</f>
        <v/>
      </c>
      <c r="DS185" t="str">
        <f>""</f>
        <v/>
      </c>
      <c r="DT185" t="str">
        <f>""</f>
        <v/>
      </c>
      <c r="DU185" t="str">
        <f>""</f>
        <v/>
      </c>
    </row>
    <row r="186" spans="1:125">
      <c r="B186" t="str">
        <f>"RECFTAOF Index"</f>
        <v>RECFTAOF Index</v>
      </c>
      <c r="C186" t="str">
        <f t="shared" si="52"/>
        <v>PR005</v>
      </c>
      <c r="D186" t="str">
        <f t="shared" si="53"/>
        <v>PX_LAST</v>
      </c>
      <c r="E186" t="str">
        <f t="shared" si="54"/>
        <v>动态</v>
      </c>
      <c r="F186" t="str">
        <f ca="1">BDH($B$186,$C$186,$B$181,$B$182,CONCATENATE("Per=",$B$179),"Dts=H","Dir=H",CONCATENATE("Points=",$B$180),"Sort=R","Days=A","Fill=B",CONCATENATE("FX=", $B$178) )</f>
        <v>#N/A Authorization</v>
      </c>
      <c r="BN186" t="str">
        <f>""</f>
        <v/>
      </c>
      <c r="BO186" t="str">
        <f>""</f>
        <v/>
      </c>
      <c r="BP186" t="str">
        <f>""</f>
        <v/>
      </c>
      <c r="BQ186" t="str">
        <f>""</f>
        <v/>
      </c>
      <c r="BR186" t="str">
        <f>""</f>
        <v/>
      </c>
      <c r="BS186" t="str">
        <f>""</f>
        <v/>
      </c>
      <c r="BT186" t="str">
        <f>""</f>
        <v/>
      </c>
      <c r="BU186" t="str">
        <f>""</f>
        <v/>
      </c>
      <c r="BV186" t="str">
        <f>""</f>
        <v/>
      </c>
      <c r="BW186" t="str">
        <f>""</f>
        <v/>
      </c>
      <c r="BX186" t="str">
        <f>""</f>
        <v/>
      </c>
      <c r="BY186" t="str">
        <f>""</f>
        <v/>
      </c>
      <c r="BZ186" t="str">
        <f>""</f>
        <v/>
      </c>
      <c r="CA186" t="str">
        <f>""</f>
        <v/>
      </c>
      <c r="CB186" t="str">
        <f>""</f>
        <v/>
      </c>
      <c r="CC186" t="str">
        <f>""</f>
        <v/>
      </c>
      <c r="CD186" t="str">
        <f>""</f>
        <v/>
      </c>
      <c r="CE186" t="str">
        <f>""</f>
        <v/>
      </c>
      <c r="CF186" t="str">
        <f>""</f>
        <v/>
      </c>
      <c r="CG186" t="str">
        <f>""</f>
        <v/>
      </c>
      <c r="CH186" t="str">
        <f>""</f>
        <v/>
      </c>
      <c r="CI186" t="str">
        <f>""</f>
        <v/>
      </c>
      <c r="CJ186" t="str">
        <f>""</f>
        <v/>
      </c>
      <c r="CK186" t="str">
        <f>""</f>
        <v/>
      </c>
      <c r="CL186" t="str">
        <f>""</f>
        <v/>
      </c>
      <c r="CM186" t="str">
        <f>""</f>
        <v/>
      </c>
      <c r="CN186" t="str">
        <f>""</f>
        <v/>
      </c>
      <c r="CO186" t="str">
        <f>""</f>
        <v/>
      </c>
      <c r="CP186" t="str">
        <f>""</f>
        <v/>
      </c>
      <c r="CQ186" t="str">
        <f>""</f>
        <v/>
      </c>
      <c r="CR186" t="str">
        <f>""</f>
        <v/>
      </c>
      <c r="CS186" t="str">
        <f>""</f>
        <v/>
      </c>
      <c r="CT186" t="str">
        <f>""</f>
        <v/>
      </c>
      <c r="CU186" t="str">
        <f>""</f>
        <v/>
      </c>
      <c r="CV186" t="str">
        <f>""</f>
        <v/>
      </c>
      <c r="CW186" t="str">
        <f>""</f>
        <v/>
      </c>
      <c r="CX186" t="str">
        <f>""</f>
        <v/>
      </c>
      <c r="CY186" t="str">
        <f>""</f>
        <v/>
      </c>
      <c r="CZ186" t="str">
        <f>""</f>
        <v/>
      </c>
      <c r="DA186" t="str">
        <f>""</f>
        <v/>
      </c>
      <c r="DB186" t="str">
        <f>""</f>
        <v/>
      </c>
      <c r="DC186" t="str">
        <f>""</f>
        <v/>
      </c>
      <c r="DD186" t="str">
        <f>""</f>
        <v/>
      </c>
      <c r="DE186" t="str">
        <f>""</f>
        <v/>
      </c>
      <c r="DF186" t="str">
        <f>""</f>
        <v/>
      </c>
      <c r="DG186" t="str">
        <f>""</f>
        <v/>
      </c>
      <c r="DH186" t="str">
        <f>""</f>
        <v/>
      </c>
      <c r="DI186" t="str">
        <f>""</f>
        <v/>
      </c>
      <c r="DJ186" t="str">
        <f>""</f>
        <v/>
      </c>
      <c r="DK186" t="str">
        <f>""</f>
        <v/>
      </c>
      <c r="DL186" t="str">
        <f>""</f>
        <v/>
      </c>
      <c r="DM186" t="str">
        <f>""</f>
        <v/>
      </c>
      <c r="DN186" t="str">
        <f>""</f>
        <v/>
      </c>
      <c r="DO186" t="str">
        <f>""</f>
        <v/>
      </c>
      <c r="DP186" t="str">
        <f>""</f>
        <v/>
      </c>
      <c r="DQ186" t="str">
        <f>""</f>
        <v/>
      </c>
      <c r="DR186" t="str">
        <f>""</f>
        <v/>
      </c>
      <c r="DS186" t="str">
        <f>""</f>
        <v/>
      </c>
      <c r="DT186" t="str">
        <f>""</f>
        <v/>
      </c>
      <c r="DU186" t="str">
        <f>""</f>
        <v/>
      </c>
    </row>
    <row r="187" spans="1:125">
      <c r="B187" t="str">
        <f>"RECFTAIN Index"</f>
        <v>RECFTAIN Index</v>
      </c>
      <c r="C187" t="str">
        <f t="shared" si="52"/>
        <v>PR005</v>
      </c>
      <c r="D187" t="str">
        <f t="shared" si="53"/>
        <v>PX_LAST</v>
      </c>
      <c r="E187" t="str">
        <f t="shared" si="54"/>
        <v>动态</v>
      </c>
      <c r="F187" t="str">
        <f ca="1">BDH($B$187,$C$187,$B$181,$B$182,CONCATENATE("Per=",$B$179),"Dts=H","Dir=H",CONCATENATE("Points=",$B$180),"Sort=R","Days=A","Fill=B",CONCATENATE("FX=", $B$178) )</f>
        <v>#N/A Authorization</v>
      </c>
      <c r="BN187" t="str">
        <f>""</f>
        <v/>
      </c>
      <c r="BO187" t="str">
        <f>""</f>
        <v/>
      </c>
      <c r="BP187" t="str">
        <f>""</f>
        <v/>
      </c>
      <c r="BQ187" t="str">
        <f>""</f>
        <v/>
      </c>
      <c r="BR187" t="str">
        <f>""</f>
        <v/>
      </c>
      <c r="BS187" t="str">
        <f>""</f>
        <v/>
      </c>
      <c r="BT187" t="str">
        <f>""</f>
        <v/>
      </c>
      <c r="BU187" t="str">
        <f>""</f>
        <v/>
      </c>
      <c r="BV187" t="str">
        <f>""</f>
        <v/>
      </c>
      <c r="BW187" t="str">
        <f>""</f>
        <v/>
      </c>
      <c r="BX187" t="str">
        <f>""</f>
        <v/>
      </c>
      <c r="BY187" t="str">
        <f>""</f>
        <v/>
      </c>
      <c r="BZ187" t="str">
        <f>""</f>
        <v/>
      </c>
      <c r="CA187" t="str">
        <f>""</f>
        <v/>
      </c>
      <c r="CB187" t="str">
        <f>""</f>
        <v/>
      </c>
      <c r="CC187" t="str">
        <f>""</f>
        <v/>
      </c>
      <c r="CD187" t="str">
        <f>""</f>
        <v/>
      </c>
      <c r="CE187" t="str">
        <f>""</f>
        <v/>
      </c>
      <c r="CF187" t="str">
        <f>""</f>
        <v/>
      </c>
      <c r="CG187" t="str">
        <f>""</f>
        <v/>
      </c>
      <c r="CH187" t="str">
        <f>""</f>
        <v/>
      </c>
      <c r="CI187" t="str">
        <f>""</f>
        <v/>
      </c>
      <c r="CJ187" t="str">
        <f>""</f>
        <v/>
      </c>
      <c r="CK187" t="str">
        <f>""</f>
        <v/>
      </c>
      <c r="CL187" t="str">
        <f>""</f>
        <v/>
      </c>
      <c r="CM187" t="str">
        <f>""</f>
        <v/>
      </c>
      <c r="CN187" t="str">
        <f>""</f>
        <v/>
      </c>
      <c r="CO187" t="str">
        <f>""</f>
        <v/>
      </c>
      <c r="CP187" t="str">
        <f>""</f>
        <v/>
      </c>
      <c r="CQ187" t="str">
        <f>""</f>
        <v/>
      </c>
      <c r="CR187" t="str">
        <f>""</f>
        <v/>
      </c>
      <c r="CS187" t="str">
        <f>""</f>
        <v/>
      </c>
      <c r="CT187" t="str">
        <f>""</f>
        <v/>
      </c>
      <c r="CU187" t="str">
        <f>""</f>
        <v/>
      </c>
      <c r="CV187" t="str">
        <f>""</f>
        <v/>
      </c>
      <c r="CW187" t="str">
        <f>""</f>
        <v/>
      </c>
      <c r="CX187" t="str">
        <f>""</f>
        <v/>
      </c>
      <c r="CY187" t="str">
        <f>""</f>
        <v/>
      </c>
      <c r="CZ187" t="str">
        <f>""</f>
        <v/>
      </c>
      <c r="DA187" t="str">
        <f>""</f>
        <v/>
      </c>
      <c r="DB187" t="str">
        <f>""</f>
        <v/>
      </c>
      <c r="DC187" t="str">
        <f>""</f>
        <v/>
      </c>
      <c r="DD187" t="str">
        <f>""</f>
        <v/>
      </c>
      <c r="DE187" t="str">
        <f>""</f>
        <v/>
      </c>
      <c r="DF187" t="str">
        <f>""</f>
        <v/>
      </c>
      <c r="DG187" t="str">
        <f>""</f>
        <v/>
      </c>
      <c r="DH187" t="str">
        <f>""</f>
        <v/>
      </c>
      <c r="DI187" t="str">
        <f>""</f>
        <v/>
      </c>
      <c r="DJ187" t="str">
        <f>""</f>
        <v/>
      </c>
      <c r="DK187" t="str">
        <f>""</f>
        <v/>
      </c>
      <c r="DL187" t="str">
        <f>""</f>
        <v/>
      </c>
      <c r="DM187" t="str">
        <f>""</f>
        <v/>
      </c>
      <c r="DN187" t="str">
        <f>""</f>
        <v/>
      </c>
      <c r="DO187" t="str">
        <f>""</f>
        <v/>
      </c>
      <c r="DP187" t="str">
        <f>""</f>
        <v/>
      </c>
      <c r="DQ187" t="str">
        <f>""</f>
        <v/>
      </c>
      <c r="DR187" t="str">
        <f>""</f>
        <v/>
      </c>
      <c r="DS187" t="str">
        <f>""</f>
        <v/>
      </c>
      <c r="DT187" t="str">
        <f>""</f>
        <v/>
      </c>
      <c r="DU187" t="str">
        <f>""</f>
        <v/>
      </c>
    </row>
    <row r="188" spans="1:125">
      <c r="B188" t="str">
        <f>"RECFTART Index"</f>
        <v>RECFTART Index</v>
      </c>
      <c r="C188" t="str">
        <f t="shared" si="52"/>
        <v>PR005</v>
      </c>
      <c r="D188" t="str">
        <f t="shared" si="53"/>
        <v>PX_LAST</v>
      </c>
      <c r="E188" t="str">
        <f t="shared" si="54"/>
        <v>动态</v>
      </c>
      <c r="F188" t="str">
        <f ca="1">BDH($B$188,$C$188,$B$181,$B$182,CONCATENATE("Per=",$B$179),"Dts=H","Dir=H",CONCATENATE("Points=",$B$180),"Sort=R","Days=A","Fill=B",CONCATENATE("FX=", $B$178) )</f>
        <v>#N/A Authorization</v>
      </c>
      <c r="BN188" t="str">
        <f>""</f>
        <v/>
      </c>
      <c r="BO188" t="str">
        <f>""</f>
        <v/>
      </c>
      <c r="BP188" t="str">
        <f>""</f>
        <v/>
      </c>
      <c r="BQ188" t="str">
        <f>""</f>
        <v/>
      </c>
      <c r="BR188" t="str">
        <f>""</f>
        <v/>
      </c>
      <c r="BS188" t="str">
        <f>""</f>
        <v/>
      </c>
      <c r="BT188" t="str">
        <f>""</f>
        <v/>
      </c>
      <c r="BU188" t="str">
        <f>""</f>
        <v/>
      </c>
      <c r="BV188" t="str">
        <f>""</f>
        <v/>
      </c>
      <c r="BW188" t="str">
        <f>""</f>
        <v/>
      </c>
      <c r="BX188" t="str">
        <f>""</f>
        <v/>
      </c>
      <c r="BY188" t="str">
        <f>""</f>
        <v/>
      </c>
      <c r="BZ188" t="str">
        <f>""</f>
        <v/>
      </c>
      <c r="CA188" t="str">
        <f>""</f>
        <v/>
      </c>
      <c r="CB188" t="str">
        <f>""</f>
        <v/>
      </c>
      <c r="CC188" t="str">
        <f>""</f>
        <v/>
      </c>
      <c r="CD188" t="str">
        <f>""</f>
        <v/>
      </c>
      <c r="CE188" t="str">
        <f>""</f>
        <v/>
      </c>
      <c r="CF188" t="str">
        <f>""</f>
        <v/>
      </c>
      <c r="CG188" t="str">
        <f>""</f>
        <v/>
      </c>
      <c r="CH188" t="str">
        <f>""</f>
        <v/>
      </c>
      <c r="CI188" t="str">
        <f>""</f>
        <v/>
      </c>
      <c r="CJ188" t="str">
        <f>""</f>
        <v/>
      </c>
      <c r="CK188" t="str">
        <f>""</f>
        <v/>
      </c>
      <c r="CL188" t="str">
        <f>""</f>
        <v/>
      </c>
      <c r="CM188" t="str">
        <f>""</f>
        <v/>
      </c>
      <c r="CN188" t="str">
        <f>""</f>
        <v/>
      </c>
      <c r="CO188" t="str">
        <f>""</f>
        <v/>
      </c>
      <c r="CP188" t="str">
        <f>""</f>
        <v/>
      </c>
      <c r="CQ188" t="str">
        <f>""</f>
        <v/>
      </c>
      <c r="CR188" t="str">
        <f>""</f>
        <v/>
      </c>
      <c r="CS188" t="str">
        <f>""</f>
        <v/>
      </c>
      <c r="CT188" t="str">
        <f>""</f>
        <v/>
      </c>
      <c r="CU188" t="str">
        <f>""</f>
        <v/>
      </c>
      <c r="CV188" t="str">
        <f>""</f>
        <v/>
      </c>
      <c r="CW188" t="str">
        <f>""</f>
        <v/>
      </c>
      <c r="CX188" t="str">
        <f>""</f>
        <v/>
      </c>
      <c r="CY188" t="str">
        <f>""</f>
        <v/>
      </c>
      <c r="CZ188" t="str">
        <f>""</f>
        <v/>
      </c>
      <c r="DA188" t="str">
        <f>""</f>
        <v/>
      </c>
      <c r="DB188" t="str">
        <f>""</f>
        <v/>
      </c>
      <c r="DC188" t="str">
        <f>""</f>
        <v/>
      </c>
      <c r="DD188" t="str">
        <f>""</f>
        <v/>
      </c>
      <c r="DE188" t="str">
        <f>""</f>
        <v/>
      </c>
      <c r="DF188" t="str">
        <f>""</f>
        <v/>
      </c>
      <c r="DG188" t="str">
        <f>""</f>
        <v/>
      </c>
      <c r="DH188" t="str">
        <f>""</f>
        <v/>
      </c>
      <c r="DI188" t="str">
        <f>""</f>
        <v/>
      </c>
      <c r="DJ188" t="str">
        <f>""</f>
        <v/>
      </c>
      <c r="DK188" t="str">
        <f>""</f>
        <v/>
      </c>
      <c r="DL188" t="str">
        <f>""</f>
        <v/>
      </c>
      <c r="DM188" t="str">
        <f>""</f>
        <v/>
      </c>
      <c r="DN188" t="str">
        <f>""</f>
        <v/>
      </c>
      <c r="DO188" t="str">
        <f>""</f>
        <v/>
      </c>
      <c r="DP188" t="str">
        <f>""</f>
        <v/>
      </c>
      <c r="DQ188" t="str">
        <f>""</f>
        <v/>
      </c>
      <c r="DR188" t="str">
        <f>""</f>
        <v/>
      </c>
      <c r="DS188" t="str">
        <f>""</f>
        <v/>
      </c>
      <c r="DT188" t="str">
        <f>""</f>
        <v/>
      </c>
      <c r="DU188" t="str">
        <f>""</f>
        <v/>
      </c>
    </row>
    <row r="189" spans="1:125">
      <c r="B189" t="str">
        <f>"RECFTASC Index"</f>
        <v>RECFTASC Index</v>
      </c>
      <c r="C189" t="str">
        <f t="shared" si="52"/>
        <v>PR005</v>
      </c>
      <c r="D189" t="str">
        <f t="shared" si="53"/>
        <v>PX_LAST</v>
      </c>
      <c r="E189" t="str">
        <f t="shared" si="54"/>
        <v>动态</v>
      </c>
      <c r="F189" t="str">
        <f ca="1">BDH($B$189,$C$189,$B$181,$B$182,CONCATENATE("Per=",$B$179),"Dts=H","Dir=H",CONCATENATE("Points=",$B$180),"Sort=R","Days=A","Fill=B",CONCATENATE("FX=", $B$178) )</f>
        <v>#N/A Authorization</v>
      </c>
      <c r="BN189" t="str">
        <f>""</f>
        <v/>
      </c>
      <c r="BO189" t="str">
        <f>""</f>
        <v/>
      </c>
      <c r="BP189" t="str">
        <f>""</f>
        <v/>
      </c>
      <c r="BQ189" t="str">
        <f>""</f>
        <v/>
      </c>
      <c r="BR189" t="str">
        <f>""</f>
        <v/>
      </c>
      <c r="BS189" t="str">
        <f>""</f>
        <v/>
      </c>
      <c r="BT189" t="str">
        <f>""</f>
        <v/>
      </c>
      <c r="BU189" t="str">
        <f>""</f>
        <v/>
      </c>
      <c r="BV189" t="str">
        <f>""</f>
        <v/>
      </c>
      <c r="BW189" t="str">
        <f>""</f>
        <v/>
      </c>
      <c r="BX189" t="str">
        <f>""</f>
        <v/>
      </c>
      <c r="BY189" t="str">
        <f>""</f>
        <v/>
      </c>
      <c r="BZ189" t="str">
        <f>""</f>
        <v/>
      </c>
      <c r="CA189" t="str">
        <f>""</f>
        <v/>
      </c>
      <c r="CB189" t="str">
        <f>""</f>
        <v/>
      </c>
      <c r="CC189" t="str">
        <f>""</f>
        <v/>
      </c>
      <c r="CD189" t="str">
        <f>""</f>
        <v/>
      </c>
      <c r="CE189" t="str">
        <f>""</f>
        <v/>
      </c>
      <c r="CF189" t="str">
        <f>""</f>
        <v/>
      </c>
      <c r="CG189" t="str">
        <f>""</f>
        <v/>
      </c>
      <c r="CH189" t="str">
        <f>""</f>
        <v/>
      </c>
      <c r="CI189" t="str">
        <f>""</f>
        <v/>
      </c>
      <c r="CJ189" t="str">
        <f>""</f>
        <v/>
      </c>
      <c r="CK189" t="str">
        <f>""</f>
        <v/>
      </c>
      <c r="CL189" t="str">
        <f>""</f>
        <v/>
      </c>
      <c r="CM189" t="str">
        <f>""</f>
        <v/>
      </c>
      <c r="CN189" t="str">
        <f>""</f>
        <v/>
      </c>
      <c r="CO189" t="str">
        <f>""</f>
        <v/>
      </c>
      <c r="CP189" t="str">
        <f>""</f>
        <v/>
      </c>
      <c r="CQ189" t="str">
        <f>""</f>
        <v/>
      </c>
      <c r="CR189" t="str">
        <f>""</f>
        <v/>
      </c>
      <c r="CS189" t="str">
        <f>""</f>
        <v/>
      </c>
      <c r="CT189" t="str">
        <f>""</f>
        <v/>
      </c>
      <c r="CU189" t="str">
        <f>""</f>
        <v/>
      </c>
      <c r="CV189" t="str">
        <f>""</f>
        <v/>
      </c>
      <c r="CW189" t="str">
        <f>""</f>
        <v/>
      </c>
      <c r="CX189" t="str">
        <f>""</f>
        <v/>
      </c>
      <c r="CY189" t="str">
        <f>""</f>
        <v/>
      </c>
      <c r="CZ189" t="str">
        <f>""</f>
        <v/>
      </c>
      <c r="DA189" t="str">
        <f>""</f>
        <v/>
      </c>
      <c r="DB189" t="str">
        <f>""</f>
        <v/>
      </c>
      <c r="DC189" t="str">
        <f>""</f>
        <v/>
      </c>
      <c r="DD189" t="str">
        <f>""</f>
        <v/>
      </c>
      <c r="DE189" t="str">
        <f>""</f>
        <v/>
      </c>
      <c r="DF189" t="str">
        <f>""</f>
        <v/>
      </c>
      <c r="DG189" t="str">
        <f>""</f>
        <v/>
      </c>
      <c r="DH189" t="str">
        <f>""</f>
        <v/>
      </c>
      <c r="DI189" t="str">
        <f>""</f>
        <v/>
      </c>
      <c r="DJ189" t="str">
        <f>""</f>
        <v/>
      </c>
      <c r="DK189" t="str">
        <f>""</f>
        <v/>
      </c>
      <c r="DL189" t="str">
        <f>""</f>
        <v/>
      </c>
      <c r="DM189" t="str">
        <f>""</f>
        <v/>
      </c>
      <c r="DN189" t="str">
        <f>""</f>
        <v/>
      </c>
      <c r="DO189" t="str">
        <f>""</f>
        <v/>
      </c>
      <c r="DP189" t="str">
        <f>""</f>
        <v/>
      </c>
      <c r="DQ189" t="str">
        <f>""</f>
        <v/>
      </c>
      <c r="DR189" t="str">
        <f>""</f>
        <v/>
      </c>
      <c r="DS189" t="str">
        <f>""</f>
        <v/>
      </c>
      <c r="DT189" t="str">
        <f>""</f>
        <v/>
      </c>
      <c r="DU189" t="str">
        <f>""</f>
        <v/>
      </c>
    </row>
    <row r="190" spans="1:125">
      <c r="B190" t="str">
        <f>"RECFTARM Index"</f>
        <v>RECFTARM Index</v>
      </c>
      <c r="C190" t="str">
        <f t="shared" si="52"/>
        <v>PR005</v>
      </c>
      <c r="D190" t="str">
        <f t="shared" si="53"/>
        <v>PX_LAST</v>
      </c>
      <c r="E190" t="str">
        <f t="shared" si="54"/>
        <v>动态</v>
      </c>
      <c r="F190" t="str">
        <f ca="1">BDH($B$190,$C$190,$B$181,$B$182,CONCATENATE("Per=",$B$179),"Dts=H","Dir=H",CONCATENATE("Points=",$B$180),"Sort=R","Days=A","Fill=B",CONCATENATE("FX=", $B$178) )</f>
        <v>#N/A Authorization</v>
      </c>
      <c r="BN190" t="str">
        <f>""</f>
        <v/>
      </c>
      <c r="BO190" t="str">
        <f>""</f>
        <v/>
      </c>
      <c r="BP190" t="str">
        <f>""</f>
        <v/>
      </c>
      <c r="BQ190" t="str">
        <f>""</f>
        <v/>
      </c>
      <c r="BR190" t="str">
        <f>""</f>
        <v/>
      </c>
      <c r="BS190" t="str">
        <f>""</f>
        <v/>
      </c>
      <c r="BT190" t="str">
        <f>""</f>
        <v/>
      </c>
      <c r="BU190" t="str">
        <f>""</f>
        <v/>
      </c>
      <c r="BV190" t="str">
        <f>""</f>
        <v/>
      </c>
      <c r="BW190" t="str">
        <f>""</f>
        <v/>
      </c>
      <c r="BX190" t="str">
        <f>""</f>
        <v/>
      </c>
      <c r="BY190" t="str">
        <f>""</f>
        <v/>
      </c>
      <c r="BZ190" t="str">
        <f>""</f>
        <v/>
      </c>
      <c r="CA190" t="str">
        <f>""</f>
        <v/>
      </c>
      <c r="CB190" t="str">
        <f>""</f>
        <v/>
      </c>
      <c r="CC190" t="str">
        <f>""</f>
        <v/>
      </c>
      <c r="CD190" t="str">
        <f>""</f>
        <v/>
      </c>
      <c r="CE190" t="str">
        <f>""</f>
        <v/>
      </c>
      <c r="CF190" t="str">
        <f>""</f>
        <v/>
      </c>
      <c r="CG190" t="str">
        <f>""</f>
        <v/>
      </c>
      <c r="CH190" t="str">
        <f>""</f>
        <v/>
      </c>
      <c r="CI190" t="str">
        <f>""</f>
        <v/>
      </c>
      <c r="CJ190" t="str">
        <f>""</f>
        <v/>
      </c>
      <c r="CK190" t="str">
        <f>""</f>
        <v/>
      </c>
      <c r="CL190" t="str">
        <f>""</f>
        <v/>
      </c>
      <c r="CM190" t="str">
        <f>""</f>
        <v/>
      </c>
      <c r="CN190" t="str">
        <f>""</f>
        <v/>
      </c>
      <c r="CO190" t="str">
        <f>""</f>
        <v/>
      </c>
      <c r="CP190" t="str">
        <f>""</f>
        <v/>
      </c>
      <c r="CQ190" t="str">
        <f>""</f>
        <v/>
      </c>
      <c r="CR190" t="str">
        <f>""</f>
        <v/>
      </c>
      <c r="CS190" t="str">
        <f>""</f>
        <v/>
      </c>
      <c r="CT190" t="str">
        <f>""</f>
        <v/>
      </c>
      <c r="CU190" t="str">
        <f>""</f>
        <v/>
      </c>
      <c r="CV190" t="str">
        <f>""</f>
        <v/>
      </c>
      <c r="CW190" t="str">
        <f>""</f>
        <v/>
      </c>
      <c r="CX190" t="str">
        <f>""</f>
        <v/>
      </c>
      <c r="CY190" t="str">
        <f>""</f>
        <v/>
      </c>
      <c r="CZ190" t="str">
        <f>""</f>
        <v/>
      </c>
      <c r="DA190" t="str">
        <f>""</f>
        <v/>
      </c>
      <c r="DB190" t="str">
        <f>""</f>
        <v/>
      </c>
      <c r="DC190" t="str">
        <f>""</f>
        <v/>
      </c>
      <c r="DD190" t="str">
        <f>""</f>
        <v/>
      </c>
      <c r="DE190" t="str">
        <f>""</f>
        <v/>
      </c>
      <c r="DF190" t="str">
        <f>""</f>
        <v/>
      </c>
      <c r="DG190" t="str">
        <f>""</f>
        <v/>
      </c>
      <c r="DH190" t="str">
        <f>""</f>
        <v/>
      </c>
      <c r="DI190" t="str">
        <f>""</f>
        <v/>
      </c>
      <c r="DJ190" t="str">
        <f>""</f>
        <v/>
      </c>
      <c r="DK190" t="str">
        <f>""</f>
        <v/>
      </c>
      <c r="DL190" t="str">
        <f>""</f>
        <v/>
      </c>
      <c r="DM190" t="str">
        <f>""</f>
        <v/>
      </c>
      <c r="DN190" t="str">
        <f>""</f>
        <v/>
      </c>
      <c r="DO190" t="str">
        <f>""</f>
        <v/>
      </c>
      <c r="DP190" t="str">
        <f>""</f>
        <v/>
      </c>
      <c r="DQ190" t="str">
        <f>""</f>
        <v/>
      </c>
      <c r="DR190" t="str">
        <f>""</f>
        <v/>
      </c>
      <c r="DS190" t="str">
        <f>""</f>
        <v/>
      </c>
      <c r="DT190" t="str">
        <f>""</f>
        <v/>
      </c>
      <c r="DU190" t="str">
        <f>""</f>
        <v/>
      </c>
    </row>
    <row r="191" spans="1:125">
      <c r="B191" t="str">
        <f>"RECFTAFS Index"</f>
        <v>RECFTAFS Index</v>
      </c>
      <c r="C191" t="str">
        <f t="shared" si="52"/>
        <v>PR005</v>
      </c>
      <c r="D191" t="str">
        <f t="shared" si="53"/>
        <v>PX_LAST</v>
      </c>
      <c r="E191" t="str">
        <f t="shared" si="54"/>
        <v>动态</v>
      </c>
      <c r="F191" t="str">
        <f ca="1">BDH($B$191,$C$191,$B$181,$B$182,CONCATENATE("Per=",$B$179),"Dts=H","Dir=H",CONCATENATE("Points=",$B$180),"Sort=R","Days=A","Fill=B",CONCATENATE("FX=", $B$178) )</f>
        <v>#N/A Authorization</v>
      </c>
      <c r="BN191" t="str">
        <f>""</f>
        <v/>
      </c>
      <c r="BO191" t="str">
        <f>""</f>
        <v/>
      </c>
      <c r="BP191" t="str">
        <f>""</f>
        <v/>
      </c>
      <c r="BQ191" t="str">
        <f>""</f>
        <v/>
      </c>
      <c r="BR191" t="str">
        <f>""</f>
        <v/>
      </c>
      <c r="BS191" t="str">
        <f>""</f>
        <v/>
      </c>
      <c r="BT191" t="str">
        <f>""</f>
        <v/>
      </c>
      <c r="BU191" t="str">
        <f>""</f>
        <v/>
      </c>
      <c r="BV191" t="str">
        <f>""</f>
        <v/>
      </c>
      <c r="BW191" t="str">
        <f>""</f>
        <v/>
      </c>
      <c r="BX191" t="str">
        <f>""</f>
        <v/>
      </c>
      <c r="BY191" t="str">
        <f>""</f>
        <v/>
      </c>
      <c r="BZ191" t="str">
        <f>""</f>
        <v/>
      </c>
      <c r="CA191" t="str">
        <f>""</f>
        <v/>
      </c>
      <c r="CB191" t="str">
        <f>""</f>
        <v/>
      </c>
      <c r="CC191" t="str">
        <f>""</f>
        <v/>
      </c>
      <c r="CD191" t="str">
        <f>""</f>
        <v/>
      </c>
      <c r="CE191" t="str">
        <f>""</f>
        <v/>
      </c>
      <c r="CF191" t="str">
        <f>""</f>
        <v/>
      </c>
      <c r="CG191" t="str">
        <f>""</f>
        <v/>
      </c>
      <c r="CH191" t="str">
        <f>""</f>
        <v/>
      </c>
      <c r="CI191" t="str">
        <f>""</f>
        <v/>
      </c>
      <c r="CJ191" t="str">
        <f>""</f>
        <v/>
      </c>
      <c r="CK191" t="str">
        <f>""</f>
        <v/>
      </c>
      <c r="CL191" t="str">
        <f>""</f>
        <v/>
      </c>
      <c r="CM191" t="str">
        <f>""</f>
        <v/>
      </c>
      <c r="CN191" t="str">
        <f>""</f>
        <v/>
      </c>
      <c r="CO191" t="str">
        <f>""</f>
        <v/>
      </c>
      <c r="CP191" t="str">
        <f>""</f>
        <v/>
      </c>
      <c r="CQ191" t="str">
        <f>""</f>
        <v/>
      </c>
      <c r="CR191" t="str">
        <f>""</f>
        <v/>
      </c>
      <c r="CS191" t="str">
        <f>""</f>
        <v/>
      </c>
      <c r="CT191" t="str">
        <f>""</f>
        <v/>
      </c>
      <c r="CU191" t="str">
        <f>""</f>
        <v/>
      </c>
      <c r="CV191" t="str">
        <f>""</f>
        <v/>
      </c>
      <c r="CW191" t="str">
        <f>""</f>
        <v/>
      </c>
      <c r="CX191" t="str">
        <f>""</f>
        <v/>
      </c>
      <c r="CY191" t="str">
        <f>""</f>
        <v/>
      </c>
      <c r="CZ191" t="str">
        <f>""</f>
        <v/>
      </c>
      <c r="DA191" t="str">
        <f>""</f>
        <v/>
      </c>
      <c r="DB191" t="str">
        <f>""</f>
        <v/>
      </c>
      <c r="DC191" t="str">
        <f>""</f>
        <v/>
      </c>
      <c r="DD191" t="str">
        <f>""</f>
        <v/>
      </c>
      <c r="DE191" t="str">
        <f>""</f>
        <v/>
      </c>
      <c r="DF191" t="str">
        <f>""</f>
        <v/>
      </c>
      <c r="DG191" t="str">
        <f>""</f>
        <v/>
      </c>
      <c r="DH191" t="str">
        <f>""</f>
        <v/>
      </c>
      <c r="DI191" t="str">
        <f>""</f>
        <v/>
      </c>
      <c r="DJ191" t="str">
        <f>""</f>
        <v/>
      </c>
      <c r="DK191" t="str">
        <f>""</f>
        <v/>
      </c>
      <c r="DL191" t="str">
        <f>""</f>
        <v/>
      </c>
      <c r="DM191" t="str">
        <f>""</f>
        <v/>
      </c>
      <c r="DN191" t="str">
        <f>""</f>
        <v/>
      </c>
      <c r="DO191" t="str">
        <f>""</f>
        <v/>
      </c>
      <c r="DP191" t="str">
        <f>""</f>
        <v/>
      </c>
      <c r="DQ191" t="str">
        <f>""</f>
        <v/>
      </c>
      <c r="DR191" t="str">
        <f>""</f>
        <v/>
      </c>
      <c r="DS191" t="str">
        <f>""</f>
        <v/>
      </c>
      <c r="DT191" t="str">
        <f>""</f>
        <v/>
      </c>
      <c r="DU191" t="str">
        <f>""</f>
        <v/>
      </c>
    </row>
    <row r="192" spans="1:125">
      <c r="B192" t="str">
        <f>"RECFTARS Index"</f>
        <v>RECFTARS Index</v>
      </c>
      <c r="C192" t="str">
        <f t="shared" si="52"/>
        <v>PR005</v>
      </c>
      <c r="D192" t="str">
        <f t="shared" si="53"/>
        <v>PX_LAST</v>
      </c>
      <c r="E192" t="str">
        <f t="shared" si="54"/>
        <v>动态</v>
      </c>
      <c r="F192" t="str">
        <f ca="1">BDH($B$192,$C$192,$B$181,$B$182,CONCATENATE("Per=",$B$179),"Dts=H","Dir=H",CONCATENATE("Points=",$B$180),"Sort=R","Days=A","Fill=B",CONCATENATE("FX=", $B$178) )</f>
        <v>#N/A Authorization</v>
      </c>
      <c r="BN192" t="str">
        <f>""</f>
        <v/>
      </c>
      <c r="BO192" t="str">
        <f>""</f>
        <v/>
      </c>
      <c r="BP192" t="str">
        <f>""</f>
        <v/>
      </c>
      <c r="BQ192" t="str">
        <f>""</f>
        <v/>
      </c>
      <c r="BR192" t="str">
        <f>""</f>
        <v/>
      </c>
      <c r="BS192" t="str">
        <f>""</f>
        <v/>
      </c>
      <c r="BT192" t="str">
        <f>""</f>
        <v/>
      </c>
      <c r="BU192" t="str">
        <f>""</f>
        <v/>
      </c>
      <c r="BV192" t="str">
        <f>""</f>
        <v/>
      </c>
      <c r="BW192" t="str">
        <f>""</f>
        <v/>
      </c>
      <c r="BX192" t="str">
        <f>""</f>
        <v/>
      </c>
      <c r="BY192" t="str">
        <f>""</f>
        <v/>
      </c>
      <c r="BZ192" t="str">
        <f>""</f>
        <v/>
      </c>
      <c r="CA192" t="str">
        <f>""</f>
        <v/>
      </c>
      <c r="CB192" t="str">
        <f>""</f>
        <v/>
      </c>
      <c r="CC192" t="str">
        <f>""</f>
        <v/>
      </c>
      <c r="CD192" t="str">
        <f>""</f>
        <v/>
      </c>
      <c r="CE192" t="str">
        <f>""</f>
        <v/>
      </c>
      <c r="CF192" t="str">
        <f>""</f>
        <v/>
      </c>
      <c r="CG192" t="str">
        <f>""</f>
        <v/>
      </c>
      <c r="CH192" t="str">
        <f>""</f>
        <v/>
      </c>
      <c r="CI192" t="str">
        <f>""</f>
        <v/>
      </c>
      <c r="CJ192" t="str">
        <f>""</f>
        <v/>
      </c>
      <c r="CK192" t="str">
        <f>""</f>
        <v/>
      </c>
      <c r="CL192" t="str">
        <f>""</f>
        <v/>
      </c>
      <c r="CM192" t="str">
        <f>""</f>
        <v/>
      </c>
      <c r="CN192" t="str">
        <f>""</f>
        <v/>
      </c>
      <c r="CO192" t="str">
        <f>""</f>
        <v/>
      </c>
      <c r="CP192" t="str">
        <f>""</f>
        <v/>
      </c>
      <c r="CQ192" t="str">
        <f>""</f>
        <v/>
      </c>
      <c r="CR192" t="str">
        <f>""</f>
        <v/>
      </c>
      <c r="CS192" t="str">
        <f>""</f>
        <v/>
      </c>
      <c r="CT192" t="str">
        <f>""</f>
        <v/>
      </c>
      <c r="CU192" t="str">
        <f>""</f>
        <v/>
      </c>
      <c r="CV192" t="str">
        <f>""</f>
        <v/>
      </c>
      <c r="CW192" t="str">
        <f>""</f>
        <v/>
      </c>
      <c r="CX192" t="str">
        <f>""</f>
        <v/>
      </c>
      <c r="CY192" t="str">
        <f>""</f>
        <v/>
      </c>
      <c r="CZ192" t="str">
        <f>""</f>
        <v/>
      </c>
      <c r="DA192" t="str">
        <f>""</f>
        <v/>
      </c>
      <c r="DB192" t="str">
        <f>""</f>
        <v/>
      </c>
      <c r="DC192" t="str">
        <f>""</f>
        <v/>
      </c>
      <c r="DD192" t="str">
        <f>""</f>
        <v/>
      </c>
      <c r="DE192" t="str">
        <f>""</f>
        <v/>
      </c>
      <c r="DF192" t="str">
        <f>""</f>
        <v/>
      </c>
      <c r="DG192" t="str">
        <f>""</f>
        <v/>
      </c>
      <c r="DH192" t="str">
        <f>""</f>
        <v/>
      </c>
      <c r="DI192" t="str">
        <f>""</f>
        <v/>
      </c>
      <c r="DJ192" t="str">
        <f>""</f>
        <v/>
      </c>
      <c r="DK192" t="str">
        <f>""</f>
        <v/>
      </c>
      <c r="DL192" t="str">
        <f>""</f>
        <v/>
      </c>
      <c r="DM192" t="str">
        <f>""</f>
        <v/>
      </c>
      <c r="DN192" t="str">
        <f>""</f>
        <v/>
      </c>
      <c r="DO192" t="str">
        <f>""</f>
        <v/>
      </c>
      <c r="DP192" t="str">
        <f>""</f>
        <v/>
      </c>
      <c r="DQ192" t="str">
        <f>""</f>
        <v/>
      </c>
      <c r="DR192" t="str">
        <f>""</f>
        <v/>
      </c>
      <c r="DS192" t="str">
        <f>""</f>
        <v/>
      </c>
      <c r="DT192" t="str">
        <f>""</f>
        <v/>
      </c>
      <c r="DU192" t="str">
        <f>""</f>
        <v/>
      </c>
    </row>
    <row r="193" spans="2:125">
      <c r="B193" t="str">
        <f>"RECFTAAP Index"</f>
        <v>RECFTAAP Index</v>
      </c>
      <c r="C193" t="str">
        <f t="shared" si="52"/>
        <v>PR005</v>
      </c>
      <c r="D193" t="str">
        <f t="shared" si="53"/>
        <v>PX_LAST</v>
      </c>
      <c r="E193" t="str">
        <f t="shared" si="54"/>
        <v>动态</v>
      </c>
      <c r="F193" t="str">
        <f ca="1">BDH($B$193,$C$193,$B$181,$B$182,CONCATENATE("Per=",$B$179),"Dts=H","Dir=H",CONCATENATE("Points=",$B$180),"Sort=R","Days=A","Fill=B",CONCATENATE("FX=", $B$178) )</f>
        <v>#N/A Authorization</v>
      </c>
      <c r="BN193" t="str">
        <f>""</f>
        <v/>
      </c>
      <c r="BO193" t="str">
        <f>""</f>
        <v/>
      </c>
      <c r="BP193" t="str">
        <f>""</f>
        <v/>
      </c>
      <c r="BQ193" t="str">
        <f>""</f>
        <v/>
      </c>
      <c r="BR193" t="str">
        <f>""</f>
        <v/>
      </c>
      <c r="BS193" t="str">
        <f>""</f>
        <v/>
      </c>
      <c r="BT193" t="str">
        <f>""</f>
        <v/>
      </c>
      <c r="BU193" t="str">
        <f>""</f>
        <v/>
      </c>
      <c r="BV193" t="str">
        <f>""</f>
        <v/>
      </c>
      <c r="BW193" t="str">
        <f>""</f>
        <v/>
      </c>
      <c r="BX193" t="str">
        <f>""</f>
        <v/>
      </c>
      <c r="BY193" t="str">
        <f>""</f>
        <v/>
      </c>
      <c r="BZ193" t="str">
        <f>""</f>
        <v/>
      </c>
      <c r="CA193" t="str">
        <f>""</f>
        <v/>
      </c>
      <c r="CB193" t="str">
        <f>""</f>
        <v/>
      </c>
      <c r="CC193" t="str">
        <f>""</f>
        <v/>
      </c>
      <c r="CD193" t="str">
        <f>""</f>
        <v/>
      </c>
      <c r="CE193" t="str">
        <f>""</f>
        <v/>
      </c>
      <c r="CF193" t="str">
        <f>""</f>
        <v/>
      </c>
      <c r="CG193" t="str">
        <f>""</f>
        <v/>
      </c>
      <c r="CH193" t="str">
        <f>""</f>
        <v/>
      </c>
      <c r="CI193" t="str">
        <f>""</f>
        <v/>
      </c>
      <c r="CJ193" t="str">
        <f>""</f>
        <v/>
      </c>
      <c r="CK193" t="str">
        <f>""</f>
        <v/>
      </c>
      <c r="CL193" t="str">
        <f>""</f>
        <v/>
      </c>
      <c r="CM193" t="str">
        <f>""</f>
        <v/>
      </c>
      <c r="CN193" t="str">
        <f>""</f>
        <v/>
      </c>
      <c r="CO193" t="str">
        <f>""</f>
        <v/>
      </c>
      <c r="CP193" t="str">
        <f>""</f>
        <v/>
      </c>
      <c r="CQ193" t="str">
        <f>""</f>
        <v/>
      </c>
      <c r="CR193" t="str">
        <f>""</f>
        <v/>
      </c>
      <c r="CS193" t="str">
        <f>""</f>
        <v/>
      </c>
      <c r="CT193" t="str">
        <f>""</f>
        <v/>
      </c>
      <c r="CU193" t="str">
        <f>""</f>
        <v/>
      </c>
      <c r="CV193" t="str">
        <f>""</f>
        <v/>
      </c>
      <c r="CW193" t="str">
        <f>""</f>
        <v/>
      </c>
      <c r="CX193" t="str">
        <f>""</f>
        <v/>
      </c>
      <c r="CY193" t="str">
        <f>""</f>
        <v/>
      </c>
      <c r="CZ193" t="str">
        <f>""</f>
        <v/>
      </c>
      <c r="DA193" t="str">
        <f>""</f>
        <v/>
      </c>
      <c r="DB193" t="str">
        <f>""</f>
        <v/>
      </c>
      <c r="DC193" t="str">
        <f>""</f>
        <v/>
      </c>
      <c r="DD193" t="str">
        <f>""</f>
        <v/>
      </c>
      <c r="DE193" t="str">
        <f>""</f>
        <v/>
      </c>
      <c r="DF193" t="str">
        <f>""</f>
        <v/>
      </c>
      <c r="DG193" t="str">
        <f>""</f>
        <v/>
      </c>
      <c r="DH193" t="str">
        <f>""</f>
        <v/>
      </c>
      <c r="DI193" t="str">
        <f>""</f>
        <v/>
      </c>
      <c r="DJ193" t="str">
        <f>""</f>
        <v/>
      </c>
      <c r="DK193" t="str">
        <f>""</f>
        <v/>
      </c>
      <c r="DL193" t="str">
        <f>""</f>
        <v/>
      </c>
      <c r="DM193" t="str">
        <f>""</f>
        <v/>
      </c>
      <c r="DN193" t="str">
        <f>""</f>
        <v/>
      </c>
      <c r="DO193" t="str">
        <f>""</f>
        <v/>
      </c>
      <c r="DP193" t="str">
        <f>""</f>
        <v/>
      </c>
      <c r="DQ193" t="str">
        <f>""</f>
        <v/>
      </c>
      <c r="DR193" t="str">
        <f>""</f>
        <v/>
      </c>
      <c r="DS193" t="str">
        <f>""</f>
        <v/>
      </c>
      <c r="DT193" t="str">
        <f>""</f>
        <v/>
      </c>
      <c r="DU193" t="str">
        <f>""</f>
        <v/>
      </c>
    </row>
    <row r="194" spans="2:125">
      <c r="B194" t="str">
        <f>"RECFTAMH Index"</f>
        <v>RECFTAMH Index</v>
      </c>
      <c r="C194" t="str">
        <f t="shared" si="52"/>
        <v>PR005</v>
      </c>
      <c r="D194" t="str">
        <f t="shared" si="53"/>
        <v>PX_LAST</v>
      </c>
      <c r="E194" t="str">
        <f t="shared" si="54"/>
        <v>动态</v>
      </c>
      <c r="F194" t="str">
        <f ca="1">BDH($B$194,$C$194,$B$181,$B$182,CONCATENATE("Per=",$B$179),"Dts=H","Dir=H",CONCATENATE("Points=",$B$180),"Sort=R","Days=A","Fill=B",CONCATENATE("FX=", $B$178) )</f>
        <v>#N/A Authorization</v>
      </c>
      <c r="BN194" t="str">
        <f>""</f>
        <v/>
      </c>
      <c r="BO194" t="str">
        <f>""</f>
        <v/>
      </c>
      <c r="BP194" t="str">
        <f>""</f>
        <v/>
      </c>
      <c r="BQ194" t="str">
        <f>""</f>
        <v/>
      </c>
      <c r="BR194" t="str">
        <f>""</f>
        <v/>
      </c>
      <c r="BS194" t="str">
        <f>""</f>
        <v/>
      </c>
      <c r="BT194" t="str">
        <f>""</f>
        <v/>
      </c>
      <c r="BU194" t="str">
        <f>""</f>
        <v/>
      </c>
      <c r="BV194" t="str">
        <f>""</f>
        <v/>
      </c>
      <c r="BW194" t="str">
        <f>""</f>
        <v/>
      </c>
      <c r="BX194" t="str">
        <f>""</f>
        <v/>
      </c>
      <c r="BY194" t="str">
        <f>""</f>
        <v/>
      </c>
      <c r="BZ194" t="str">
        <f>""</f>
        <v/>
      </c>
      <c r="CA194" t="str">
        <f>""</f>
        <v/>
      </c>
      <c r="CB194" t="str">
        <f>""</f>
        <v/>
      </c>
      <c r="CC194" t="str">
        <f>""</f>
        <v/>
      </c>
      <c r="CD194" t="str">
        <f>""</f>
        <v/>
      </c>
      <c r="CE194" t="str">
        <f>""</f>
        <v/>
      </c>
      <c r="CF194" t="str">
        <f>""</f>
        <v/>
      </c>
      <c r="CG194" t="str">
        <f>""</f>
        <v/>
      </c>
      <c r="CH194" t="str">
        <f>""</f>
        <v/>
      </c>
      <c r="CI194" t="str">
        <f>""</f>
        <v/>
      </c>
      <c r="CJ194" t="str">
        <f>""</f>
        <v/>
      </c>
      <c r="CK194" t="str">
        <f>""</f>
        <v/>
      </c>
      <c r="CL194" t="str">
        <f>""</f>
        <v/>
      </c>
      <c r="CM194" t="str">
        <f>""</f>
        <v/>
      </c>
      <c r="CN194" t="str">
        <f>""</f>
        <v/>
      </c>
      <c r="CO194" t="str">
        <f>""</f>
        <v/>
      </c>
      <c r="CP194" t="str">
        <f>""</f>
        <v/>
      </c>
      <c r="CQ194" t="str">
        <f>""</f>
        <v/>
      </c>
      <c r="CR194" t="str">
        <f>""</f>
        <v/>
      </c>
      <c r="CS194" t="str">
        <f>""</f>
        <v/>
      </c>
      <c r="CT194" t="str">
        <f>""</f>
        <v/>
      </c>
      <c r="CU194" t="str">
        <f>""</f>
        <v/>
      </c>
      <c r="CV194" t="str">
        <f>""</f>
        <v/>
      </c>
      <c r="CW194" t="str">
        <f>""</f>
        <v/>
      </c>
      <c r="CX194" t="str">
        <f>""</f>
        <v/>
      </c>
      <c r="CY194" t="str">
        <f>""</f>
        <v/>
      </c>
      <c r="CZ194" t="str">
        <f>""</f>
        <v/>
      </c>
      <c r="DA194" t="str">
        <f>""</f>
        <v/>
      </c>
      <c r="DB194" t="str">
        <f>""</f>
        <v/>
      </c>
      <c r="DC194" t="str">
        <f>""</f>
        <v/>
      </c>
      <c r="DD194" t="str">
        <f>""</f>
        <v/>
      </c>
      <c r="DE194" t="str">
        <f>""</f>
        <v/>
      </c>
      <c r="DF194" t="str">
        <f>""</f>
        <v/>
      </c>
      <c r="DG194" t="str">
        <f>""</f>
        <v/>
      </c>
      <c r="DH194" t="str">
        <f>""</f>
        <v/>
      </c>
      <c r="DI194" t="str">
        <f>""</f>
        <v/>
      </c>
      <c r="DJ194" t="str">
        <f>""</f>
        <v/>
      </c>
      <c r="DK194" t="str">
        <f>""</f>
        <v/>
      </c>
      <c r="DL194" t="str">
        <f>""</f>
        <v/>
      </c>
      <c r="DM194" t="str">
        <f>""</f>
        <v/>
      </c>
      <c r="DN194" t="str">
        <f>""</f>
        <v/>
      </c>
      <c r="DO194" t="str">
        <f>""</f>
        <v/>
      </c>
      <c r="DP194" t="str">
        <f>""</f>
        <v/>
      </c>
      <c r="DQ194" t="str">
        <f>""</f>
        <v/>
      </c>
      <c r="DR194" t="str">
        <f>""</f>
        <v/>
      </c>
      <c r="DS194" t="str">
        <f>""</f>
        <v/>
      </c>
      <c r="DT194" t="str">
        <f>""</f>
        <v/>
      </c>
      <c r="DU194" t="str">
        <f>""</f>
        <v/>
      </c>
    </row>
    <row r="195" spans="2:125">
      <c r="B195" t="str">
        <f>"RECFTASF Index"</f>
        <v>RECFTASF Index</v>
      </c>
      <c r="C195" t="str">
        <f t="shared" si="52"/>
        <v>PR005</v>
      </c>
      <c r="D195" t="str">
        <f t="shared" si="53"/>
        <v>PX_LAST</v>
      </c>
      <c r="E195" t="str">
        <f t="shared" si="54"/>
        <v>动态</v>
      </c>
      <c r="F195" t="str">
        <f ca="1">BDH($B$195,$C$195,$B$181,$B$182,CONCATENATE("Per=",$B$179),"Dts=H","Dir=H",CONCATENATE("Points=",$B$180),"Sort=R","Days=A","Fill=B",CONCATENATE("FX=", $B$178) )</f>
        <v>#N/A Authorization</v>
      </c>
      <c r="BN195" t="str">
        <f>""</f>
        <v/>
      </c>
      <c r="BO195" t="str">
        <f>""</f>
        <v/>
      </c>
      <c r="BP195" t="str">
        <f>""</f>
        <v/>
      </c>
      <c r="BQ195" t="str">
        <f>""</f>
        <v/>
      </c>
      <c r="BR195" t="str">
        <f>""</f>
        <v/>
      </c>
      <c r="BS195" t="str">
        <f>""</f>
        <v/>
      </c>
      <c r="BT195" t="str">
        <f>""</f>
        <v/>
      </c>
      <c r="BU195" t="str">
        <f>""</f>
        <v/>
      </c>
      <c r="BV195" t="str">
        <f>""</f>
        <v/>
      </c>
      <c r="BW195" t="str">
        <f>""</f>
        <v/>
      </c>
      <c r="BX195" t="str">
        <f>""</f>
        <v/>
      </c>
      <c r="BY195" t="str">
        <f>""</f>
        <v/>
      </c>
      <c r="BZ195" t="str">
        <f>""</f>
        <v/>
      </c>
      <c r="CA195" t="str">
        <f>""</f>
        <v/>
      </c>
      <c r="CB195" t="str">
        <f>""</f>
        <v/>
      </c>
      <c r="CC195" t="str">
        <f>""</f>
        <v/>
      </c>
      <c r="CD195" t="str">
        <f>""</f>
        <v/>
      </c>
      <c r="CE195" t="str">
        <f>""</f>
        <v/>
      </c>
      <c r="CF195" t="str">
        <f>""</f>
        <v/>
      </c>
      <c r="CG195" t="str">
        <f>""</f>
        <v/>
      </c>
      <c r="CH195" t="str">
        <f>""</f>
        <v/>
      </c>
      <c r="CI195" t="str">
        <f>""</f>
        <v/>
      </c>
      <c r="CJ195" t="str">
        <f>""</f>
        <v/>
      </c>
      <c r="CK195" t="str">
        <f>""</f>
        <v/>
      </c>
      <c r="CL195" t="str">
        <f>""</f>
        <v/>
      </c>
      <c r="CM195" t="str">
        <f>""</f>
        <v/>
      </c>
      <c r="CN195" t="str">
        <f>""</f>
        <v/>
      </c>
      <c r="CO195" t="str">
        <f>""</f>
        <v/>
      </c>
      <c r="CP195" t="str">
        <f>""</f>
        <v/>
      </c>
      <c r="CQ195" t="str">
        <f>""</f>
        <v/>
      </c>
      <c r="CR195" t="str">
        <f>""</f>
        <v/>
      </c>
      <c r="CS195" t="str">
        <f>""</f>
        <v/>
      </c>
      <c r="CT195" t="str">
        <f>""</f>
        <v/>
      </c>
      <c r="CU195" t="str">
        <f>""</f>
        <v/>
      </c>
      <c r="CV195" t="str">
        <f>""</f>
        <v/>
      </c>
      <c r="CW195" t="str">
        <f>""</f>
        <v/>
      </c>
      <c r="CX195" t="str">
        <f>""</f>
        <v/>
      </c>
      <c r="CY195" t="str">
        <f>""</f>
        <v/>
      </c>
      <c r="CZ195" t="str">
        <f>""</f>
        <v/>
      </c>
      <c r="DA195" t="str">
        <f>""</f>
        <v/>
      </c>
      <c r="DB195" t="str">
        <f>""</f>
        <v/>
      </c>
      <c r="DC195" t="str">
        <f>""</f>
        <v/>
      </c>
      <c r="DD195" t="str">
        <f>""</f>
        <v/>
      </c>
      <c r="DE195" t="str">
        <f>""</f>
        <v/>
      </c>
      <c r="DF195" t="str">
        <f>""</f>
        <v/>
      </c>
      <c r="DG195" t="str">
        <f>""</f>
        <v/>
      </c>
      <c r="DH195" t="str">
        <f>""</f>
        <v/>
      </c>
      <c r="DI195" t="str">
        <f>""</f>
        <v/>
      </c>
      <c r="DJ195" t="str">
        <f>""</f>
        <v/>
      </c>
      <c r="DK195" t="str">
        <f>""</f>
        <v/>
      </c>
      <c r="DL195" t="str">
        <f>""</f>
        <v/>
      </c>
      <c r="DM195" t="str">
        <f>""</f>
        <v/>
      </c>
      <c r="DN195" t="str">
        <f>""</f>
        <v/>
      </c>
      <c r="DO195" t="str">
        <f>""</f>
        <v/>
      </c>
      <c r="DP195" t="str">
        <f>""</f>
        <v/>
      </c>
      <c r="DQ195" t="str">
        <f>""</f>
        <v/>
      </c>
      <c r="DR195" t="str">
        <f>""</f>
        <v/>
      </c>
      <c r="DS195" t="str">
        <f>""</f>
        <v/>
      </c>
      <c r="DT195" t="str">
        <f>""</f>
        <v/>
      </c>
      <c r="DU195" t="str">
        <f>""</f>
        <v/>
      </c>
    </row>
    <row r="196" spans="2:125">
      <c r="B196" t="str">
        <f>"RECFTADV Index"</f>
        <v>RECFTADV Index</v>
      </c>
      <c r="C196" t="str">
        <f t="shared" si="52"/>
        <v>PR005</v>
      </c>
      <c r="D196" t="str">
        <f t="shared" si="53"/>
        <v>PX_LAST</v>
      </c>
      <c r="E196" t="str">
        <f t="shared" si="54"/>
        <v>动态</v>
      </c>
      <c r="F196" t="str">
        <f ca="1">BDH($B$196,$C$196,$B$181,$B$182,CONCATENATE("Per=",$B$179),"Dts=H","Dir=H",CONCATENATE("Points=",$B$180),"Sort=R","Days=A","Fill=B",CONCATENATE("FX=", $B$178) )</f>
        <v>#N/A Authorization</v>
      </c>
      <c r="BN196" t="str">
        <f>""</f>
        <v/>
      </c>
      <c r="BO196" t="str">
        <f>""</f>
        <v/>
      </c>
      <c r="BP196" t="str">
        <f>""</f>
        <v/>
      </c>
      <c r="BQ196" t="str">
        <f>""</f>
        <v/>
      </c>
      <c r="BR196" t="str">
        <f>""</f>
        <v/>
      </c>
      <c r="BS196" t="str">
        <f>""</f>
        <v/>
      </c>
      <c r="BT196" t="str">
        <f>""</f>
        <v/>
      </c>
      <c r="BU196" t="str">
        <f>""</f>
        <v/>
      </c>
      <c r="BV196" t="str">
        <f>""</f>
        <v/>
      </c>
      <c r="BW196" t="str">
        <f>""</f>
        <v/>
      </c>
      <c r="BX196" t="str">
        <f>""</f>
        <v/>
      </c>
      <c r="BY196" t="str">
        <f>""</f>
        <v/>
      </c>
      <c r="BZ196" t="str">
        <f>""</f>
        <v/>
      </c>
      <c r="CA196" t="str">
        <f>""</f>
        <v/>
      </c>
      <c r="CB196" t="str">
        <f>""</f>
        <v/>
      </c>
      <c r="CC196" t="str">
        <f>""</f>
        <v/>
      </c>
      <c r="CD196" t="str">
        <f>""</f>
        <v/>
      </c>
      <c r="CE196" t="str">
        <f>""</f>
        <v/>
      </c>
      <c r="CF196" t="str">
        <f>""</f>
        <v/>
      </c>
      <c r="CG196" t="str">
        <f>""</f>
        <v/>
      </c>
      <c r="CH196" t="str">
        <f>""</f>
        <v/>
      </c>
      <c r="CI196" t="str">
        <f>""</f>
        <v/>
      </c>
      <c r="CJ196" t="str">
        <f>""</f>
        <v/>
      </c>
      <c r="CK196" t="str">
        <f>""</f>
        <v/>
      </c>
      <c r="CL196" t="str">
        <f>""</f>
        <v/>
      </c>
      <c r="CM196" t="str">
        <f>""</f>
        <v/>
      </c>
      <c r="CN196" t="str">
        <f>""</f>
        <v/>
      </c>
      <c r="CO196" t="str">
        <f>""</f>
        <v/>
      </c>
      <c r="CP196" t="str">
        <f>""</f>
        <v/>
      </c>
      <c r="CQ196" t="str">
        <f>""</f>
        <v/>
      </c>
      <c r="CR196" t="str">
        <f>""</f>
        <v/>
      </c>
      <c r="CS196" t="str">
        <f>""</f>
        <v/>
      </c>
      <c r="CT196" t="str">
        <f>""</f>
        <v/>
      </c>
      <c r="CU196" t="str">
        <f>""</f>
        <v/>
      </c>
      <c r="CV196" t="str">
        <f>""</f>
        <v/>
      </c>
      <c r="CW196" t="str">
        <f>""</f>
        <v/>
      </c>
      <c r="CX196" t="str">
        <f>""</f>
        <v/>
      </c>
      <c r="CY196" t="str">
        <f>""</f>
        <v/>
      </c>
      <c r="CZ196" t="str">
        <f>""</f>
        <v/>
      </c>
      <c r="DA196" t="str">
        <f>""</f>
        <v/>
      </c>
      <c r="DB196" t="str">
        <f>""</f>
        <v/>
      </c>
      <c r="DC196" t="str">
        <f>""</f>
        <v/>
      </c>
      <c r="DD196" t="str">
        <f>""</f>
        <v/>
      </c>
      <c r="DE196" t="str">
        <f>""</f>
        <v/>
      </c>
      <c r="DF196" t="str">
        <f>""</f>
        <v/>
      </c>
      <c r="DG196" t="str">
        <f>""</f>
        <v/>
      </c>
      <c r="DH196" t="str">
        <f>""</f>
        <v/>
      </c>
      <c r="DI196" t="str">
        <f>""</f>
        <v/>
      </c>
      <c r="DJ196" t="str">
        <f>""</f>
        <v/>
      </c>
      <c r="DK196" t="str">
        <f>""</f>
        <v/>
      </c>
      <c r="DL196" t="str">
        <f>""</f>
        <v/>
      </c>
      <c r="DM196" t="str">
        <f>""</f>
        <v/>
      </c>
      <c r="DN196" t="str">
        <f>""</f>
        <v/>
      </c>
      <c r="DO196" t="str">
        <f>""</f>
        <v/>
      </c>
      <c r="DP196" t="str">
        <f>""</f>
        <v/>
      </c>
      <c r="DQ196" t="str">
        <f>""</f>
        <v/>
      </c>
      <c r="DR196" t="str">
        <f>""</f>
        <v/>
      </c>
      <c r="DS196" t="str">
        <f>""</f>
        <v/>
      </c>
      <c r="DT196" t="str">
        <f>""</f>
        <v/>
      </c>
      <c r="DU196" t="str">
        <f>""</f>
        <v/>
      </c>
    </row>
    <row r="197" spans="2:125">
      <c r="B197" t="str">
        <f>"RECFTALR Index"</f>
        <v>RECFTALR Index</v>
      </c>
      <c r="C197" t="str">
        <f t="shared" si="52"/>
        <v>PR005</v>
      </c>
      <c r="D197" t="str">
        <f t="shared" si="53"/>
        <v>PX_LAST</v>
      </c>
      <c r="E197" t="str">
        <f t="shared" si="54"/>
        <v>动态</v>
      </c>
      <c r="F197" t="str">
        <f ca="1">BDH($B$197,$C$197,$B$181,$B$182,CONCATENATE("Per=",$B$179),"Dts=H","Dir=H",CONCATENATE("Points=",$B$180),"Sort=R","Days=A","Fill=B",CONCATENATE("FX=", $B$178) )</f>
        <v>#N/A Authorization</v>
      </c>
      <c r="BN197" t="str">
        <f>""</f>
        <v/>
      </c>
      <c r="BO197" t="str">
        <f>""</f>
        <v/>
      </c>
      <c r="BP197" t="str">
        <f>""</f>
        <v/>
      </c>
      <c r="BQ197" t="str">
        <f>""</f>
        <v/>
      </c>
      <c r="BR197" t="str">
        <f>""</f>
        <v/>
      </c>
      <c r="BS197" t="str">
        <f>""</f>
        <v/>
      </c>
      <c r="BT197" t="str">
        <f>""</f>
        <v/>
      </c>
      <c r="BU197" t="str">
        <f>""</f>
        <v/>
      </c>
      <c r="BV197" t="str">
        <f>""</f>
        <v/>
      </c>
      <c r="BW197" t="str">
        <f>""</f>
        <v/>
      </c>
      <c r="BX197" t="str">
        <f>""</f>
        <v/>
      </c>
      <c r="BY197" t="str">
        <f>""</f>
        <v/>
      </c>
      <c r="BZ197" t="str">
        <f>""</f>
        <v/>
      </c>
      <c r="CA197" t="str">
        <f>""</f>
        <v/>
      </c>
      <c r="CB197" t="str">
        <f>""</f>
        <v/>
      </c>
      <c r="CC197" t="str">
        <f>""</f>
        <v/>
      </c>
      <c r="CD197" t="str">
        <f>""</f>
        <v/>
      </c>
      <c r="CE197" t="str">
        <f>""</f>
        <v/>
      </c>
      <c r="CF197" t="str">
        <f>""</f>
        <v/>
      </c>
      <c r="CG197" t="str">
        <f>""</f>
        <v/>
      </c>
      <c r="CH197" t="str">
        <f>""</f>
        <v/>
      </c>
      <c r="CI197" t="str">
        <f>""</f>
        <v/>
      </c>
      <c r="CJ197" t="str">
        <f>""</f>
        <v/>
      </c>
      <c r="CK197" t="str">
        <f>""</f>
        <v/>
      </c>
      <c r="CL197" t="str">
        <f>""</f>
        <v/>
      </c>
      <c r="CM197" t="str">
        <f>""</f>
        <v/>
      </c>
      <c r="CN197" t="str">
        <f>""</f>
        <v/>
      </c>
      <c r="CO197" t="str">
        <f>""</f>
        <v/>
      </c>
      <c r="CP197" t="str">
        <f>""</f>
        <v/>
      </c>
      <c r="CQ197" t="str">
        <f>""</f>
        <v/>
      </c>
      <c r="CR197" t="str">
        <f>""</f>
        <v/>
      </c>
      <c r="CS197" t="str">
        <f>""</f>
        <v/>
      </c>
      <c r="CT197" t="str">
        <f>""</f>
        <v/>
      </c>
      <c r="CU197" t="str">
        <f>""</f>
        <v/>
      </c>
      <c r="CV197" t="str">
        <f>""</f>
        <v/>
      </c>
      <c r="CW197" t="str">
        <f>""</f>
        <v/>
      </c>
      <c r="CX197" t="str">
        <f>""</f>
        <v/>
      </c>
      <c r="CY197" t="str">
        <f>""</f>
        <v/>
      </c>
      <c r="CZ197" t="str">
        <f>""</f>
        <v/>
      </c>
      <c r="DA197" t="str">
        <f>""</f>
        <v/>
      </c>
      <c r="DB197" t="str">
        <f>""</f>
        <v/>
      </c>
      <c r="DC197" t="str">
        <f>""</f>
        <v/>
      </c>
      <c r="DD197" t="str">
        <f>""</f>
        <v/>
      </c>
      <c r="DE197" t="str">
        <f>""</f>
        <v/>
      </c>
      <c r="DF197" t="str">
        <f>""</f>
        <v/>
      </c>
      <c r="DG197" t="str">
        <f>""</f>
        <v/>
      </c>
      <c r="DH197" t="str">
        <f>""</f>
        <v/>
      </c>
      <c r="DI197" t="str">
        <f>""</f>
        <v/>
      </c>
      <c r="DJ197" t="str">
        <f>""</f>
        <v/>
      </c>
      <c r="DK197" t="str">
        <f>""</f>
        <v/>
      </c>
      <c r="DL197" t="str">
        <f>""</f>
        <v/>
      </c>
      <c r="DM197" t="str">
        <f>""</f>
        <v/>
      </c>
      <c r="DN197" t="str">
        <f>""</f>
        <v/>
      </c>
      <c r="DO197" t="str">
        <f>""</f>
        <v/>
      </c>
      <c r="DP197" t="str">
        <f>""</f>
        <v/>
      </c>
      <c r="DQ197" t="str">
        <f>""</f>
        <v/>
      </c>
      <c r="DR197" t="str">
        <f>""</f>
        <v/>
      </c>
      <c r="DS197" t="str">
        <f>""</f>
        <v/>
      </c>
      <c r="DT197" t="str">
        <f>""</f>
        <v/>
      </c>
      <c r="DU197" t="str">
        <f>""</f>
        <v/>
      </c>
    </row>
    <row r="198" spans="2:125">
      <c r="B198" t="str">
        <f>"RECFTASS Index"</f>
        <v>RECFTASS Index</v>
      </c>
      <c r="C198" t="str">
        <f t="shared" si="52"/>
        <v>PR005</v>
      </c>
      <c r="D198" t="str">
        <f t="shared" si="53"/>
        <v>PX_LAST</v>
      </c>
      <c r="E198" t="str">
        <f t="shared" si="54"/>
        <v>动态</v>
      </c>
      <c r="F198" t="str">
        <f ca="1">BDH($B$198,$C$198,$B$181,$B$182,CONCATENATE("Per=",$B$179),"Dts=H","Dir=H",CONCATENATE("Points=",$B$180),"Sort=R","Days=A","Fill=B",CONCATENATE("FX=", $B$178) )</f>
        <v>#N/A Authorization</v>
      </c>
      <c r="BN198" t="str">
        <f>""</f>
        <v/>
      </c>
      <c r="BO198" t="str">
        <f>""</f>
        <v/>
      </c>
      <c r="BP198" t="str">
        <f>""</f>
        <v/>
      </c>
      <c r="BQ198" t="str">
        <f>""</f>
        <v/>
      </c>
      <c r="BR198" t="str">
        <f>""</f>
        <v/>
      </c>
      <c r="BS198" t="str">
        <f>""</f>
        <v/>
      </c>
      <c r="BT198" t="str">
        <f>""</f>
        <v/>
      </c>
      <c r="BU198" t="str">
        <f>""</f>
        <v/>
      </c>
      <c r="BV198" t="str">
        <f>""</f>
        <v/>
      </c>
      <c r="BW198" t="str">
        <f>""</f>
        <v/>
      </c>
      <c r="BX198" t="str">
        <f>""</f>
        <v/>
      </c>
      <c r="BY198" t="str">
        <f>""</f>
        <v/>
      </c>
      <c r="BZ198" t="str">
        <f>""</f>
        <v/>
      </c>
      <c r="CA198" t="str">
        <f>""</f>
        <v/>
      </c>
      <c r="CB198" t="str">
        <f>""</f>
        <v/>
      </c>
      <c r="CC198" t="str">
        <f>""</f>
        <v/>
      </c>
      <c r="CD198" t="str">
        <f>""</f>
        <v/>
      </c>
      <c r="CE198" t="str">
        <f>""</f>
        <v/>
      </c>
      <c r="CF198" t="str">
        <f>""</f>
        <v/>
      </c>
      <c r="CG198" t="str">
        <f>""</f>
        <v/>
      </c>
      <c r="CH198" t="str">
        <f>""</f>
        <v/>
      </c>
      <c r="CI198" t="str">
        <f>""</f>
        <v/>
      </c>
      <c r="CJ198" t="str">
        <f>""</f>
        <v/>
      </c>
      <c r="CK198" t="str">
        <f>""</f>
        <v/>
      </c>
      <c r="CL198" t="str">
        <f>""</f>
        <v/>
      </c>
      <c r="CM198" t="str">
        <f>""</f>
        <v/>
      </c>
      <c r="CN198" t="str">
        <f>""</f>
        <v/>
      </c>
      <c r="CO198" t="str">
        <f>""</f>
        <v/>
      </c>
      <c r="CP198" t="str">
        <f>""</f>
        <v/>
      </c>
      <c r="CQ198" t="str">
        <f>""</f>
        <v/>
      </c>
      <c r="CR198" t="str">
        <f>""</f>
        <v/>
      </c>
      <c r="CS198" t="str">
        <f>""</f>
        <v/>
      </c>
      <c r="CT198" t="str">
        <f>""</f>
        <v/>
      </c>
      <c r="CU198" t="str">
        <f>""</f>
        <v/>
      </c>
      <c r="CV198" t="str">
        <f>""</f>
        <v/>
      </c>
      <c r="CW198" t="str">
        <f>""</f>
        <v/>
      </c>
      <c r="CX198" t="str">
        <f>""</f>
        <v/>
      </c>
      <c r="CY198" t="str">
        <f>""</f>
        <v/>
      </c>
      <c r="CZ198" t="str">
        <f>""</f>
        <v/>
      </c>
      <c r="DA198" t="str">
        <f>""</f>
        <v/>
      </c>
      <c r="DB198" t="str">
        <f>""</f>
        <v/>
      </c>
      <c r="DC198" t="str">
        <f>""</f>
        <v/>
      </c>
      <c r="DD198" t="str">
        <f>""</f>
        <v/>
      </c>
      <c r="DE198" t="str">
        <f>""</f>
        <v/>
      </c>
      <c r="DF198" t="str">
        <f>""</f>
        <v/>
      </c>
      <c r="DG198" t="str">
        <f>""</f>
        <v/>
      </c>
      <c r="DH198" t="str">
        <f>""</f>
        <v/>
      </c>
      <c r="DI198" t="str">
        <f>""</f>
        <v/>
      </c>
      <c r="DJ198" t="str">
        <f>""</f>
        <v/>
      </c>
      <c r="DK198" t="str">
        <f>""</f>
        <v/>
      </c>
      <c r="DL198" t="str">
        <f>""</f>
        <v/>
      </c>
      <c r="DM198" t="str">
        <f>""</f>
        <v/>
      </c>
      <c r="DN198" t="str">
        <f>""</f>
        <v/>
      </c>
      <c r="DO198" t="str">
        <f>""</f>
        <v/>
      </c>
      <c r="DP198" t="str">
        <f>""</f>
        <v/>
      </c>
      <c r="DQ198" t="str">
        <f>""</f>
        <v/>
      </c>
      <c r="DR198" t="str">
        <f>""</f>
        <v/>
      </c>
      <c r="DS198" t="str">
        <f>""</f>
        <v/>
      </c>
      <c r="DT198" t="str">
        <f>""</f>
        <v/>
      </c>
      <c r="DU198" t="str">
        <f>""</f>
        <v/>
      </c>
    </row>
    <row r="199" spans="2:125">
      <c r="B199" t="str">
        <f>"RECFTAHC Index"</f>
        <v>RECFTAHC Index</v>
      </c>
      <c r="C199" t="str">
        <f t="shared" si="52"/>
        <v>PR005</v>
      </c>
      <c r="D199" t="str">
        <f t="shared" si="53"/>
        <v>PX_LAST</v>
      </c>
      <c r="E199" t="str">
        <f t="shared" si="54"/>
        <v>动态</v>
      </c>
      <c r="F199" t="str">
        <f ca="1">BDH($B$199,$C$199,$B$181,$B$182,CONCATENATE("Per=",$B$179),"Dts=H","Dir=H",CONCATENATE("Points=",$B$180),"Sort=R","Days=A","Fill=B",CONCATENATE("FX=", $B$178) )</f>
        <v>#N/A Authorization</v>
      </c>
      <c r="BN199" t="str">
        <f>""</f>
        <v/>
      </c>
      <c r="BO199" t="str">
        <f>""</f>
        <v/>
      </c>
      <c r="BP199" t="str">
        <f>""</f>
        <v/>
      </c>
      <c r="BQ199" t="str">
        <f>""</f>
        <v/>
      </c>
      <c r="BR199" t="str">
        <f>""</f>
        <v/>
      </c>
      <c r="BS199" t="str">
        <f>""</f>
        <v/>
      </c>
      <c r="BT199" t="str">
        <f>""</f>
        <v/>
      </c>
      <c r="BU199" t="str">
        <f>""</f>
        <v/>
      </c>
      <c r="BV199" t="str">
        <f>""</f>
        <v/>
      </c>
      <c r="BW199" t="str">
        <f>""</f>
        <v/>
      </c>
      <c r="BX199" t="str">
        <f>""</f>
        <v/>
      </c>
      <c r="BY199" t="str">
        <f>""</f>
        <v/>
      </c>
      <c r="BZ199" t="str">
        <f>""</f>
        <v/>
      </c>
      <c r="CA199" t="str">
        <f>""</f>
        <v/>
      </c>
      <c r="CB199" t="str">
        <f>""</f>
        <v/>
      </c>
      <c r="CC199" t="str">
        <f>""</f>
        <v/>
      </c>
      <c r="CD199" t="str">
        <f>""</f>
        <v/>
      </c>
      <c r="CE199" t="str">
        <f>""</f>
        <v/>
      </c>
      <c r="CF199" t="str">
        <f>""</f>
        <v/>
      </c>
      <c r="CG199" t="str">
        <f>""</f>
        <v/>
      </c>
      <c r="CH199" t="str">
        <f>""</f>
        <v/>
      </c>
      <c r="CI199" t="str">
        <f>""</f>
        <v/>
      </c>
      <c r="CJ199" t="str">
        <f>""</f>
        <v/>
      </c>
      <c r="CK199" t="str">
        <f>""</f>
        <v/>
      </c>
      <c r="CL199" t="str">
        <f>""</f>
        <v/>
      </c>
      <c r="CM199" t="str">
        <f>""</f>
        <v/>
      </c>
      <c r="CN199" t="str">
        <f>""</f>
        <v/>
      </c>
      <c r="CO199" t="str">
        <f>""</f>
        <v/>
      </c>
      <c r="CP199" t="str">
        <f>""</f>
        <v/>
      </c>
      <c r="CQ199" t="str">
        <f>""</f>
        <v/>
      </c>
      <c r="CR199" t="str">
        <f>""</f>
        <v/>
      </c>
      <c r="CS199" t="str">
        <f>""</f>
        <v/>
      </c>
      <c r="CT199" t="str">
        <f>""</f>
        <v/>
      </c>
      <c r="CU199" t="str">
        <f>""</f>
        <v/>
      </c>
      <c r="CV199" t="str">
        <f>""</f>
        <v/>
      </c>
      <c r="CW199" t="str">
        <f>""</f>
        <v/>
      </c>
      <c r="CX199" t="str">
        <f>""</f>
        <v/>
      </c>
      <c r="CY199" t="str">
        <f>""</f>
        <v/>
      </c>
      <c r="CZ199" t="str">
        <f>""</f>
        <v/>
      </c>
      <c r="DA199" t="str">
        <f>""</f>
        <v/>
      </c>
      <c r="DB199" t="str">
        <f>""</f>
        <v/>
      </c>
      <c r="DC199" t="str">
        <f>""</f>
        <v/>
      </c>
      <c r="DD199" t="str">
        <f>""</f>
        <v/>
      </c>
      <c r="DE199" t="str">
        <f>""</f>
        <v/>
      </c>
      <c r="DF199" t="str">
        <f>""</f>
        <v/>
      </c>
      <c r="DG199" t="str">
        <f>""</f>
        <v/>
      </c>
      <c r="DH199" t="str">
        <f>""</f>
        <v/>
      </c>
      <c r="DI199" t="str">
        <f>""</f>
        <v/>
      </c>
      <c r="DJ199" t="str">
        <f>""</f>
        <v/>
      </c>
      <c r="DK199" t="str">
        <f>""</f>
        <v/>
      </c>
      <c r="DL199" t="str">
        <f>""</f>
        <v/>
      </c>
      <c r="DM199" t="str">
        <f>""</f>
        <v/>
      </c>
      <c r="DN199" t="str">
        <f>""</f>
        <v/>
      </c>
      <c r="DO199" t="str">
        <f>""</f>
        <v/>
      </c>
      <c r="DP199" t="str">
        <f>""</f>
        <v/>
      </c>
      <c r="DQ199" t="str">
        <f>""</f>
        <v/>
      </c>
      <c r="DR199" t="str">
        <f>""</f>
        <v/>
      </c>
      <c r="DS199" t="str">
        <f>""</f>
        <v/>
      </c>
      <c r="DT199" t="str">
        <f>""</f>
        <v/>
      </c>
      <c r="DU199" t="str">
        <f>""</f>
        <v/>
      </c>
    </row>
    <row r="200" spans="2:125">
      <c r="B200" t="str">
        <f>"RECFTATR Index"</f>
        <v>RECFTATR Index</v>
      </c>
      <c r="C200" t="str">
        <f t="shared" si="52"/>
        <v>PR005</v>
      </c>
      <c r="D200" t="str">
        <f t="shared" si="53"/>
        <v>PX_LAST</v>
      </c>
      <c r="E200" t="str">
        <f t="shared" si="54"/>
        <v>动态</v>
      </c>
      <c r="F200" t="str">
        <f ca="1">BDH($B$200,$C$200,$B$181,$B$182,CONCATENATE("Per=",$B$179),"Dts=H","Dir=H",CONCATENATE("Points=",$B$180),"Sort=R","Days=A","Fill=B",CONCATENATE("FX=", $B$178) )</f>
        <v>#N/A Authorization</v>
      </c>
      <c r="BN200" t="str">
        <f>""</f>
        <v/>
      </c>
      <c r="BO200" t="str">
        <f>""</f>
        <v/>
      </c>
      <c r="BP200" t="str">
        <f>""</f>
        <v/>
      </c>
      <c r="BQ200" t="str">
        <f>""</f>
        <v/>
      </c>
      <c r="BR200" t="str">
        <f>""</f>
        <v/>
      </c>
      <c r="BS200" t="str">
        <f>""</f>
        <v/>
      </c>
      <c r="BT200" t="str">
        <f>""</f>
        <v/>
      </c>
      <c r="BU200" t="str">
        <f>""</f>
        <v/>
      </c>
      <c r="BV200" t="str">
        <f>""</f>
        <v/>
      </c>
      <c r="BW200" t="str">
        <f>""</f>
        <v/>
      </c>
      <c r="BX200" t="str">
        <f>""</f>
        <v/>
      </c>
      <c r="BY200" t="str">
        <f>""</f>
        <v/>
      </c>
      <c r="BZ200" t="str">
        <f>""</f>
        <v/>
      </c>
      <c r="CA200" t="str">
        <f>""</f>
        <v/>
      </c>
      <c r="CB200" t="str">
        <f>""</f>
        <v/>
      </c>
      <c r="CC200" t="str">
        <f>""</f>
        <v/>
      </c>
      <c r="CD200" t="str">
        <f>""</f>
        <v/>
      </c>
      <c r="CE200" t="str">
        <f>""</f>
        <v/>
      </c>
      <c r="CF200" t="str">
        <f>""</f>
        <v/>
      </c>
      <c r="CG200" t="str">
        <f>""</f>
        <v/>
      </c>
      <c r="CH200" t="str">
        <f>""</f>
        <v/>
      </c>
      <c r="CI200" t="str">
        <f>""</f>
        <v/>
      </c>
      <c r="CJ200" t="str">
        <f>""</f>
        <v/>
      </c>
      <c r="CK200" t="str">
        <f>""</f>
        <v/>
      </c>
      <c r="CL200" t="str">
        <f>""</f>
        <v/>
      </c>
      <c r="CM200" t="str">
        <f>""</f>
        <v/>
      </c>
      <c r="CN200" t="str">
        <f>""</f>
        <v/>
      </c>
      <c r="CO200" t="str">
        <f>""</f>
        <v/>
      </c>
      <c r="CP200" t="str">
        <f>""</f>
        <v/>
      </c>
      <c r="CQ200" t="str">
        <f>""</f>
        <v/>
      </c>
      <c r="CR200" t="str">
        <f>""</f>
        <v/>
      </c>
      <c r="CS200" t="str">
        <f>""</f>
        <v/>
      </c>
      <c r="CT200" t="str">
        <f>""</f>
        <v/>
      </c>
      <c r="CU200" t="str">
        <f>""</f>
        <v/>
      </c>
      <c r="CV200" t="str">
        <f>""</f>
        <v/>
      </c>
      <c r="CW200" t="str">
        <f>""</f>
        <v/>
      </c>
      <c r="CX200" t="str">
        <f>""</f>
        <v/>
      </c>
      <c r="CY200" t="str">
        <f>""</f>
        <v/>
      </c>
      <c r="CZ200" t="str">
        <f>""</f>
        <v/>
      </c>
      <c r="DA200" t="str">
        <f>""</f>
        <v/>
      </c>
      <c r="DB200" t="str">
        <f>""</f>
        <v/>
      </c>
      <c r="DC200" t="str">
        <f>""</f>
        <v/>
      </c>
      <c r="DD200" t="str">
        <f>""</f>
        <v/>
      </c>
      <c r="DE200" t="str">
        <f>""</f>
        <v/>
      </c>
      <c r="DF200" t="str">
        <f>""</f>
        <v/>
      </c>
      <c r="DG200" t="str">
        <f>""</f>
        <v/>
      </c>
      <c r="DH200" t="str">
        <f>""</f>
        <v/>
      </c>
      <c r="DI200" t="str">
        <f>""</f>
        <v/>
      </c>
      <c r="DJ200" t="str">
        <f>""</f>
        <v/>
      </c>
      <c r="DK200" t="str">
        <f>""</f>
        <v/>
      </c>
      <c r="DL200" t="str">
        <f>""</f>
        <v/>
      </c>
      <c r="DM200" t="str">
        <f>""</f>
        <v/>
      </c>
      <c r="DN200" t="str">
        <f>""</f>
        <v/>
      </c>
      <c r="DO200" t="str">
        <f>""</f>
        <v/>
      </c>
      <c r="DP200" t="str">
        <f>""</f>
        <v/>
      </c>
      <c r="DQ200" t="str">
        <f>""</f>
        <v/>
      </c>
      <c r="DR200" t="str">
        <f>""</f>
        <v/>
      </c>
      <c r="DS200" t="str">
        <f>""</f>
        <v/>
      </c>
      <c r="DT200" t="str">
        <f>""</f>
        <v/>
      </c>
      <c r="DU200" t="str">
        <f>""</f>
        <v/>
      </c>
    </row>
    <row r="201" spans="2:125">
      <c r="B201" t="str">
        <f>"RECFTADC Index"</f>
        <v>RECFTADC Index</v>
      </c>
      <c r="C201" t="str">
        <f t="shared" si="52"/>
        <v>PR005</v>
      </c>
      <c r="D201" t="str">
        <f t="shared" si="53"/>
        <v>PX_LAST</v>
      </c>
      <c r="E201" t="str">
        <f t="shared" si="54"/>
        <v>动态</v>
      </c>
      <c r="F201" t="str">
        <f ca="1">BDH($B$201,$C$201,$B$181,$B$182,CONCATENATE("Per=",$B$179),"Dts=H","Dir=H",CONCATENATE("Points=",$B$180),"Sort=R","Days=A","Fill=B",CONCATENATE("FX=", $B$178) )</f>
        <v>#N/A Authorization</v>
      </c>
      <c r="BN201" t="str">
        <f>""</f>
        <v/>
      </c>
      <c r="BO201" t="str">
        <f>""</f>
        <v/>
      </c>
      <c r="BP201" t="str">
        <f>""</f>
        <v/>
      </c>
      <c r="BQ201" t="str">
        <f>""</f>
        <v/>
      </c>
      <c r="BR201" t="str">
        <f>""</f>
        <v/>
      </c>
      <c r="BS201" t="str">
        <f>""</f>
        <v/>
      </c>
      <c r="BT201" t="str">
        <f>""</f>
        <v/>
      </c>
      <c r="BU201" t="str">
        <f>""</f>
        <v/>
      </c>
      <c r="BV201" t="str">
        <f>""</f>
        <v/>
      </c>
      <c r="BW201" t="str">
        <f>""</f>
        <v/>
      </c>
      <c r="BX201" t="str">
        <f>""</f>
        <v/>
      </c>
      <c r="BY201" t="str">
        <f>""</f>
        <v/>
      </c>
      <c r="BZ201" t="str">
        <f>""</f>
        <v/>
      </c>
      <c r="CA201" t="str">
        <f>""</f>
        <v/>
      </c>
      <c r="CB201" t="str">
        <f>""</f>
        <v/>
      </c>
      <c r="CC201" t="str">
        <f>""</f>
        <v/>
      </c>
      <c r="CD201" t="str">
        <f>""</f>
        <v/>
      </c>
      <c r="CE201" t="str">
        <f>""</f>
        <v/>
      </c>
      <c r="CF201" t="str">
        <f>""</f>
        <v/>
      </c>
      <c r="CG201" t="str">
        <f>""</f>
        <v/>
      </c>
      <c r="CH201" t="str">
        <f>""</f>
        <v/>
      </c>
      <c r="CI201" t="str">
        <f>""</f>
        <v/>
      </c>
      <c r="CJ201" t="str">
        <f>""</f>
        <v/>
      </c>
      <c r="CK201" t="str">
        <f>""</f>
        <v/>
      </c>
      <c r="CL201" t="str">
        <f>""</f>
        <v/>
      </c>
      <c r="CM201" t="str">
        <f>""</f>
        <v/>
      </c>
      <c r="CN201" t="str">
        <f>""</f>
        <v/>
      </c>
      <c r="CO201" t="str">
        <f>""</f>
        <v/>
      </c>
      <c r="CP201" t="str">
        <f>""</f>
        <v/>
      </c>
      <c r="CQ201" t="str">
        <f>""</f>
        <v/>
      </c>
      <c r="CR201" t="str">
        <f>""</f>
        <v/>
      </c>
      <c r="CS201" t="str">
        <f>""</f>
        <v/>
      </c>
      <c r="CT201" t="str">
        <f>""</f>
        <v/>
      </c>
      <c r="CU201" t="str">
        <f>""</f>
        <v/>
      </c>
      <c r="CV201" t="str">
        <f>""</f>
        <v/>
      </c>
      <c r="CW201" t="str">
        <f>""</f>
        <v/>
      </c>
      <c r="CX201" t="str">
        <f>""</f>
        <v/>
      </c>
      <c r="CY201" t="str">
        <f>""</f>
        <v/>
      </c>
      <c r="CZ201" t="str">
        <f>""</f>
        <v/>
      </c>
      <c r="DA201" t="str">
        <f>""</f>
        <v/>
      </c>
      <c r="DB201" t="str">
        <f>""</f>
        <v/>
      </c>
      <c r="DC201" t="str">
        <f>""</f>
        <v/>
      </c>
      <c r="DD201" t="str">
        <f>""</f>
        <v/>
      </c>
      <c r="DE201" t="str">
        <f>""</f>
        <v/>
      </c>
      <c r="DF201" t="str">
        <f>""</f>
        <v/>
      </c>
      <c r="DG201" t="str">
        <f>""</f>
        <v/>
      </c>
      <c r="DH201" t="str">
        <f>""</f>
        <v/>
      </c>
      <c r="DI201" t="str">
        <f>""</f>
        <v/>
      </c>
      <c r="DJ201" t="str">
        <f>""</f>
        <v/>
      </c>
      <c r="DK201" t="str">
        <f>""</f>
        <v/>
      </c>
      <c r="DL201" t="str">
        <f>""</f>
        <v/>
      </c>
      <c r="DM201" t="str">
        <f>""</f>
        <v/>
      </c>
      <c r="DN201" t="str">
        <f>""</f>
        <v/>
      </c>
      <c r="DO201" t="str">
        <f>""</f>
        <v/>
      </c>
      <c r="DP201" t="str">
        <f>""</f>
        <v/>
      </c>
      <c r="DQ201" t="str">
        <f>""</f>
        <v/>
      </c>
      <c r="DR201" t="str">
        <f>""</f>
        <v/>
      </c>
      <c r="DS201" t="str">
        <f>""</f>
        <v/>
      </c>
      <c r="DT201" t="str">
        <f>""</f>
        <v/>
      </c>
      <c r="DU201" t="str">
        <f>""</f>
        <v/>
      </c>
    </row>
    <row r="202" spans="2:125">
      <c r="B202" t="str">
        <f>"RECFTASP Index"</f>
        <v>RECFTASP Index</v>
      </c>
      <c r="C202" t="str">
        <f t="shared" si="52"/>
        <v>PR005</v>
      </c>
      <c r="D202" t="str">
        <f t="shared" si="53"/>
        <v>PX_LAST</v>
      </c>
      <c r="E202" t="str">
        <f t="shared" si="54"/>
        <v>动态</v>
      </c>
      <c r="F202" t="str">
        <f ca="1">BDH($B$202,$C$202,$B$181,$B$182,CONCATENATE("Per=",$B$179),"Dts=H","Dir=H",CONCATENATE("Points=",$B$180),"Sort=R","Days=A","Fill=B",CONCATENATE("FX=", $B$178) )</f>
        <v>#N/A Authorization</v>
      </c>
      <c r="BN202" t="str">
        <f>""</f>
        <v/>
      </c>
      <c r="BO202" t="str">
        <f>""</f>
        <v/>
      </c>
      <c r="BP202" t="str">
        <f>""</f>
        <v/>
      </c>
      <c r="BQ202" t="str">
        <f>""</f>
        <v/>
      </c>
      <c r="BR202" t="str">
        <f>""</f>
        <v/>
      </c>
      <c r="BS202" t="str">
        <f>""</f>
        <v/>
      </c>
      <c r="BT202" t="str">
        <f>""</f>
        <v/>
      </c>
      <c r="BU202" t="str">
        <f>""</f>
        <v/>
      </c>
      <c r="BV202" t="str">
        <f>""</f>
        <v/>
      </c>
      <c r="BW202" t="str">
        <f>""</f>
        <v/>
      </c>
      <c r="BX202" t="str">
        <f>""</f>
        <v/>
      </c>
      <c r="BY202" t="str">
        <f>""</f>
        <v/>
      </c>
      <c r="BZ202" t="str">
        <f>""</f>
        <v/>
      </c>
      <c r="CA202" t="str">
        <f>""</f>
        <v/>
      </c>
      <c r="CB202" t="str">
        <f>""</f>
        <v/>
      </c>
      <c r="CC202" t="str">
        <f>""</f>
        <v/>
      </c>
      <c r="CD202" t="str">
        <f>""</f>
        <v/>
      </c>
      <c r="CE202" t="str">
        <f>""</f>
        <v/>
      </c>
      <c r="CF202" t="str">
        <f>""</f>
        <v/>
      </c>
      <c r="CG202" t="str">
        <f>""</f>
        <v/>
      </c>
      <c r="CH202" t="str">
        <f>""</f>
        <v/>
      </c>
      <c r="CI202" t="str">
        <f>""</f>
        <v/>
      </c>
      <c r="CJ202" t="str">
        <f>""</f>
        <v/>
      </c>
      <c r="CK202" t="str">
        <f>""</f>
        <v/>
      </c>
      <c r="CL202" t="str">
        <f>""</f>
        <v/>
      </c>
      <c r="CM202" t="str">
        <f>""</f>
        <v/>
      </c>
      <c r="CN202" t="str">
        <f>""</f>
        <v/>
      </c>
      <c r="CO202" t="str">
        <f>""</f>
        <v/>
      </c>
      <c r="CP202" t="str">
        <f>""</f>
        <v/>
      </c>
      <c r="CQ202" t="str">
        <f>""</f>
        <v/>
      </c>
      <c r="CR202" t="str">
        <f>""</f>
        <v/>
      </c>
      <c r="CS202" t="str">
        <f>""</f>
        <v/>
      </c>
      <c r="CT202" t="str">
        <f>""</f>
        <v/>
      </c>
      <c r="CU202" t="str">
        <f>""</f>
        <v/>
      </c>
      <c r="CV202" t="str">
        <f>""</f>
        <v/>
      </c>
      <c r="CW202" t="str">
        <f>""</f>
        <v/>
      </c>
      <c r="CX202" t="str">
        <f>""</f>
        <v/>
      </c>
      <c r="CY202" t="str">
        <f>""</f>
        <v/>
      </c>
      <c r="CZ202" t="str">
        <f>""</f>
        <v/>
      </c>
      <c r="DA202" t="str">
        <f>""</f>
        <v/>
      </c>
      <c r="DB202" t="str">
        <f>""</f>
        <v/>
      </c>
      <c r="DC202" t="str">
        <f>""</f>
        <v/>
      </c>
      <c r="DD202" t="str">
        <f>""</f>
        <v/>
      </c>
      <c r="DE202" t="str">
        <f>""</f>
        <v/>
      </c>
      <c r="DF202" t="str">
        <f>""</f>
        <v/>
      </c>
      <c r="DG202" t="str">
        <f>""</f>
        <v/>
      </c>
      <c r="DH202" t="str">
        <f>""</f>
        <v/>
      </c>
      <c r="DI202" t="str">
        <f>""</f>
        <v/>
      </c>
      <c r="DJ202" t="str">
        <f>""</f>
        <v/>
      </c>
      <c r="DK202" t="str">
        <f>""</f>
        <v/>
      </c>
      <c r="DL202" t="str">
        <f>""</f>
        <v/>
      </c>
      <c r="DM202" t="str">
        <f>""</f>
        <v/>
      </c>
      <c r="DN202" t="str">
        <f>""</f>
        <v/>
      </c>
      <c r="DO202" t="str">
        <f>""</f>
        <v/>
      </c>
      <c r="DP202" t="str">
        <f>""</f>
        <v/>
      </c>
      <c r="DQ202" t="str">
        <f>""</f>
        <v/>
      </c>
      <c r="DR202" t="str">
        <f>""</f>
        <v/>
      </c>
      <c r="DS202" t="str">
        <f>""</f>
        <v/>
      </c>
      <c r="DT202" t="str">
        <f>""</f>
        <v/>
      </c>
      <c r="DU202" t="str">
        <f>""</f>
        <v/>
      </c>
    </row>
    <row r="203" spans="2:125">
      <c r="B203" t="str">
        <f>"RECFDSEQ Index"</f>
        <v>RECFDSEQ Index</v>
      </c>
      <c r="C203" t="str">
        <f t="shared" si="52"/>
        <v>PR005</v>
      </c>
      <c r="D203" t="str">
        <f t="shared" si="53"/>
        <v>PX_LAST</v>
      </c>
      <c r="E203" t="str">
        <f t="shared" si="54"/>
        <v>动态</v>
      </c>
      <c r="F203" t="str">
        <f ca="1">BDH($B$203,$C$203,$B$181,$B$182,CONCATENATE("Per=",$B$179),"Dts=H","Dir=H",CONCATENATE("Points=",$B$180),"Sort=R","Days=A","Fill=B",CONCATENATE("FX=", $B$178) )</f>
        <v>#N/A Authorization</v>
      </c>
      <c r="BN203" t="str">
        <f>""</f>
        <v/>
      </c>
      <c r="BO203" t="str">
        <f>""</f>
        <v/>
      </c>
      <c r="BP203" t="str">
        <f>""</f>
        <v/>
      </c>
      <c r="BQ203" t="str">
        <f>""</f>
        <v/>
      </c>
      <c r="BR203" t="str">
        <f>""</f>
        <v/>
      </c>
      <c r="BS203" t="str">
        <f>""</f>
        <v/>
      </c>
      <c r="BT203" t="str">
        <f>""</f>
        <v/>
      </c>
      <c r="BU203" t="str">
        <f>""</f>
        <v/>
      </c>
      <c r="BV203" t="str">
        <f>""</f>
        <v/>
      </c>
      <c r="BW203" t="str">
        <f>""</f>
        <v/>
      </c>
      <c r="BX203" t="str">
        <f>""</f>
        <v/>
      </c>
      <c r="BY203" t="str">
        <f>""</f>
        <v/>
      </c>
      <c r="BZ203" t="str">
        <f>""</f>
        <v/>
      </c>
      <c r="CA203" t="str">
        <f>""</f>
        <v/>
      </c>
      <c r="CB203" t="str">
        <f>""</f>
        <v/>
      </c>
      <c r="CC203" t="str">
        <f>""</f>
        <v/>
      </c>
      <c r="CD203" t="str">
        <f>""</f>
        <v/>
      </c>
      <c r="CE203" t="str">
        <f>""</f>
        <v/>
      </c>
      <c r="CF203" t="str">
        <f>""</f>
        <v/>
      </c>
      <c r="CG203" t="str">
        <f>""</f>
        <v/>
      </c>
      <c r="CH203" t="str">
        <f>""</f>
        <v/>
      </c>
      <c r="CI203" t="str">
        <f>""</f>
        <v/>
      </c>
      <c r="CJ203" t="str">
        <f>""</f>
        <v/>
      </c>
      <c r="CK203" t="str">
        <f>""</f>
        <v/>
      </c>
      <c r="CL203" t="str">
        <f>""</f>
        <v/>
      </c>
      <c r="CM203" t="str">
        <f>""</f>
        <v/>
      </c>
      <c r="CN203" t="str">
        <f>""</f>
        <v/>
      </c>
      <c r="CO203" t="str">
        <f>""</f>
        <v/>
      </c>
      <c r="CP203" t="str">
        <f>""</f>
        <v/>
      </c>
      <c r="CQ203" t="str">
        <f>""</f>
        <v/>
      </c>
      <c r="CR203" t="str">
        <f>""</f>
        <v/>
      </c>
      <c r="CS203" t="str">
        <f>""</f>
        <v/>
      </c>
      <c r="CT203" t="str">
        <f>""</f>
        <v/>
      </c>
      <c r="CU203" t="str">
        <f>""</f>
        <v/>
      </c>
      <c r="CV203" t="str">
        <f>""</f>
        <v/>
      </c>
      <c r="CW203" t="str">
        <f>""</f>
        <v/>
      </c>
      <c r="CX203" t="str">
        <f>""</f>
        <v/>
      </c>
      <c r="CY203" t="str">
        <f>""</f>
        <v/>
      </c>
      <c r="CZ203" t="str">
        <f>""</f>
        <v/>
      </c>
      <c r="DA203" t="str">
        <f>""</f>
        <v/>
      </c>
      <c r="DB203" t="str">
        <f>""</f>
        <v/>
      </c>
      <c r="DC203" t="str">
        <f>""</f>
        <v/>
      </c>
      <c r="DD203" t="str">
        <f>""</f>
        <v/>
      </c>
      <c r="DE203" t="str">
        <f>""</f>
        <v/>
      </c>
      <c r="DF203" t="str">
        <f>""</f>
        <v/>
      </c>
      <c r="DG203" t="str">
        <f>""</f>
        <v/>
      </c>
      <c r="DH203" t="str">
        <f>""</f>
        <v/>
      </c>
      <c r="DI203" t="str">
        <f>""</f>
        <v/>
      </c>
      <c r="DJ203" t="str">
        <f>""</f>
        <v/>
      </c>
      <c r="DK203" t="str">
        <f>""</f>
        <v/>
      </c>
      <c r="DL203" t="str">
        <f>""</f>
        <v/>
      </c>
      <c r="DM203" t="str">
        <f>""</f>
        <v/>
      </c>
      <c r="DN203" t="str">
        <f>""</f>
        <v/>
      </c>
      <c r="DO203" t="str">
        <f>""</f>
        <v/>
      </c>
      <c r="DP203" t="str">
        <f>""</f>
        <v/>
      </c>
      <c r="DQ203" t="str">
        <f>""</f>
        <v/>
      </c>
      <c r="DR203" t="str">
        <f>""</f>
        <v/>
      </c>
      <c r="DS203" t="str">
        <f>""</f>
        <v/>
      </c>
      <c r="DT203" t="str">
        <f>""</f>
        <v/>
      </c>
      <c r="DU203" t="str">
        <f>""</f>
        <v/>
      </c>
    </row>
    <row r="204" spans="2:125">
      <c r="B204" t="str">
        <f>"RECFDSOF Index"</f>
        <v>RECFDSOF Index</v>
      </c>
      <c r="C204" t="str">
        <f t="shared" si="52"/>
        <v>PR005</v>
      </c>
      <c r="D204" t="str">
        <f t="shared" si="53"/>
        <v>PX_LAST</v>
      </c>
      <c r="E204" t="str">
        <f t="shared" si="54"/>
        <v>动态</v>
      </c>
      <c r="F204" t="str">
        <f ca="1">BDH($B$204,$C$204,$B$181,$B$182,CONCATENATE("Per=",$B$179),"Dts=H","Dir=H",CONCATENATE("Points=",$B$180),"Sort=R","Days=A","Fill=B",CONCATENATE("FX=", $B$178) )</f>
        <v>#N/A Authorization</v>
      </c>
      <c r="BN204" t="str">
        <f>""</f>
        <v/>
      </c>
      <c r="BO204" t="str">
        <f>""</f>
        <v/>
      </c>
      <c r="BP204" t="str">
        <f>""</f>
        <v/>
      </c>
      <c r="BQ204" t="str">
        <f>""</f>
        <v/>
      </c>
      <c r="BR204" t="str">
        <f>""</f>
        <v/>
      </c>
      <c r="BS204" t="str">
        <f>""</f>
        <v/>
      </c>
      <c r="BT204" t="str">
        <f>""</f>
        <v/>
      </c>
      <c r="BU204" t="str">
        <f>""</f>
        <v/>
      </c>
      <c r="BV204" t="str">
        <f>""</f>
        <v/>
      </c>
      <c r="BW204" t="str">
        <f>""</f>
        <v/>
      </c>
      <c r="BX204" t="str">
        <f>""</f>
        <v/>
      </c>
      <c r="BY204" t="str">
        <f>""</f>
        <v/>
      </c>
      <c r="BZ204" t="str">
        <f>""</f>
        <v/>
      </c>
      <c r="CA204" t="str">
        <f>""</f>
        <v/>
      </c>
      <c r="CB204" t="str">
        <f>""</f>
        <v/>
      </c>
      <c r="CC204" t="str">
        <f>""</f>
        <v/>
      </c>
      <c r="CD204" t="str">
        <f>""</f>
        <v/>
      </c>
      <c r="CE204" t="str">
        <f>""</f>
        <v/>
      </c>
      <c r="CF204" t="str">
        <f>""</f>
        <v/>
      </c>
      <c r="CG204" t="str">
        <f>""</f>
        <v/>
      </c>
      <c r="CH204" t="str">
        <f>""</f>
        <v/>
      </c>
      <c r="CI204" t="str">
        <f>""</f>
        <v/>
      </c>
      <c r="CJ204" t="str">
        <f>""</f>
        <v/>
      </c>
      <c r="CK204" t="str">
        <f>""</f>
        <v/>
      </c>
      <c r="CL204" t="str">
        <f>""</f>
        <v/>
      </c>
      <c r="CM204" t="str">
        <f>""</f>
        <v/>
      </c>
      <c r="CN204" t="str">
        <f>""</f>
        <v/>
      </c>
      <c r="CO204" t="str">
        <f>""</f>
        <v/>
      </c>
      <c r="CP204" t="str">
        <f>""</f>
        <v/>
      </c>
      <c r="CQ204" t="str">
        <f>""</f>
        <v/>
      </c>
      <c r="CR204" t="str">
        <f>""</f>
        <v/>
      </c>
      <c r="CS204" t="str">
        <f>""</f>
        <v/>
      </c>
      <c r="CT204" t="str">
        <f>""</f>
        <v/>
      </c>
      <c r="CU204" t="str">
        <f>""</f>
        <v/>
      </c>
      <c r="CV204" t="str">
        <f>""</f>
        <v/>
      </c>
      <c r="CW204" t="str">
        <f>""</f>
        <v/>
      </c>
      <c r="CX204" t="str">
        <f>""</f>
        <v/>
      </c>
      <c r="CY204" t="str">
        <f>""</f>
        <v/>
      </c>
      <c r="CZ204" t="str">
        <f>""</f>
        <v/>
      </c>
      <c r="DA204" t="str">
        <f>""</f>
        <v/>
      </c>
      <c r="DB204" t="str">
        <f>""</f>
        <v/>
      </c>
      <c r="DC204" t="str">
        <f>""</f>
        <v/>
      </c>
      <c r="DD204" t="str">
        <f>""</f>
        <v/>
      </c>
      <c r="DE204" t="str">
        <f>""</f>
        <v/>
      </c>
      <c r="DF204" t="str">
        <f>""</f>
        <v/>
      </c>
      <c r="DG204" t="str">
        <f>""</f>
        <v/>
      </c>
      <c r="DH204" t="str">
        <f>""</f>
        <v/>
      </c>
      <c r="DI204" t="str">
        <f>""</f>
        <v/>
      </c>
      <c r="DJ204" t="str">
        <f>""</f>
        <v/>
      </c>
      <c r="DK204" t="str">
        <f>""</f>
        <v/>
      </c>
      <c r="DL204" t="str">
        <f>""</f>
        <v/>
      </c>
      <c r="DM204" t="str">
        <f>""</f>
        <v/>
      </c>
      <c r="DN204" t="str">
        <f>""</f>
        <v/>
      </c>
      <c r="DO204" t="str">
        <f>""</f>
        <v/>
      </c>
      <c r="DP204" t="str">
        <f>""</f>
        <v/>
      </c>
      <c r="DQ204" t="str">
        <f>""</f>
        <v/>
      </c>
      <c r="DR204" t="str">
        <f>""</f>
        <v/>
      </c>
      <c r="DS204" t="str">
        <f>""</f>
        <v/>
      </c>
      <c r="DT204" t="str">
        <f>""</f>
        <v/>
      </c>
      <c r="DU204" t="str">
        <f>""</f>
        <v/>
      </c>
    </row>
    <row r="205" spans="2:125">
      <c r="B205" t="str">
        <f>"RECFDSIN Index"</f>
        <v>RECFDSIN Index</v>
      </c>
      <c r="C205" t="str">
        <f t="shared" si="52"/>
        <v>PR005</v>
      </c>
      <c r="D205" t="str">
        <f t="shared" si="53"/>
        <v>PX_LAST</v>
      </c>
      <c r="E205" t="str">
        <f t="shared" si="54"/>
        <v>动态</v>
      </c>
      <c r="F205" t="str">
        <f ca="1">BDH($B$205,$C$205,$B$181,$B$182,CONCATENATE("Per=",$B$179),"Dts=H","Dir=H",CONCATENATE("Points=",$B$180),"Sort=R","Days=A","Fill=B",CONCATENATE("FX=", $B$178) )</f>
        <v>#N/A Authorization</v>
      </c>
      <c r="BN205" t="str">
        <f>""</f>
        <v/>
      </c>
      <c r="BO205" t="str">
        <f>""</f>
        <v/>
      </c>
      <c r="BP205" t="str">
        <f>""</f>
        <v/>
      </c>
      <c r="BQ205" t="str">
        <f>""</f>
        <v/>
      </c>
      <c r="BR205" t="str">
        <f>""</f>
        <v/>
      </c>
      <c r="BS205" t="str">
        <f>""</f>
        <v/>
      </c>
      <c r="BT205" t="str">
        <f>""</f>
        <v/>
      </c>
      <c r="BU205" t="str">
        <f>""</f>
        <v/>
      </c>
      <c r="BV205" t="str">
        <f>""</f>
        <v/>
      </c>
      <c r="BW205" t="str">
        <f>""</f>
        <v/>
      </c>
      <c r="BX205" t="str">
        <f>""</f>
        <v/>
      </c>
      <c r="BY205" t="str">
        <f>""</f>
        <v/>
      </c>
      <c r="BZ205" t="str">
        <f>""</f>
        <v/>
      </c>
      <c r="CA205" t="str">
        <f>""</f>
        <v/>
      </c>
      <c r="CB205" t="str">
        <f>""</f>
        <v/>
      </c>
      <c r="CC205" t="str">
        <f>""</f>
        <v/>
      </c>
      <c r="CD205" t="str">
        <f>""</f>
        <v/>
      </c>
      <c r="CE205" t="str">
        <f>""</f>
        <v/>
      </c>
      <c r="CF205" t="str">
        <f>""</f>
        <v/>
      </c>
      <c r="CG205" t="str">
        <f>""</f>
        <v/>
      </c>
      <c r="CH205" t="str">
        <f>""</f>
        <v/>
      </c>
      <c r="CI205" t="str">
        <f>""</f>
        <v/>
      </c>
      <c r="CJ205" t="str">
        <f>""</f>
        <v/>
      </c>
      <c r="CK205" t="str">
        <f>""</f>
        <v/>
      </c>
      <c r="CL205" t="str">
        <f>""</f>
        <v/>
      </c>
      <c r="CM205" t="str">
        <f>""</f>
        <v/>
      </c>
      <c r="CN205" t="str">
        <f>""</f>
        <v/>
      </c>
      <c r="CO205" t="str">
        <f>""</f>
        <v/>
      </c>
      <c r="CP205" t="str">
        <f>""</f>
        <v/>
      </c>
      <c r="CQ205" t="str">
        <f>""</f>
        <v/>
      </c>
      <c r="CR205" t="str">
        <f>""</f>
        <v/>
      </c>
      <c r="CS205" t="str">
        <f>""</f>
        <v/>
      </c>
      <c r="CT205" t="str">
        <f>""</f>
        <v/>
      </c>
      <c r="CU205" t="str">
        <f>""</f>
        <v/>
      </c>
      <c r="CV205" t="str">
        <f>""</f>
        <v/>
      </c>
      <c r="CW205" t="str">
        <f>""</f>
        <v/>
      </c>
      <c r="CX205" t="str">
        <f>""</f>
        <v/>
      </c>
      <c r="CY205" t="str">
        <f>""</f>
        <v/>
      </c>
      <c r="CZ205" t="str">
        <f>""</f>
        <v/>
      </c>
      <c r="DA205" t="str">
        <f>""</f>
        <v/>
      </c>
      <c r="DB205" t="str">
        <f>""</f>
        <v/>
      </c>
      <c r="DC205" t="str">
        <f>""</f>
        <v/>
      </c>
      <c r="DD205" t="str">
        <f>""</f>
        <v/>
      </c>
      <c r="DE205" t="str">
        <f>""</f>
        <v/>
      </c>
      <c r="DF205" t="str">
        <f>""</f>
        <v/>
      </c>
      <c r="DG205" t="str">
        <f>""</f>
        <v/>
      </c>
      <c r="DH205" t="str">
        <f>""</f>
        <v/>
      </c>
      <c r="DI205" t="str">
        <f>""</f>
        <v/>
      </c>
      <c r="DJ205" t="str">
        <f>""</f>
        <v/>
      </c>
      <c r="DK205" t="str">
        <f>""</f>
        <v/>
      </c>
      <c r="DL205" t="str">
        <f>""</f>
        <v/>
      </c>
      <c r="DM205" t="str">
        <f>""</f>
        <v/>
      </c>
      <c r="DN205" t="str">
        <f>""</f>
        <v/>
      </c>
      <c r="DO205" t="str">
        <f>""</f>
        <v/>
      </c>
      <c r="DP205" t="str">
        <f>""</f>
        <v/>
      </c>
      <c r="DQ205" t="str">
        <f>""</f>
        <v/>
      </c>
      <c r="DR205" t="str">
        <f>""</f>
        <v/>
      </c>
      <c r="DS205" t="str">
        <f>""</f>
        <v/>
      </c>
      <c r="DT205" t="str">
        <f>""</f>
        <v/>
      </c>
      <c r="DU205" t="str">
        <f>""</f>
        <v/>
      </c>
    </row>
    <row r="206" spans="2:125">
      <c r="B206" t="str">
        <f>"RECFDSRT Index"</f>
        <v>RECFDSRT Index</v>
      </c>
      <c r="C206" t="str">
        <f t="shared" si="52"/>
        <v>PR005</v>
      </c>
      <c r="D206" t="str">
        <f t="shared" si="53"/>
        <v>PX_LAST</v>
      </c>
      <c r="E206" t="str">
        <f t="shared" si="54"/>
        <v>动态</v>
      </c>
      <c r="F206" t="str">
        <f ca="1">BDH($B$206,$C$206,$B$181,$B$182,CONCATENATE("Per=",$B$179),"Dts=H","Dir=H",CONCATENATE("Points=",$B$180),"Sort=R","Days=A","Fill=B",CONCATENATE("FX=", $B$178) )</f>
        <v>#N/A Authorization</v>
      </c>
      <c r="BN206" t="str">
        <f>""</f>
        <v/>
      </c>
      <c r="BO206" t="str">
        <f>""</f>
        <v/>
      </c>
      <c r="BP206" t="str">
        <f>""</f>
        <v/>
      </c>
      <c r="BQ206" t="str">
        <f>""</f>
        <v/>
      </c>
      <c r="BR206" t="str">
        <f>""</f>
        <v/>
      </c>
      <c r="BS206" t="str">
        <f>""</f>
        <v/>
      </c>
      <c r="BT206" t="str">
        <f>""</f>
        <v/>
      </c>
      <c r="BU206" t="str">
        <f>""</f>
        <v/>
      </c>
      <c r="BV206" t="str">
        <f>""</f>
        <v/>
      </c>
      <c r="BW206" t="str">
        <f>""</f>
        <v/>
      </c>
      <c r="BX206" t="str">
        <f>""</f>
        <v/>
      </c>
      <c r="BY206" t="str">
        <f>""</f>
        <v/>
      </c>
      <c r="BZ206" t="str">
        <f>""</f>
        <v/>
      </c>
      <c r="CA206" t="str">
        <f>""</f>
        <v/>
      </c>
      <c r="CB206" t="str">
        <f>""</f>
        <v/>
      </c>
      <c r="CC206" t="str">
        <f>""</f>
        <v/>
      </c>
      <c r="CD206" t="str">
        <f>""</f>
        <v/>
      </c>
      <c r="CE206" t="str">
        <f>""</f>
        <v/>
      </c>
      <c r="CF206" t="str">
        <f>""</f>
        <v/>
      </c>
      <c r="CG206" t="str">
        <f>""</f>
        <v/>
      </c>
      <c r="CH206" t="str">
        <f>""</f>
        <v/>
      </c>
      <c r="CI206" t="str">
        <f>""</f>
        <v/>
      </c>
      <c r="CJ206" t="str">
        <f>""</f>
        <v/>
      </c>
      <c r="CK206" t="str">
        <f>""</f>
        <v/>
      </c>
      <c r="CL206" t="str">
        <f>""</f>
        <v/>
      </c>
      <c r="CM206" t="str">
        <f>""</f>
        <v/>
      </c>
      <c r="CN206" t="str">
        <f>""</f>
        <v/>
      </c>
      <c r="CO206" t="str">
        <f>""</f>
        <v/>
      </c>
      <c r="CP206" t="str">
        <f>""</f>
        <v/>
      </c>
      <c r="CQ206" t="str">
        <f>""</f>
        <v/>
      </c>
      <c r="CR206" t="str">
        <f>""</f>
        <v/>
      </c>
      <c r="CS206" t="str">
        <f>""</f>
        <v/>
      </c>
      <c r="CT206" t="str">
        <f>""</f>
        <v/>
      </c>
      <c r="CU206" t="str">
        <f>""</f>
        <v/>
      </c>
      <c r="CV206" t="str">
        <f>""</f>
        <v/>
      </c>
      <c r="CW206" t="str">
        <f>""</f>
        <v/>
      </c>
      <c r="CX206" t="str">
        <f>""</f>
        <v/>
      </c>
      <c r="CY206" t="str">
        <f>""</f>
        <v/>
      </c>
      <c r="CZ206" t="str">
        <f>""</f>
        <v/>
      </c>
      <c r="DA206" t="str">
        <f>""</f>
        <v/>
      </c>
      <c r="DB206" t="str">
        <f>""</f>
        <v/>
      </c>
      <c r="DC206" t="str">
        <f>""</f>
        <v/>
      </c>
      <c r="DD206" t="str">
        <f>""</f>
        <v/>
      </c>
      <c r="DE206" t="str">
        <f>""</f>
        <v/>
      </c>
      <c r="DF206" t="str">
        <f>""</f>
        <v/>
      </c>
      <c r="DG206" t="str">
        <f>""</f>
        <v/>
      </c>
      <c r="DH206" t="str">
        <f>""</f>
        <v/>
      </c>
      <c r="DI206" t="str">
        <f>""</f>
        <v/>
      </c>
      <c r="DJ206" t="str">
        <f>""</f>
        <v/>
      </c>
      <c r="DK206" t="str">
        <f>""</f>
        <v/>
      </c>
      <c r="DL206" t="str">
        <f>""</f>
        <v/>
      </c>
      <c r="DM206" t="str">
        <f>""</f>
        <v/>
      </c>
      <c r="DN206" t="str">
        <f>""</f>
        <v/>
      </c>
      <c r="DO206" t="str">
        <f>""</f>
        <v/>
      </c>
      <c r="DP206" t="str">
        <f>""</f>
        <v/>
      </c>
      <c r="DQ206" t="str">
        <f>""</f>
        <v/>
      </c>
      <c r="DR206" t="str">
        <f>""</f>
        <v/>
      </c>
      <c r="DS206" t="str">
        <f>""</f>
        <v/>
      </c>
      <c r="DT206" t="str">
        <f>""</f>
        <v/>
      </c>
      <c r="DU206" t="str">
        <f>""</f>
        <v/>
      </c>
    </row>
    <row r="207" spans="2:125">
      <c r="B207" t="str">
        <f>"RECFDSSC Index"</f>
        <v>RECFDSSC Index</v>
      </c>
      <c r="C207" t="str">
        <f t="shared" si="52"/>
        <v>PR005</v>
      </c>
      <c r="D207" t="str">
        <f t="shared" si="53"/>
        <v>PX_LAST</v>
      </c>
      <c r="E207" t="str">
        <f t="shared" si="54"/>
        <v>动态</v>
      </c>
      <c r="F207" t="str">
        <f ca="1">BDH($B$207,$C$207,$B$181,$B$182,CONCATENATE("Per=",$B$179),"Dts=H","Dir=H",CONCATENATE("Points=",$B$180),"Sort=R","Days=A","Fill=B",CONCATENATE("FX=", $B$178) )</f>
        <v>#N/A Authorization</v>
      </c>
      <c r="BN207" t="str">
        <f>""</f>
        <v/>
      </c>
      <c r="BO207" t="str">
        <f>""</f>
        <v/>
      </c>
      <c r="BP207" t="str">
        <f>""</f>
        <v/>
      </c>
      <c r="BQ207" t="str">
        <f>""</f>
        <v/>
      </c>
      <c r="BR207" t="str">
        <f>""</f>
        <v/>
      </c>
      <c r="BS207" t="str">
        <f>""</f>
        <v/>
      </c>
      <c r="BT207" t="str">
        <f>""</f>
        <v/>
      </c>
      <c r="BU207" t="str">
        <f>""</f>
        <v/>
      </c>
      <c r="BV207" t="str">
        <f>""</f>
        <v/>
      </c>
      <c r="BW207" t="str">
        <f>""</f>
        <v/>
      </c>
      <c r="BX207" t="str">
        <f>""</f>
        <v/>
      </c>
      <c r="BY207" t="str">
        <f>""</f>
        <v/>
      </c>
      <c r="BZ207" t="str">
        <f>""</f>
        <v/>
      </c>
      <c r="CA207" t="str">
        <f>""</f>
        <v/>
      </c>
      <c r="CB207" t="str">
        <f>""</f>
        <v/>
      </c>
      <c r="CC207" t="str">
        <f>""</f>
        <v/>
      </c>
      <c r="CD207" t="str">
        <f>""</f>
        <v/>
      </c>
      <c r="CE207" t="str">
        <f>""</f>
        <v/>
      </c>
      <c r="CF207" t="str">
        <f>""</f>
        <v/>
      </c>
      <c r="CG207" t="str">
        <f>""</f>
        <v/>
      </c>
      <c r="CH207" t="str">
        <f>""</f>
        <v/>
      </c>
      <c r="CI207" t="str">
        <f>""</f>
        <v/>
      </c>
      <c r="CJ207" t="str">
        <f>""</f>
        <v/>
      </c>
      <c r="CK207" t="str">
        <f>""</f>
        <v/>
      </c>
      <c r="CL207" t="str">
        <f>""</f>
        <v/>
      </c>
      <c r="CM207" t="str">
        <f>""</f>
        <v/>
      </c>
      <c r="CN207" t="str">
        <f>""</f>
        <v/>
      </c>
      <c r="CO207" t="str">
        <f>""</f>
        <v/>
      </c>
      <c r="CP207" t="str">
        <f>""</f>
        <v/>
      </c>
      <c r="CQ207" t="str">
        <f>""</f>
        <v/>
      </c>
      <c r="CR207" t="str">
        <f>""</f>
        <v/>
      </c>
      <c r="CS207" t="str">
        <f>""</f>
        <v/>
      </c>
      <c r="CT207" t="str">
        <f>""</f>
        <v/>
      </c>
      <c r="CU207" t="str">
        <f>""</f>
        <v/>
      </c>
      <c r="CV207" t="str">
        <f>""</f>
        <v/>
      </c>
      <c r="CW207" t="str">
        <f>""</f>
        <v/>
      </c>
      <c r="CX207" t="str">
        <f>""</f>
        <v/>
      </c>
      <c r="CY207" t="str">
        <f>""</f>
        <v/>
      </c>
      <c r="CZ207" t="str">
        <f>""</f>
        <v/>
      </c>
      <c r="DA207" t="str">
        <f>""</f>
        <v/>
      </c>
      <c r="DB207" t="str">
        <f>""</f>
        <v/>
      </c>
      <c r="DC207" t="str">
        <f>""</f>
        <v/>
      </c>
      <c r="DD207" t="str">
        <f>""</f>
        <v/>
      </c>
      <c r="DE207" t="str">
        <f>""</f>
        <v/>
      </c>
      <c r="DF207" t="str">
        <f>""</f>
        <v/>
      </c>
      <c r="DG207" t="str">
        <f>""</f>
        <v/>
      </c>
      <c r="DH207" t="str">
        <f>""</f>
        <v/>
      </c>
      <c r="DI207" t="str">
        <f>""</f>
        <v/>
      </c>
      <c r="DJ207" t="str">
        <f>""</f>
        <v/>
      </c>
      <c r="DK207" t="str">
        <f>""</f>
        <v/>
      </c>
      <c r="DL207" t="str">
        <f>""</f>
        <v/>
      </c>
      <c r="DM207" t="str">
        <f>""</f>
        <v/>
      </c>
      <c r="DN207" t="str">
        <f>""</f>
        <v/>
      </c>
      <c r="DO207" t="str">
        <f>""</f>
        <v/>
      </c>
      <c r="DP207" t="str">
        <f>""</f>
        <v/>
      </c>
      <c r="DQ207" t="str">
        <f>""</f>
        <v/>
      </c>
      <c r="DR207" t="str">
        <f>""</f>
        <v/>
      </c>
      <c r="DS207" t="str">
        <f>""</f>
        <v/>
      </c>
      <c r="DT207" t="str">
        <f>""</f>
        <v/>
      </c>
      <c r="DU207" t="str">
        <f>""</f>
        <v/>
      </c>
    </row>
    <row r="208" spans="2:125">
      <c r="B208" t="str">
        <f>"RECFDSRM Index"</f>
        <v>RECFDSRM Index</v>
      </c>
      <c r="C208" t="str">
        <f t="shared" si="52"/>
        <v>PR005</v>
      </c>
      <c r="D208" t="str">
        <f t="shared" si="53"/>
        <v>PX_LAST</v>
      </c>
      <c r="E208" t="str">
        <f t="shared" si="54"/>
        <v>动态</v>
      </c>
      <c r="F208" t="str">
        <f ca="1">BDH($B$208,$C$208,$B$181,$B$182,CONCATENATE("Per=",$B$179),"Dts=H","Dir=H",CONCATENATE("Points=",$B$180),"Sort=R","Days=A","Fill=B",CONCATENATE("FX=", $B$178) )</f>
        <v>#N/A Authorization</v>
      </c>
      <c r="BN208" t="str">
        <f>""</f>
        <v/>
      </c>
      <c r="BO208" t="str">
        <f>""</f>
        <v/>
      </c>
      <c r="BP208" t="str">
        <f>""</f>
        <v/>
      </c>
      <c r="BQ208" t="str">
        <f>""</f>
        <v/>
      </c>
      <c r="BR208" t="str">
        <f>""</f>
        <v/>
      </c>
      <c r="BS208" t="str">
        <f>""</f>
        <v/>
      </c>
      <c r="BT208" t="str">
        <f>""</f>
        <v/>
      </c>
      <c r="BU208" t="str">
        <f>""</f>
        <v/>
      </c>
      <c r="BV208" t="str">
        <f>""</f>
        <v/>
      </c>
      <c r="BW208" t="str">
        <f>""</f>
        <v/>
      </c>
      <c r="BX208" t="str">
        <f>""</f>
        <v/>
      </c>
      <c r="BY208" t="str">
        <f>""</f>
        <v/>
      </c>
      <c r="BZ208" t="str">
        <f>""</f>
        <v/>
      </c>
      <c r="CA208" t="str">
        <f>""</f>
        <v/>
      </c>
      <c r="CB208" t="str">
        <f>""</f>
        <v/>
      </c>
      <c r="CC208" t="str">
        <f>""</f>
        <v/>
      </c>
      <c r="CD208" t="str">
        <f>""</f>
        <v/>
      </c>
      <c r="CE208" t="str">
        <f>""</f>
        <v/>
      </c>
      <c r="CF208" t="str">
        <f>""</f>
        <v/>
      </c>
      <c r="CG208" t="str">
        <f>""</f>
        <v/>
      </c>
      <c r="CH208" t="str">
        <f>""</f>
        <v/>
      </c>
      <c r="CI208" t="str">
        <f>""</f>
        <v/>
      </c>
      <c r="CJ208" t="str">
        <f>""</f>
        <v/>
      </c>
      <c r="CK208" t="str">
        <f>""</f>
        <v/>
      </c>
      <c r="CL208" t="str">
        <f>""</f>
        <v/>
      </c>
      <c r="CM208" t="str">
        <f>""</f>
        <v/>
      </c>
      <c r="CN208" t="str">
        <f>""</f>
        <v/>
      </c>
      <c r="CO208" t="str">
        <f>""</f>
        <v/>
      </c>
      <c r="CP208" t="str">
        <f>""</f>
        <v/>
      </c>
      <c r="CQ208" t="str">
        <f>""</f>
        <v/>
      </c>
      <c r="CR208" t="str">
        <f>""</f>
        <v/>
      </c>
      <c r="CS208" t="str">
        <f>""</f>
        <v/>
      </c>
      <c r="CT208" t="str">
        <f>""</f>
        <v/>
      </c>
      <c r="CU208" t="str">
        <f>""</f>
        <v/>
      </c>
      <c r="CV208" t="str">
        <f>""</f>
        <v/>
      </c>
      <c r="CW208" t="str">
        <f>""</f>
        <v/>
      </c>
      <c r="CX208" t="str">
        <f>""</f>
        <v/>
      </c>
      <c r="CY208" t="str">
        <f>""</f>
        <v/>
      </c>
      <c r="CZ208" t="str">
        <f>""</f>
        <v/>
      </c>
      <c r="DA208" t="str">
        <f>""</f>
        <v/>
      </c>
      <c r="DB208" t="str">
        <f>""</f>
        <v/>
      </c>
      <c r="DC208" t="str">
        <f>""</f>
        <v/>
      </c>
      <c r="DD208" t="str">
        <f>""</f>
        <v/>
      </c>
      <c r="DE208" t="str">
        <f>""</f>
        <v/>
      </c>
      <c r="DF208" t="str">
        <f>""</f>
        <v/>
      </c>
      <c r="DG208" t="str">
        <f>""</f>
        <v/>
      </c>
      <c r="DH208" t="str">
        <f>""</f>
        <v/>
      </c>
      <c r="DI208" t="str">
        <f>""</f>
        <v/>
      </c>
      <c r="DJ208" t="str">
        <f>""</f>
        <v/>
      </c>
      <c r="DK208" t="str">
        <f>""</f>
        <v/>
      </c>
      <c r="DL208" t="str">
        <f>""</f>
        <v/>
      </c>
      <c r="DM208" t="str">
        <f>""</f>
        <v/>
      </c>
      <c r="DN208" t="str">
        <f>""</f>
        <v/>
      </c>
      <c r="DO208" t="str">
        <f>""</f>
        <v/>
      </c>
      <c r="DP208" t="str">
        <f>""</f>
        <v/>
      </c>
      <c r="DQ208" t="str">
        <f>""</f>
        <v/>
      </c>
      <c r="DR208" t="str">
        <f>""</f>
        <v/>
      </c>
      <c r="DS208" t="str">
        <f>""</f>
        <v/>
      </c>
      <c r="DT208" t="str">
        <f>""</f>
        <v/>
      </c>
      <c r="DU208" t="str">
        <f>""</f>
        <v/>
      </c>
    </row>
    <row r="209" spans="2:125">
      <c r="B209" t="str">
        <f>"RECFDSFS Index"</f>
        <v>RECFDSFS Index</v>
      </c>
      <c r="C209" t="str">
        <f t="shared" si="52"/>
        <v>PR005</v>
      </c>
      <c r="D209" t="str">
        <f t="shared" si="53"/>
        <v>PX_LAST</v>
      </c>
      <c r="E209" t="str">
        <f t="shared" si="54"/>
        <v>动态</v>
      </c>
      <c r="F209" t="str">
        <f ca="1">BDH($B$209,$C$209,$B$181,$B$182,CONCATENATE("Per=",$B$179),"Dts=H","Dir=H",CONCATENATE("Points=",$B$180),"Sort=R","Days=A","Fill=B",CONCATENATE("FX=", $B$178) )</f>
        <v>#N/A Authorization</v>
      </c>
      <c r="BN209" t="str">
        <f>""</f>
        <v/>
      </c>
      <c r="BO209" t="str">
        <f>""</f>
        <v/>
      </c>
      <c r="BP209" t="str">
        <f>""</f>
        <v/>
      </c>
      <c r="BQ209" t="str">
        <f>""</f>
        <v/>
      </c>
      <c r="BR209" t="str">
        <f>""</f>
        <v/>
      </c>
      <c r="BS209" t="str">
        <f>""</f>
        <v/>
      </c>
      <c r="BT209" t="str">
        <f>""</f>
        <v/>
      </c>
      <c r="BU209" t="str">
        <f>""</f>
        <v/>
      </c>
      <c r="BV209" t="str">
        <f>""</f>
        <v/>
      </c>
      <c r="BW209" t="str">
        <f>""</f>
        <v/>
      </c>
      <c r="BX209" t="str">
        <f>""</f>
        <v/>
      </c>
      <c r="BY209" t="str">
        <f>""</f>
        <v/>
      </c>
      <c r="BZ209" t="str">
        <f>""</f>
        <v/>
      </c>
      <c r="CA209" t="str">
        <f>""</f>
        <v/>
      </c>
      <c r="CB209" t="str">
        <f>""</f>
        <v/>
      </c>
      <c r="CC209" t="str">
        <f>""</f>
        <v/>
      </c>
      <c r="CD209" t="str">
        <f>""</f>
        <v/>
      </c>
      <c r="CE209" t="str">
        <f>""</f>
        <v/>
      </c>
      <c r="CF209" t="str">
        <f>""</f>
        <v/>
      </c>
      <c r="CG209" t="str">
        <f>""</f>
        <v/>
      </c>
      <c r="CH209" t="str">
        <f>""</f>
        <v/>
      </c>
      <c r="CI209" t="str">
        <f>""</f>
        <v/>
      </c>
      <c r="CJ209" t="str">
        <f>""</f>
        <v/>
      </c>
      <c r="CK209" t="str">
        <f>""</f>
        <v/>
      </c>
      <c r="CL209" t="str">
        <f>""</f>
        <v/>
      </c>
      <c r="CM209" t="str">
        <f>""</f>
        <v/>
      </c>
      <c r="CN209" t="str">
        <f>""</f>
        <v/>
      </c>
      <c r="CO209" t="str">
        <f>""</f>
        <v/>
      </c>
      <c r="CP209" t="str">
        <f>""</f>
        <v/>
      </c>
      <c r="CQ209" t="str">
        <f>""</f>
        <v/>
      </c>
      <c r="CR209" t="str">
        <f>""</f>
        <v/>
      </c>
      <c r="CS209" t="str">
        <f>""</f>
        <v/>
      </c>
      <c r="CT209" t="str">
        <f>""</f>
        <v/>
      </c>
      <c r="CU209" t="str">
        <f>""</f>
        <v/>
      </c>
      <c r="CV209" t="str">
        <f>""</f>
        <v/>
      </c>
      <c r="CW209" t="str">
        <f>""</f>
        <v/>
      </c>
      <c r="CX209" t="str">
        <f>""</f>
        <v/>
      </c>
      <c r="CY209" t="str">
        <f>""</f>
        <v/>
      </c>
      <c r="CZ209" t="str">
        <f>""</f>
        <v/>
      </c>
      <c r="DA209" t="str">
        <f>""</f>
        <v/>
      </c>
      <c r="DB209" t="str">
        <f>""</f>
        <v/>
      </c>
      <c r="DC209" t="str">
        <f>""</f>
        <v/>
      </c>
      <c r="DD209" t="str">
        <f>""</f>
        <v/>
      </c>
      <c r="DE209" t="str">
        <f>""</f>
        <v/>
      </c>
      <c r="DF209" t="str">
        <f>""</f>
        <v/>
      </c>
      <c r="DG209" t="str">
        <f>""</f>
        <v/>
      </c>
      <c r="DH209" t="str">
        <f>""</f>
        <v/>
      </c>
      <c r="DI209" t="str">
        <f>""</f>
        <v/>
      </c>
      <c r="DJ209" t="str">
        <f>""</f>
        <v/>
      </c>
      <c r="DK209" t="str">
        <f>""</f>
        <v/>
      </c>
      <c r="DL209" t="str">
        <f>""</f>
        <v/>
      </c>
      <c r="DM209" t="str">
        <f>""</f>
        <v/>
      </c>
      <c r="DN209" t="str">
        <f>""</f>
        <v/>
      </c>
      <c r="DO209" t="str">
        <f>""</f>
        <v/>
      </c>
      <c r="DP209" t="str">
        <f>""</f>
        <v/>
      </c>
      <c r="DQ209" t="str">
        <f>""</f>
        <v/>
      </c>
      <c r="DR209" t="str">
        <f>""</f>
        <v/>
      </c>
      <c r="DS209" t="str">
        <f>""</f>
        <v/>
      </c>
      <c r="DT209" t="str">
        <f>""</f>
        <v/>
      </c>
      <c r="DU209" t="str">
        <f>""</f>
        <v/>
      </c>
    </row>
    <row r="210" spans="2:125">
      <c r="B210" t="str">
        <f>"RECFDSRS Index"</f>
        <v>RECFDSRS Index</v>
      </c>
      <c r="C210" t="str">
        <f t="shared" si="52"/>
        <v>PR005</v>
      </c>
      <c r="D210" t="str">
        <f t="shared" si="53"/>
        <v>PX_LAST</v>
      </c>
      <c r="E210" t="str">
        <f t="shared" si="54"/>
        <v>动态</v>
      </c>
      <c r="F210" t="str">
        <f ca="1">BDH($B$210,$C$210,$B$181,$B$182,CONCATENATE("Per=",$B$179),"Dts=H","Dir=H",CONCATENATE("Points=",$B$180),"Sort=R","Days=A","Fill=B",CONCATENATE("FX=", $B$178) )</f>
        <v>#N/A Authorization</v>
      </c>
      <c r="BN210" t="str">
        <f>""</f>
        <v/>
      </c>
      <c r="BO210" t="str">
        <f>""</f>
        <v/>
      </c>
      <c r="BP210" t="str">
        <f>""</f>
        <v/>
      </c>
      <c r="BQ210" t="str">
        <f>""</f>
        <v/>
      </c>
      <c r="BR210" t="str">
        <f>""</f>
        <v/>
      </c>
      <c r="BS210" t="str">
        <f>""</f>
        <v/>
      </c>
      <c r="BT210" t="str">
        <f>""</f>
        <v/>
      </c>
      <c r="BU210" t="str">
        <f>""</f>
        <v/>
      </c>
      <c r="BV210" t="str">
        <f>""</f>
        <v/>
      </c>
      <c r="BW210" t="str">
        <f>""</f>
        <v/>
      </c>
      <c r="BX210" t="str">
        <f>""</f>
        <v/>
      </c>
      <c r="BY210" t="str">
        <f>""</f>
        <v/>
      </c>
      <c r="BZ210" t="str">
        <f>""</f>
        <v/>
      </c>
      <c r="CA210" t="str">
        <f>""</f>
        <v/>
      </c>
      <c r="CB210" t="str">
        <f>""</f>
        <v/>
      </c>
      <c r="CC210" t="str">
        <f>""</f>
        <v/>
      </c>
      <c r="CD210" t="str">
        <f>""</f>
        <v/>
      </c>
      <c r="CE210" t="str">
        <f>""</f>
        <v/>
      </c>
      <c r="CF210" t="str">
        <f>""</f>
        <v/>
      </c>
      <c r="CG210" t="str">
        <f>""</f>
        <v/>
      </c>
      <c r="CH210" t="str">
        <f>""</f>
        <v/>
      </c>
      <c r="CI210" t="str">
        <f>""</f>
        <v/>
      </c>
      <c r="CJ210" t="str">
        <f>""</f>
        <v/>
      </c>
      <c r="CK210" t="str">
        <f>""</f>
        <v/>
      </c>
      <c r="CL210" t="str">
        <f>""</f>
        <v/>
      </c>
      <c r="CM210" t="str">
        <f>""</f>
        <v/>
      </c>
      <c r="CN210" t="str">
        <f>""</f>
        <v/>
      </c>
      <c r="CO210" t="str">
        <f>""</f>
        <v/>
      </c>
      <c r="CP210" t="str">
        <f>""</f>
        <v/>
      </c>
      <c r="CQ210" t="str">
        <f>""</f>
        <v/>
      </c>
      <c r="CR210" t="str">
        <f>""</f>
        <v/>
      </c>
      <c r="CS210" t="str">
        <f>""</f>
        <v/>
      </c>
      <c r="CT210" t="str">
        <f>""</f>
        <v/>
      </c>
      <c r="CU210" t="str">
        <f>""</f>
        <v/>
      </c>
      <c r="CV210" t="str">
        <f>""</f>
        <v/>
      </c>
      <c r="CW210" t="str">
        <f>""</f>
        <v/>
      </c>
      <c r="CX210" t="str">
        <f>""</f>
        <v/>
      </c>
      <c r="CY210" t="str">
        <f>""</f>
        <v/>
      </c>
      <c r="CZ210" t="str">
        <f>""</f>
        <v/>
      </c>
      <c r="DA210" t="str">
        <f>""</f>
        <v/>
      </c>
      <c r="DB210" t="str">
        <f>""</f>
        <v/>
      </c>
      <c r="DC210" t="str">
        <f>""</f>
        <v/>
      </c>
      <c r="DD210" t="str">
        <f>""</f>
        <v/>
      </c>
      <c r="DE210" t="str">
        <f>""</f>
        <v/>
      </c>
      <c r="DF210" t="str">
        <f>""</f>
        <v/>
      </c>
      <c r="DG210" t="str">
        <f>""</f>
        <v/>
      </c>
      <c r="DH210" t="str">
        <f>""</f>
        <v/>
      </c>
      <c r="DI210" t="str">
        <f>""</f>
        <v/>
      </c>
      <c r="DJ210" t="str">
        <f>""</f>
        <v/>
      </c>
      <c r="DK210" t="str">
        <f>""</f>
        <v/>
      </c>
      <c r="DL210" t="str">
        <f>""</f>
        <v/>
      </c>
      <c r="DM210" t="str">
        <f>""</f>
        <v/>
      </c>
      <c r="DN210" t="str">
        <f>""</f>
        <v/>
      </c>
      <c r="DO210" t="str">
        <f>""</f>
        <v/>
      </c>
      <c r="DP210" t="str">
        <f>""</f>
        <v/>
      </c>
      <c r="DQ210" t="str">
        <f>""</f>
        <v/>
      </c>
      <c r="DR210" t="str">
        <f>""</f>
        <v/>
      </c>
      <c r="DS210" t="str">
        <f>""</f>
        <v/>
      </c>
      <c r="DT210" t="str">
        <f>""</f>
        <v/>
      </c>
      <c r="DU210" t="str">
        <f>""</f>
        <v/>
      </c>
    </row>
    <row r="211" spans="2:125">
      <c r="B211" t="str">
        <f>"RECFDSAP Index"</f>
        <v>RECFDSAP Index</v>
      </c>
      <c r="C211" t="str">
        <f t="shared" si="52"/>
        <v>PR005</v>
      </c>
      <c r="D211" t="str">
        <f t="shared" si="53"/>
        <v>PX_LAST</v>
      </c>
      <c r="E211" t="str">
        <f t="shared" si="54"/>
        <v>动态</v>
      </c>
      <c r="F211" t="str">
        <f ca="1">BDH($B$211,$C$211,$B$181,$B$182,CONCATENATE("Per=",$B$179),"Dts=H","Dir=H",CONCATENATE("Points=",$B$180),"Sort=R","Days=A","Fill=B",CONCATENATE("FX=", $B$178) )</f>
        <v>#N/A Authorization</v>
      </c>
      <c r="BN211" t="str">
        <f>""</f>
        <v/>
      </c>
      <c r="BO211" t="str">
        <f>""</f>
        <v/>
      </c>
      <c r="BP211" t="str">
        <f>""</f>
        <v/>
      </c>
      <c r="BQ211" t="str">
        <f>""</f>
        <v/>
      </c>
      <c r="BR211" t="str">
        <f>""</f>
        <v/>
      </c>
      <c r="BS211" t="str">
        <f>""</f>
        <v/>
      </c>
      <c r="BT211" t="str">
        <f>""</f>
        <v/>
      </c>
      <c r="BU211" t="str">
        <f>""</f>
        <v/>
      </c>
      <c r="BV211" t="str">
        <f>""</f>
        <v/>
      </c>
      <c r="BW211" t="str">
        <f>""</f>
        <v/>
      </c>
      <c r="BX211" t="str">
        <f>""</f>
        <v/>
      </c>
      <c r="BY211" t="str">
        <f>""</f>
        <v/>
      </c>
      <c r="BZ211" t="str">
        <f>""</f>
        <v/>
      </c>
      <c r="CA211" t="str">
        <f>""</f>
        <v/>
      </c>
      <c r="CB211" t="str">
        <f>""</f>
        <v/>
      </c>
      <c r="CC211" t="str">
        <f>""</f>
        <v/>
      </c>
      <c r="CD211" t="str">
        <f>""</f>
        <v/>
      </c>
      <c r="CE211" t="str">
        <f>""</f>
        <v/>
      </c>
      <c r="CF211" t="str">
        <f>""</f>
        <v/>
      </c>
      <c r="CG211" t="str">
        <f>""</f>
        <v/>
      </c>
      <c r="CH211" t="str">
        <f>""</f>
        <v/>
      </c>
      <c r="CI211" t="str">
        <f>""</f>
        <v/>
      </c>
      <c r="CJ211" t="str">
        <f>""</f>
        <v/>
      </c>
      <c r="CK211" t="str">
        <f>""</f>
        <v/>
      </c>
      <c r="CL211" t="str">
        <f>""</f>
        <v/>
      </c>
      <c r="CM211" t="str">
        <f>""</f>
        <v/>
      </c>
      <c r="CN211" t="str">
        <f>""</f>
        <v/>
      </c>
      <c r="CO211" t="str">
        <f>""</f>
        <v/>
      </c>
      <c r="CP211" t="str">
        <f>""</f>
        <v/>
      </c>
      <c r="CQ211" t="str">
        <f>""</f>
        <v/>
      </c>
      <c r="CR211" t="str">
        <f>""</f>
        <v/>
      </c>
      <c r="CS211" t="str">
        <f>""</f>
        <v/>
      </c>
      <c r="CT211" t="str">
        <f>""</f>
        <v/>
      </c>
      <c r="CU211" t="str">
        <f>""</f>
        <v/>
      </c>
      <c r="CV211" t="str">
        <f>""</f>
        <v/>
      </c>
      <c r="CW211" t="str">
        <f>""</f>
        <v/>
      </c>
      <c r="CX211" t="str">
        <f>""</f>
        <v/>
      </c>
      <c r="CY211" t="str">
        <f>""</f>
        <v/>
      </c>
      <c r="CZ211" t="str">
        <f>""</f>
        <v/>
      </c>
      <c r="DA211" t="str">
        <f>""</f>
        <v/>
      </c>
      <c r="DB211" t="str">
        <f>""</f>
        <v/>
      </c>
      <c r="DC211" t="str">
        <f>""</f>
        <v/>
      </c>
      <c r="DD211" t="str">
        <f>""</f>
        <v/>
      </c>
      <c r="DE211" t="str">
        <f>""</f>
        <v/>
      </c>
      <c r="DF211" t="str">
        <f>""</f>
        <v/>
      </c>
      <c r="DG211" t="str">
        <f>""</f>
        <v/>
      </c>
      <c r="DH211" t="str">
        <f>""</f>
        <v/>
      </c>
      <c r="DI211" t="str">
        <f>""</f>
        <v/>
      </c>
      <c r="DJ211" t="str">
        <f>""</f>
        <v/>
      </c>
      <c r="DK211" t="str">
        <f>""</f>
        <v/>
      </c>
      <c r="DL211" t="str">
        <f>""</f>
        <v/>
      </c>
      <c r="DM211" t="str">
        <f>""</f>
        <v/>
      </c>
      <c r="DN211" t="str">
        <f>""</f>
        <v/>
      </c>
      <c r="DO211" t="str">
        <f>""</f>
        <v/>
      </c>
      <c r="DP211" t="str">
        <f>""</f>
        <v/>
      </c>
      <c r="DQ211" t="str">
        <f>""</f>
        <v/>
      </c>
      <c r="DR211" t="str">
        <f>""</f>
        <v/>
      </c>
      <c r="DS211" t="str">
        <f>""</f>
        <v/>
      </c>
      <c r="DT211" t="str">
        <f>""</f>
        <v/>
      </c>
      <c r="DU211" t="str">
        <f>""</f>
        <v/>
      </c>
    </row>
    <row r="212" spans="2:125">
      <c r="B212" t="str">
        <f>"RECFDSMH Index"</f>
        <v>RECFDSMH Index</v>
      </c>
      <c r="C212" t="str">
        <f t="shared" si="52"/>
        <v>PR005</v>
      </c>
      <c r="D212" t="str">
        <f t="shared" si="53"/>
        <v>PX_LAST</v>
      </c>
      <c r="E212" t="str">
        <f t="shared" si="54"/>
        <v>动态</v>
      </c>
      <c r="F212" t="str">
        <f ca="1">BDH($B$212,$C$212,$B$181,$B$182,CONCATENATE("Per=",$B$179),"Dts=H","Dir=H",CONCATENATE("Points=",$B$180),"Sort=R","Days=A","Fill=B",CONCATENATE("FX=", $B$178) )</f>
        <v>#N/A Authorization</v>
      </c>
      <c r="BN212" t="str">
        <f>""</f>
        <v/>
      </c>
      <c r="BO212" t="str">
        <f>""</f>
        <v/>
      </c>
      <c r="BP212" t="str">
        <f>""</f>
        <v/>
      </c>
      <c r="BQ212" t="str">
        <f>""</f>
        <v/>
      </c>
      <c r="BR212" t="str">
        <f>""</f>
        <v/>
      </c>
      <c r="BS212" t="str">
        <f>""</f>
        <v/>
      </c>
      <c r="BT212" t="str">
        <f>""</f>
        <v/>
      </c>
      <c r="BU212" t="str">
        <f>""</f>
        <v/>
      </c>
      <c r="BV212" t="str">
        <f>""</f>
        <v/>
      </c>
      <c r="BW212" t="str">
        <f>""</f>
        <v/>
      </c>
      <c r="BX212" t="str">
        <f>""</f>
        <v/>
      </c>
      <c r="BY212" t="str">
        <f>""</f>
        <v/>
      </c>
      <c r="BZ212" t="str">
        <f>""</f>
        <v/>
      </c>
      <c r="CA212" t="str">
        <f>""</f>
        <v/>
      </c>
      <c r="CB212" t="str">
        <f>""</f>
        <v/>
      </c>
      <c r="CC212" t="str">
        <f>""</f>
        <v/>
      </c>
      <c r="CD212" t="str">
        <f>""</f>
        <v/>
      </c>
      <c r="CE212" t="str">
        <f>""</f>
        <v/>
      </c>
      <c r="CF212" t="str">
        <f>""</f>
        <v/>
      </c>
      <c r="CG212" t="str">
        <f>""</f>
        <v/>
      </c>
      <c r="CH212" t="str">
        <f>""</f>
        <v/>
      </c>
      <c r="CI212" t="str">
        <f>""</f>
        <v/>
      </c>
      <c r="CJ212" t="str">
        <f>""</f>
        <v/>
      </c>
      <c r="CK212" t="str">
        <f>""</f>
        <v/>
      </c>
      <c r="CL212" t="str">
        <f>""</f>
        <v/>
      </c>
      <c r="CM212" t="str">
        <f>""</f>
        <v/>
      </c>
      <c r="CN212" t="str">
        <f>""</f>
        <v/>
      </c>
      <c r="CO212" t="str">
        <f>""</f>
        <v/>
      </c>
      <c r="CP212" t="str">
        <f>""</f>
        <v/>
      </c>
      <c r="CQ212" t="str">
        <f>""</f>
        <v/>
      </c>
      <c r="CR212" t="str">
        <f>""</f>
        <v/>
      </c>
      <c r="CS212" t="str">
        <f>""</f>
        <v/>
      </c>
      <c r="CT212" t="str">
        <f>""</f>
        <v/>
      </c>
      <c r="CU212" t="str">
        <f>""</f>
        <v/>
      </c>
      <c r="CV212" t="str">
        <f>""</f>
        <v/>
      </c>
      <c r="CW212" t="str">
        <f>""</f>
        <v/>
      </c>
      <c r="CX212" t="str">
        <f>""</f>
        <v/>
      </c>
      <c r="CY212" t="str">
        <f>""</f>
        <v/>
      </c>
      <c r="CZ212" t="str">
        <f>""</f>
        <v/>
      </c>
      <c r="DA212" t="str">
        <f>""</f>
        <v/>
      </c>
      <c r="DB212" t="str">
        <f>""</f>
        <v/>
      </c>
      <c r="DC212" t="str">
        <f>""</f>
        <v/>
      </c>
      <c r="DD212" t="str">
        <f>""</f>
        <v/>
      </c>
      <c r="DE212" t="str">
        <f>""</f>
        <v/>
      </c>
      <c r="DF212" t="str">
        <f>""</f>
        <v/>
      </c>
      <c r="DG212" t="str">
        <f>""</f>
        <v/>
      </c>
      <c r="DH212" t="str">
        <f>""</f>
        <v/>
      </c>
      <c r="DI212" t="str">
        <f>""</f>
        <v/>
      </c>
      <c r="DJ212" t="str">
        <f>""</f>
        <v/>
      </c>
      <c r="DK212" t="str">
        <f>""</f>
        <v/>
      </c>
      <c r="DL212" t="str">
        <f>""</f>
        <v/>
      </c>
      <c r="DM212" t="str">
        <f>""</f>
        <v/>
      </c>
      <c r="DN212" t="str">
        <f>""</f>
        <v/>
      </c>
      <c r="DO212" t="str">
        <f>""</f>
        <v/>
      </c>
      <c r="DP212" t="str">
        <f>""</f>
        <v/>
      </c>
      <c r="DQ212" t="str">
        <f>""</f>
        <v/>
      </c>
      <c r="DR212" t="str">
        <f>""</f>
        <v/>
      </c>
      <c r="DS212" t="str">
        <f>""</f>
        <v/>
      </c>
      <c r="DT212" t="str">
        <f>""</f>
        <v/>
      </c>
      <c r="DU212" t="str">
        <f>""</f>
        <v/>
      </c>
    </row>
    <row r="213" spans="2:125">
      <c r="B213" t="str">
        <f>"RECFDSSF Index"</f>
        <v>RECFDSSF Index</v>
      </c>
      <c r="C213" t="str">
        <f t="shared" si="52"/>
        <v>PR005</v>
      </c>
      <c r="D213" t="str">
        <f t="shared" si="53"/>
        <v>PX_LAST</v>
      </c>
      <c r="E213" t="str">
        <f t="shared" si="54"/>
        <v>动态</v>
      </c>
      <c r="F213" t="str">
        <f ca="1">BDH($B$213,$C$213,$B$181,$B$182,CONCATENATE("Per=",$B$179),"Dts=H","Dir=H",CONCATENATE("Points=",$B$180),"Sort=R","Days=A","Fill=B",CONCATENATE("FX=", $B$178) )</f>
        <v>#N/A Authorization</v>
      </c>
      <c r="BN213" t="str">
        <f>""</f>
        <v/>
      </c>
      <c r="BO213" t="str">
        <f>""</f>
        <v/>
      </c>
      <c r="BP213" t="str">
        <f>""</f>
        <v/>
      </c>
      <c r="BQ213" t="str">
        <f>""</f>
        <v/>
      </c>
      <c r="BR213" t="str">
        <f>""</f>
        <v/>
      </c>
      <c r="BS213" t="str">
        <f>""</f>
        <v/>
      </c>
      <c r="BT213" t="str">
        <f>""</f>
        <v/>
      </c>
      <c r="BU213" t="str">
        <f>""</f>
        <v/>
      </c>
      <c r="BV213" t="str">
        <f>""</f>
        <v/>
      </c>
      <c r="BW213" t="str">
        <f>""</f>
        <v/>
      </c>
      <c r="BX213" t="str">
        <f>""</f>
        <v/>
      </c>
      <c r="BY213" t="str">
        <f>""</f>
        <v/>
      </c>
      <c r="BZ213" t="str">
        <f>""</f>
        <v/>
      </c>
      <c r="CA213" t="str">
        <f>""</f>
        <v/>
      </c>
      <c r="CB213" t="str">
        <f>""</f>
        <v/>
      </c>
      <c r="CC213" t="str">
        <f>""</f>
        <v/>
      </c>
      <c r="CD213" t="str">
        <f>""</f>
        <v/>
      </c>
      <c r="CE213" t="str">
        <f>""</f>
        <v/>
      </c>
      <c r="CF213" t="str">
        <f>""</f>
        <v/>
      </c>
      <c r="CG213" t="str">
        <f>""</f>
        <v/>
      </c>
      <c r="CH213" t="str">
        <f>""</f>
        <v/>
      </c>
      <c r="CI213" t="str">
        <f>""</f>
        <v/>
      </c>
      <c r="CJ213" t="str">
        <f>""</f>
        <v/>
      </c>
      <c r="CK213" t="str">
        <f>""</f>
        <v/>
      </c>
      <c r="CL213" t="str">
        <f>""</f>
        <v/>
      </c>
      <c r="CM213" t="str">
        <f>""</f>
        <v/>
      </c>
      <c r="CN213" t="str">
        <f>""</f>
        <v/>
      </c>
      <c r="CO213" t="str">
        <f>""</f>
        <v/>
      </c>
      <c r="CP213" t="str">
        <f>""</f>
        <v/>
      </c>
      <c r="CQ213" t="str">
        <f>""</f>
        <v/>
      </c>
      <c r="CR213" t="str">
        <f>""</f>
        <v/>
      </c>
      <c r="CS213" t="str">
        <f>""</f>
        <v/>
      </c>
      <c r="CT213" t="str">
        <f>""</f>
        <v/>
      </c>
      <c r="CU213" t="str">
        <f>""</f>
        <v/>
      </c>
      <c r="CV213" t="str">
        <f>""</f>
        <v/>
      </c>
      <c r="CW213" t="str">
        <f>""</f>
        <v/>
      </c>
      <c r="CX213" t="str">
        <f>""</f>
        <v/>
      </c>
      <c r="CY213" t="str">
        <f>""</f>
        <v/>
      </c>
      <c r="CZ213" t="str">
        <f>""</f>
        <v/>
      </c>
      <c r="DA213" t="str">
        <f>""</f>
        <v/>
      </c>
      <c r="DB213" t="str">
        <f>""</f>
        <v/>
      </c>
      <c r="DC213" t="str">
        <f>""</f>
        <v/>
      </c>
      <c r="DD213" t="str">
        <f>""</f>
        <v/>
      </c>
      <c r="DE213" t="str">
        <f>""</f>
        <v/>
      </c>
      <c r="DF213" t="str">
        <f>""</f>
        <v/>
      </c>
      <c r="DG213" t="str">
        <f>""</f>
        <v/>
      </c>
      <c r="DH213" t="str">
        <f>""</f>
        <v/>
      </c>
      <c r="DI213" t="str">
        <f>""</f>
        <v/>
      </c>
      <c r="DJ213" t="str">
        <f>""</f>
        <v/>
      </c>
      <c r="DK213" t="str">
        <f>""</f>
        <v/>
      </c>
      <c r="DL213" t="str">
        <f>""</f>
        <v/>
      </c>
      <c r="DM213" t="str">
        <f>""</f>
        <v/>
      </c>
      <c r="DN213" t="str">
        <f>""</f>
        <v/>
      </c>
      <c r="DO213" t="str">
        <f>""</f>
        <v/>
      </c>
      <c r="DP213" t="str">
        <f>""</f>
        <v/>
      </c>
      <c r="DQ213" t="str">
        <f>""</f>
        <v/>
      </c>
      <c r="DR213" t="str">
        <f>""</f>
        <v/>
      </c>
      <c r="DS213" t="str">
        <f>""</f>
        <v/>
      </c>
      <c r="DT213" t="str">
        <f>""</f>
        <v/>
      </c>
      <c r="DU213" t="str">
        <f>""</f>
        <v/>
      </c>
    </row>
    <row r="214" spans="2:125">
      <c r="B214" t="str">
        <f>"RECFDSDV Index"</f>
        <v>RECFDSDV Index</v>
      </c>
      <c r="C214" t="str">
        <f t="shared" si="52"/>
        <v>PR005</v>
      </c>
      <c r="D214" t="str">
        <f t="shared" si="53"/>
        <v>PX_LAST</v>
      </c>
      <c r="E214" t="str">
        <f t="shared" si="54"/>
        <v>动态</v>
      </c>
      <c r="F214" t="str">
        <f ca="1">BDH($B$214,$C$214,$B$181,$B$182,CONCATENATE("Per=",$B$179),"Dts=H","Dir=H",CONCATENATE("Points=",$B$180),"Sort=R","Days=A","Fill=B",CONCATENATE("FX=", $B$178) )</f>
        <v>#N/A Authorization</v>
      </c>
      <c r="BN214" t="str">
        <f>""</f>
        <v/>
      </c>
      <c r="BO214" t="str">
        <f>""</f>
        <v/>
      </c>
      <c r="BP214" t="str">
        <f>""</f>
        <v/>
      </c>
      <c r="BQ214" t="str">
        <f>""</f>
        <v/>
      </c>
      <c r="BR214" t="str">
        <f>""</f>
        <v/>
      </c>
      <c r="BS214" t="str">
        <f>""</f>
        <v/>
      </c>
      <c r="BT214" t="str">
        <f>""</f>
        <v/>
      </c>
      <c r="BU214" t="str">
        <f>""</f>
        <v/>
      </c>
      <c r="BV214" t="str">
        <f>""</f>
        <v/>
      </c>
      <c r="BW214" t="str">
        <f>""</f>
        <v/>
      </c>
      <c r="BX214" t="str">
        <f>""</f>
        <v/>
      </c>
      <c r="BY214" t="str">
        <f>""</f>
        <v/>
      </c>
      <c r="BZ214" t="str">
        <f>""</f>
        <v/>
      </c>
      <c r="CA214" t="str">
        <f>""</f>
        <v/>
      </c>
      <c r="CB214" t="str">
        <f>""</f>
        <v/>
      </c>
      <c r="CC214" t="str">
        <f>""</f>
        <v/>
      </c>
      <c r="CD214" t="str">
        <f>""</f>
        <v/>
      </c>
      <c r="CE214" t="str">
        <f>""</f>
        <v/>
      </c>
      <c r="CF214" t="str">
        <f>""</f>
        <v/>
      </c>
      <c r="CG214" t="str">
        <f>""</f>
        <v/>
      </c>
      <c r="CH214" t="str">
        <f>""</f>
        <v/>
      </c>
      <c r="CI214" t="str">
        <f>""</f>
        <v/>
      </c>
      <c r="CJ214" t="str">
        <f>""</f>
        <v/>
      </c>
      <c r="CK214" t="str">
        <f>""</f>
        <v/>
      </c>
      <c r="CL214" t="str">
        <f>""</f>
        <v/>
      </c>
      <c r="CM214" t="str">
        <f>""</f>
        <v/>
      </c>
      <c r="CN214" t="str">
        <f>""</f>
        <v/>
      </c>
      <c r="CO214" t="str">
        <f>""</f>
        <v/>
      </c>
      <c r="CP214" t="str">
        <f>""</f>
        <v/>
      </c>
      <c r="CQ214" t="str">
        <f>""</f>
        <v/>
      </c>
      <c r="CR214" t="str">
        <f>""</f>
        <v/>
      </c>
      <c r="CS214" t="str">
        <f>""</f>
        <v/>
      </c>
      <c r="CT214" t="str">
        <f>""</f>
        <v/>
      </c>
      <c r="CU214" t="str">
        <f>""</f>
        <v/>
      </c>
      <c r="CV214" t="str">
        <f>""</f>
        <v/>
      </c>
      <c r="CW214" t="str">
        <f>""</f>
        <v/>
      </c>
      <c r="CX214" t="str">
        <f>""</f>
        <v/>
      </c>
      <c r="CY214" t="str">
        <f>""</f>
        <v/>
      </c>
      <c r="CZ214" t="str">
        <f>""</f>
        <v/>
      </c>
      <c r="DA214" t="str">
        <f>""</f>
        <v/>
      </c>
      <c r="DB214" t="str">
        <f>""</f>
        <v/>
      </c>
      <c r="DC214" t="str">
        <f>""</f>
        <v/>
      </c>
      <c r="DD214" t="str">
        <f>""</f>
        <v/>
      </c>
      <c r="DE214" t="str">
        <f>""</f>
        <v/>
      </c>
      <c r="DF214" t="str">
        <f>""</f>
        <v/>
      </c>
      <c r="DG214" t="str">
        <f>""</f>
        <v/>
      </c>
      <c r="DH214" t="str">
        <f>""</f>
        <v/>
      </c>
      <c r="DI214" t="str">
        <f>""</f>
        <v/>
      </c>
      <c r="DJ214" t="str">
        <f>""</f>
        <v/>
      </c>
      <c r="DK214" t="str">
        <f>""</f>
        <v/>
      </c>
      <c r="DL214" t="str">
        <f>""</f>
        <v/>
      </c>
      <c r="DM214" t="str">
        <f>""</f>
        <v/>
      </c>
      <c r="DN214" t="str">
        <f>""</f>
        <v/>
      </c>
      <c r="DO214" t="str">
        <f>""</f>
        <v/>
      </c>
      <c r="DP214" t="str">
        <f>""</f>
        <v/>
      </c>
      <c r="DQ214" t="str">
        <f>""</f>
        <v/>
      </c>
      <c r="DR214" t="str">
        <f>""</f>
        <v/>
      </c>
      <c r="DS214" t="str">
        <f>""</f>
        <v/>
      </c>
      <c r="DT214" t="str">
        <f>""</f>
        <v/>
      </c>
      <c r="DU214" t="str">
        <f>""</f>
        <v/>
      </c>
    </row>
    <row r="215" spans="2:125">
      <c r="B215" t="str">
        <f>"RECFDSLR Index"</f>
        <v>RECFDSLR Index</v>
      </c>
      <c r="C215" t="str">
        <f t="shared" si="52"/>
        <v>PR005</v>
      </c>
      <c r="D215" t="str">
        <f t="shared" si="53"/>
        <v>PX_LAST</v>
      </c>
      <c r="E215" t="str">
        <f t="shared" si="54"/>
        <v>动态</v>
      </c>
      <c r="F215" t="str">
        <f ca="1">BDH($B$215,$C$215,$B$181,$B$182,CONCATENATE("Per=",$B$179),"Dts=H","Dir=H",CONCATENATE("Points=",$B$180),"Sort=R","Days=A","Fill=B",CONCATENATE("FX=", $B$178) )</f>
        <v>#N/A Authorization</v>
      </c>
      <c r="BN215" t="str">
        <f>""</f>
        <v/>
      </c>
      <c r="BO215" t="str">
        <f>""</f>
        <v/>
      </c>
      <c r="BP215" t="str">
        <f>""</f>
        <v/>
      </c>
      <c r="BQ215" t="str">
        <f>""</f>
        <v/>
      </c>
      <c r="BR215" t="str">
        <f>""</f>
        <v/>
      </c>
      <c r="BS215" t="str">
        <f>""</f>
        <v/>
      </c>
      <c r="BT215" t="str">
        <f>""</f>
        <v/>
      </c>
      <c r="BU215" t="str">
        <f>""</f>
        <v/>
      </c>
      <c r="BV215" t="str">
        <f>""</f>
        <v/>
      </c>
      <c r="BW215" t="str">
        <f>""</f>
        <v/>
      </c>
      <c r="BX215" t="str">
        <f>""</f>
        <v/>
      </c>
      <c r="BY215" t="str">
        <f>""</f>
        <v/>
      </c>
      <c r="BZ215" t="str">
        <f>""</f>
        <v/>
      </c>
      <c r="CA215" t="str">
        <f>""</f>
        <v/>
      </c>
      <c r="CB215" t="str">
        <f>""</f>
        <v/>
      </c>
      <c r="CC215" t="str">
        <f>""</f>
        <v/>
      </c>
      <c r="CD215" t="str">
        <f>""</f>
        <v/>
      </c>
      <c r="CE215" t="str">
        <f>""</f>
        <v/>
      </c>
      <c r="CF215" t="str">
        <f>""</f>
        <v/>
      </c>
      <c r="CG215" t="str">
        <f>""</f>
        <v/>
      </c>
      <c r="CH215" t="str">
        <f>""</f>
        <v/>
      </c>
      <c r="CI215" t="str">
        <f>""</f>
        <v/>
      </c>
      <c r="CJ215" t="str">
        <f>""</f>
        <v/>
      </c>
      <c r="CK215" t="str">
        <f>""</f>
        <v/>
      </c>
      <c r="CL215" t="str">
        <f>""</f>
        <v/>
      </c>
      <c r="CM215" t="str">
        <f>""</f>
        <v/>
      </c>
      <c r="CN215" t="str">
        <f>""</f>
        <v/>
      </c>
      <c r="CO215" t="str">
        <f>""</f>
        <v/>
      </c>
      <c r="CP215" t="str">
        <f>""</f>
        <v/>
      </c>
      <c r="CQ215" t="str">
        <f>""</f>
        <v/>
      </c>
      <c r="CR215" t="str">
        <f>""</f>
        <v/>
      </c>
      <c r="CS215" t="str">
        <f>""</f>
        <v/>
      </c>
      <c r="CT215" t="str">
        <f>""</f>
        <v/>
      </c>
      <c r="CU215" t="str">
        <f>""</f>
        <v/>
      </c>
      <c r="CV215" t="str">
        <f>""</f>
        <v/>
      </c>
      <c r="CW215" t="str">
        <f>""</f>
        <v/>
      </c>
      <c r="CX215" t="str">
        <f>""</f>
        <v/>
      </c>
      <c r="CY215" t="str">
        <f>""</f>
        <v/>
      </c>
      <c r="CZ215" t="str">
        <f>""</f>
        <v/>
      </c>
      <c r="DA215" t="str">
        <f>""</f>
        <v/>
      </c>
      <c r="DB215" t="str">
        <f>""</f>
        <v/>
      </c>
      <c r="DC215" t="str">
        <f>""</f>
        <v/>
      </c>
      <c r="DD215" t="str">
        <f>""</f>
        <v/>
      </c>
      <c r="DE215" t="str">
        <f>""</f>
        <v/>
      </c>
      <c r="DF215" t="str">
        <f>""</f>
        <v/>
      </c>
      <c r="DG215" t="str">
        <f>""</f>
        <v/>
      </c>
      <c r="DH215" t="str">
        <f>""</f>
        <v/>
      </c>
      <c r="DI215" t="str">
        <f>""</f>
        <v/>
      </c>
      <c r="DJ215" t="str">
        <f>""</f>
        <v/>
      </c>
      <c r="DK215" t="str">
        <f>""</f>
        <v/>
      </c>
      <c r="DL215" t="str">
        <f>""</f>
        <v/>
      </c>
      <c r="DM215" t="str">
        <f>""</f>
        <v/>
      </c>
      <c r="DN215" t="str">
        <f>""</f>
        <v/>
      </c>
      <c r="DO215" t="str">
        <f>""</f>
        <v/>
      </c>
      <c r="DP215" t="str">
        <f>""</f>
        <v/>
      </c>
      <c r="DQ215" t="str">
        <f>""</f>
        <v/>
      </c>
      <c r="DR215" t="str">
        <f>""</f>
        <v/>
      </c>
      <c r="DS215" t="str">
        <f>""</f>
        <v/>
      </c>
      <c r="DT215" t="str">
        <f>""</f>
        <v/>
      </c>
      <c r="DU215" t="str">
        <f>""</f>
        <v/>
      </c>
    </row>
    <row r="216" spans="2:125">
      <c r="B216" t="str">
        <f>"RECFDSSS Index"</f>
        <v>RECFDSSS Index</v>
      </c>
      <c r="C216" t="str">
        <f t="shared" si="52"/>
        <v>PR005</v>
      </c>
      <c r="D216" t="str">
        <f t="shared" si="53"/>
        <v>PX_LAST</v>
      </c>
      <c r="E216" t="str">
        <f t="shared" si="54"/>
        <v>动态</v>
      </c>
      <c r="F216" t="str">
        <f ca="1">BDH($B$216,$C$216,$B$181,$B$182,CONCATENATE("Per=",$B$179),"Dts=H","Dir=H",CONCATENATE("Points=",$B$180),"Sort=R","Days=A","Fill=B",CONCATENATE("FX=", $B$178) )</f>
        <v>#N/A Authorization</v>
      </c>
      <c r="BN216" t="str">
        <f>""</f>
        <v/>
      </c>
      <c r="BO216" t="str">
        <f>""</f>
        <v/>
      </c>
      <c r="BP216" t="str">
        <f>""</f>
        <v/>
      </c>
      <c r="BQ216" t="str">
        <f>""</f>
        <v/>
      </c>
      <c r="BR216" t="str">
        <f>""</f>
        <v/>
      </c>
      <c r="BS216" t="str">
        <f>""</f>
        <v/>
      </c>
      <c r="BT216" t="str">
        <f>""</f>
        <v/>
      </c>
      <c r="BU216" t="str">
        <f>""</f>
        <v/>
      </c>
      <c r="BV216" t="str">
        <f>""</f>
        <v/>
      </c>
      <c r="BW216" t="str">
        <f>""</f>
        <v/>
      </c>
      <c r="BX216" t="str">
        <f>""</f>
        <v/>
      </c>
      <c r="BY216" t="str">
        <f>""</f>
        <v/>
      </c>
      <c r="BZ216" t="str">
        <f>""</f>
        <v/>
      </c>
      <c r="CA216" t="str">
        <f>""</f>
        <v/>
      </c>
      <c r="CB216" t="str">
        <f>""</f>
        <v/>
      </c>
      <c r="CC216" t="str">
        <f>""</f>
        <v/>
      </c>
      <c r="CD216" t="str">
        <f>""</f>
        <v/>
      </c>
      <c r="CE216" t="str">
        <f>""</f>
        <v/>
      </c>
      <c r="CF216" t="str">
        <f>""</f>
        <v/>
      </c>
      <c r="CG216" t="str">
        <f>""</f>
        <v/>
      </c>
      <c r="CH216" t="str">
        <f>""</f>
        <v/>
      </c>
      <c r="CI216" t="str">
        <f>""</f>
        <v/>
      </c>
      <c r="CJ216" t="str">
        <f>""</f>
        <v/>
      </c>
      <c r="CK216" t="str">
        <f>""</f>
        <v/>
      </c>
      <c r="CL216" t="str">
        <f>""</f>
        <v/>
      </c>
      <c r="CM216" t="str">
        <f>""</f>
        <v/>
      </c>
      <c r="CN216" t="str">
        <f>""</f>
        <v/>
      </c>
      <c r="CO216" t="str">
        <f>""</f>
        <v/>
      </c>
      <c r="CP216" t="str">
        <f>""</f>
        <v/>
      </c>
      <c r="CQ216" t="str">
        <f>""</f>
        <v/>
      </c>
      <c r="CR216" t="str">
        <f>""</f>
        <v/>
      </c>
      <c r="CS216" t="str">
        <f>""</f>
        <v/>
      </c>
      <c r="CT216" t="str">
        <f>""</f>
        <v/>
      </c>
      <c r="CU216" t="str">
        <f>""</f>
        <v/>
      </c>
      <c r="CV216" t="str">
        <f>""</f>
        <v/>
      </c>
      <c r="CW216" t="str">
        <f>""</f>
        <v/>
      </c>
      <c r="CX216" t="str">
        <f>""</f>
        <v/>
      </c>
      <c r="CY216" t="str">
        <f>""</f>
        <v/>
      </c>
      <c r="CZ216" t="str">
        <f>""</f>
        <v/>
      </c>
      <c r="DA216" t="str">
        <f>""</f>
        <v/>
      </c>
      <c r="DB216" t="str">
        <f>""</f>
        <v/>
      </c>
      <c r="DC216" t="str">
        <f>""</f>
        <v/>
      </c>
      <c r="DD216" t="str">
        <f>""</f>
        <v/>
      </c>
      <c r="DE216" t="str">
        <f>""</f>
        <v/>
      </c>
      <c r="DF216" t="str">
        <f>""</f>
        <v/>
      </c>
      <c r="DG216" t="str">
        <f>""</f>
        <v/>
      </c>
      <c r="DH216" t="str">
        <f>""</f>
        <v/>
      </c>
      <c r="DI216" t="str">
        <f>""</f>
        <v/>
      </c>
      <c r="DJ216" t="str">
        <f>""</f>
        <v/>
      </c>
      <c r="DK216" t="str">
        <f>""</f>
        <v/>
      </c>
      <c r="DL216" t="str">
        <f>""</f>
        <v/>
      </c>
      <c r="DM216" t="str">
        <f>""</f>
        <v/>
      </c>
      <c r="DN216" t="str">
        <f>""</f>
        <v/>
      </c>
      <c r="DO216" t="str">
        <f>""</f>
        <v/>
      </c>
      <c r="DP216" t="str">
        <f>""</f>
        <v/>
      </c>
      <c r="DQ216" t="str">
        <f>""</f>
        <v/>
      </c>
      <c r="DR216" t="str">
        <f>""</f>
        <v/>
      </c>
      <c r="DS216" t="str">
        <f>""</f>
        <v/>
      </c>
      <c r="DT216" t="str">
        <f>""</f>
        <v/>
      </c>
      <c r="DU216" t="str">
        <f>""</f>
        <v/>
      </c>
    </row>
    <row r="217" spans="2:125">
      <c r="B217" t="str">
        <f>"RECFDSHC Index"</f>
        <v>RECFDSHC Index</v>
      </c>
      <c r="C217" t="str">
        <f t="shared" ref="C217:C236" si="55">"PR005"</f>
        <v>PR005</v>
      </c>
      <c r="D217" t="str">
        <f t="shared" ref="D217:D236" si="56">"PX_LAST"</f>
        <v>PX_LAST</v>
      </c>
      <c r="E217" t="str">
        <f t="shared" ref="E217:E236" si="57">"动态"</f>
        <v>动态</v>
      </c>
      <c r="F217" t="str">
        <f ca="1">BDH($B$217,$C$217,$B$181,$B$182,CONCATENATE("Per=",$B$179),"Dts=H","Dir=H",CONCATENATE("Points=",$B$180),"Sort=R","Days=A","Fill=B",CONCATENATE("FX=", $B$178) )</f>
        <v>#N/A Authorization</v>
      </c>
      <c r="BN217" t="str">
        <f>""</f>
        <v/>
      </c>
      <c r="BO217" t="str">
        <f>""</f>
        <v/>
      </c>
      <c r="BP217" t="str">
        <f>""</f>
        <v/>
      </c>
      <c r="BQ217" t="str">
        <f>""</f>
        <v/>
      </c>
      <c r="BR217" t="str">
        <f>""</f>
        <v/>
      </c>
      <c r="BS217" t="str">
        <f>""</f>
        <v/>
      </c>
      <c r="BT217" t="str">
        <f>""</f>
        <v/>
      </c>
      <c r="BU217" t="str">
        <f>""</f>
        <v/>
      </c>
      <c r="BV217" t="str">
        <f>""</f>
        <v/>
      </c>
      <c r="BW217" t="str">
        <f>""</f>
        <v/>
      </c>
      <c r="BX217" t="str">
        <f>""</f>
        <v/>
      </c>
      <c r="BY217" t="str">
        <f>""</f>
        <v/>
      </c>
      <c r="BZ217" t="str">
        <f>""</f>
        <v/>
      </c>
      <c r="CA217" t="str">
        <f>""</f>
        <v/>
      </c>
      <c r="CB217" t="str">
        <f>""</f>
        <v/>
      </c>
      <c r="CC217" t="str">
        <f>""</f>
        <v/>
      </c>
      <c r="CD217" t="str">
        <f>""</f>
        <v/>
      </c>
      <c r="CE217" t="str">
        <f>""</f>
        <v/>
      </c>
      <c r="CF217" t="str">
        <f>""</f>
        <v/>
      </c>
      <c r="CG217" t="str">
        <f>""</f>
        <v/>
      </c>
      <c r="CH217" t="str">
        <f>""</f>
        <v/>
      </c>
      <c r="CI217" t="str">
        <f>""</f>
        <v/>
      </c>
      <c r="CJ217" t="str">
        <f>""</f>
        <v/>
      </c>
      <c r="CK217" t="str">
        <f>""</f>
        <v/>
      </c>
      <c r="CL217" t="str">
        <f>""</f>
        <v/>
      </c>
      <c r="CM217" t="str">
        <f>""</f>
        <v/>
      </c>
      <c r="CN217" t="str">
        <f>""</f>
        <v/>
      </c>
      <c r="CO217" t="str">
        <f>""</f>
        <v/>
      </c>
      <c r="CP217" t="str">
        <f>""</f>
        <v/>
      </c>
      <c r="CQ217" t="str">
        <f>""</f>
        <v/>
      </c>
      <c r="CR217" t="str">
        <f>""</f>
        <v/>
      </c>
      <c r="CS217" t="str">
        <f>""</f>
        <v/>
      </c>
      <c r="CT217" t="str">
        <f>""</f>
        <v/>
      </c>
      <c r="CU217" t="str">
        <f>""</f>
        <v/>
      </c>
      <c r="CV217" t="str">
        <f>""</f>
        <v/>
      </c>
      <c r="CW217" t="str">
        <f>""</f>
        <v/>
      </c>
      <c r="CX217" t="str">
        <f>""</f>
        <v/>
      </c>
      <c r="CY217" t="str">
        <f>""</f>
        <v/>
      </c>
      <c r="CZ217" t="str">
        <f>""</f>
        <v/>
      </c>
      <c r="DA217" t="str">
        <f>""</f>
        <v/>
      </c>
      <c r="DB217" t="str">
        <f>""</f>
        <v/>
      </c>
      <c r="DC217" t="str">
        <f>""</f>
        <v/>
      </c>
      <c r="DD217" t="str">
        <f>""</f>
        <v/>
      </c>
      <c r="DE217" t="str">
        <f>""</f>
        <v/>
      </c>
      <c r="DF217" t="str">
        <f>""</f>
        <v/>
      </c>
      <c r="DG217" t="str">
        <f>""</f>
        <v/>
      </c>
      <c r="DH217" t="str">
        <f>""</f>
        <v/>
      </c>
      <c r="DI217" t="str">
        <f>""</f>
        <v/>
      </c>
      <c r="DJ217" t="str">
        <f>""</f>
        <v/>
      </c>
      <c r="DK217" t="str">
        <f>""</f>
        <v/>
      </c>
      <c r="DL217" t="str">
        <f>""</f>
        <v/>
      </c>
      <c r="DM217" t="str">
        <f>""</f>
        <v/>
      </c>
      <c r="DN217" t="str">
        <f>""</f>
        <v/>
      </c>
      <c r="DO217" t="str">
        <f>""</f>
        <v/>
      </c>
      <c r="DP217" t="str">
        <f>""</f>
        <v/>
      </c>
      <c r="DQ217" t="str">
        <f>""</f>
        <v/>
      </c>
      <c r="DR217" t="str">
        <f>""</f>
        <v/>
      </c>
      <c r="DS217" t="str">
        <f>""</f>
        <v/>
      </c>
      <c r="DT217" t="str">
        <f>""</f>
        <v/>
      </c>
      <c r="DU217" t="str">
        <f>""</f>
        <v/>
      </c>
    </row>
    <row r="218" spans="2:125">
      <c r="B218" t="str">
        <f>"RECFDSDC Index"</f>
        <v>RECFDSDC Index</v>
      </c>
      <c r="C218" t="str">
        <f t="shared" si="55"/>
        <v>PR005</v>
      </c>
      <c r="D218" t="str">
        <f t="shared" si="56"/>
        <v>PX_LAST</v>
      </c>
      <c r="E218" t="str">
        <f t="shared" si="57"/>
        <v>动态</v>
      </c>
      <c r="F218" t="str">
        <f ca="1">BDH($B$218,$C$218,$B$181,$B$182,CONCATENATE("Per=",$B$179),"Dts=H","Dir=H",CONCATENATE("Points=",$B$180),"Sort=R","Days=A","Fill=B",CONCATENATE("FX=", $B$178) )</f>
        <v>#N/A Authorization</v>
      </c>
      <c r="BN218" t="str">
        <f>""</f>
        <v/>
      </c>
      <c r="BO218" t="str">
        <f>""</f>
        <v/>
      </c>
      <c r="BP218" t="str">
        <f>""</f>
        <v/>
      </c>
      <c r="BQ218" t="str">
        <f>""</f>
        <v/>
      </c>
      <c r="BR218" t="str">
        <f>""</f>
        <v/>
      </c>
      <c r="BS218" t="str">
        <f>""</f>
        <v/>
      </c>
      <c r="BT218" t="str">
        <f>""</f>
        <v/>
      </c>
      <c r="BU218" t="str">
        <f>""</f>
        <v/>
      </c>
      <c r="BV218" t="str">
        <f>""</f>
        <v/>
      </c>
      <c r="BW218" t="str">
        <f>""</f>
        <v/>
      </c>
      <c r="BX218" t="str">
        <f>""</f>
        <v/>
      </c>
      <c r="BY218" t="str">
        <f>""</f>
        <v/>
      </c>
      <c r="BZ218" t="str">
        <f>""</f>
        <v/>
      </c>
      <c r="CA218" t="str">
        <f>""</f>
        <v/>
      </c>
      <c r="CB218" t="str">
        <f>""</f>
        <v/>
      </c>
      <c r="CC218" t="str">
        <f>""</f>
        <v/>
      </c>
      <c r="CD218" t="str">
        <f>""</f>
        <v/>
      </c>
      <c r="CE218" t="str">
        <f>""</f>
        <v/>
      </c>
      <c r="CF218" t="str">
        <f>""</f>
        <v/>
      </c>
      <c r="CG218" t="str">
        <f>""</f>
        <v/>
      </c>
      <c r="CH218" t="str">
        <f>""</f>
        <v/>
      </c>
      <c r="CI218" t="str">
        <f>""</f>
        <v/>
      </c>
      <c r="CJ218" t="str">
        <f>""</f>
        <v/>
      </c>
      <c r="CK218" t="str">
        <f>""</f>
        <v/>
      </c>
      <c r="CL218" t="str">
        <f>""</f>
        <v/>
      </c>
      <c r="CM218" t="str">
        <f>""</f>
        <v/>
      </c>
      <c r="CN218" t="str">
        <f>""</f>
        <v/>
      </c>
      <c r="CO218" t="str">
        <f>""</f>
        <v/>
      </c>
      <c r="CP218" t="str">
        <f>""</f>
        <v/>
      </c>
      <c r="CQ218" t="str">
        <f>""</f>
        <v/>
      </c>
      <c r="CR218" t="str">
        <f>""</f>
        <v/>
      </c>
      <c r="CS218" t="str">
        <f>""</f>
        <v/>
      </c>
      <c r="CT218" t="str">
        <f>""</f>
        <v/>
      </c>
      <c r="CU218" t="str">
        <f>""</f>
        <v/>
      </c>
      <c r="CV218" t="str">
        <f>""</f>
        <v/>
      </c>
      <c r="CW218" t="str">
        <f>""</f>
        <v/>
      </c>
      <c r="CX218" t="str">
        <f>""</f>
        <v/>
      </c>
      <c r="CY218" t="str">
        <f>""</f>
        <v/>
      </c>
      <c r="CZ218" t="str">
        <f>""</f>
        <v/>
      </c>
      <c r="DA218" t="str">
        <f>""</f>
        <v/>
      </c>
      <c r="DB218" t="str">
        <f>""</f>
        <v/>
      </c>
      <c r="DC218" t="str">
        <f>""</f>
        <v/>
      </c>
      <c r="DD218" t="str">
        <f>""</f>
        <v/>
      </c>
      <c r="DE218" t="str">
        <f>""</f>
        <v/>
      </c>
      <c r="DF218" t="str">
        <f>""</f>
        <v/>
      </c>
      <c r="DG218" t="str">
        <f>""</f>
        <v/>
      </c>
      <c r="DH218" t="str">
        <f>""</f>
        <v/>
      </c>
      <c r="DI218" t="str">
        <f>""</f>
        <v/>
      </c>
      <c r="DJ218" t="str">
        <f>""</f>
        <v/>
      </c>
      <c r="DK218" t="str">
        <f>""</f>
        <v/>
      </c>
      <c r="DL218" t="str">
        <f>""</f>
        <v/>
      </c>
      <c r="DM218" t="str">
        <f>""</f>
        <v/>
      </c>
      <c r="DN218" t="str">
        <f>""</f>
        <v/>
      </c>
      <c r="DO218" t="str">
        <f>""</f>
        <v/>
      </c>
      <c r="DP218" t="str">
        <f>""</f>
        <v/>
      </c>
      <c r="DQ218" t="str">
        <f>""</f>
        <v/>
      </c>
      <c r="DR218" t="str">
        <f>""</f>
        <v/>
      </c>
      <c r="DS218" t="str">
        <f>""</f>
        <v/>
      </c>
      <c r="DT218" t="str">
        <f>""</f>
        <v/>
      </c>
      <c r="DU218" t="str">
        <f>""</f>
        <v/>
      </c>
    </row>
    <row r="219" spans="2:125">
      <c r="B219" t="str">
        <f>"RECFDSSP Index"</f>
        <v>RECFDSSP Index</v>
      </c>
      <c r="C219" t="str">
        <f t="shared" si="55"/>
        <v>PR005</v>
      </c>
      <c r="D219" t="str">
        <f t="shared" si="56"/>
        <v>PX_LAST</v>
      </c>
      <c r="E219" t="str">
        <f t="shared" si="57"/>
        <v>动态</v>
      </c>
      <c r="F219" t="str">
        <f ca="1">BDH($B$219,$C$219,$B$181,$B$182,CONCATENATE("Per=",$B$179),"Dts=H","Dir=H",CONCATENATE("Points=",$B$180),"Sort=R","Days=A","Fill=B",CONCATENATE("FX=", $B$178) )</f>
        <v>#N/A Authorization</v>
      </c>
      <c r="BN219" t="str">
        <f>""</f>
        <v/>
      </c>
      <c r="BO219" t="str">
        <f>""</f>
        <v/>
      </c>
      <c r="BP219" t="str">
        <f>""</f>
        <v/>
      </c>
      <c r="BQ219" t="str">
        <f>""</f>
        <v/>
      </c>
      <c r="BR219" t="str">
        <f>""</f>
        <v/>
      </c>
      <c r="BS219" t="str">
        <f>""</f>
        <v/>
      </c>
      <c r="BT219" t="str">
        <f>""</f>
        <v/>
      </c>
      <c r="BU219" t="str">
        <f>""</f>
        <v/>
      </c>
      <c r="BV219" t="str">
        <f>""</f>
        <v/>
      </c>
      <c r="BW219" t="str">
        <f>""</f>
        <v/>
      </c>
      <c r="BX219" t="str">
        <f>""</f>
        <v/>
      </c>
      <c r="BY219" t="str">
        <f>""</f>
        <v/>
      </c>
      <c r="BZ219" t="str">
        <f>""</f>
        <v/>
      </c>
      <c r="CA219" t="str">
        <f>""</f>
        <v/>
      </c>
      <c r="CB219" t="str">
        <f>""</f>
        <v/>
      </c>
      <c r="CC219" t="str">
        <f>""</f>
        <v/>
      </c>
      <c r="CD219" t="str">
        <f>""</f>
        <v/>
      </c>
      <c r="CE219" t="str">
        <f>""</f>
        <v/>
      </c>
      <c r="CF219" t="str">
        <f>""</f>
        <v/>
      </c>
      <c r="CG219" t="str">
        <f>""</f>
        <v/>
      </c>
      <c r="CH219" t="str">
        <f>""</f>
        <v/>
      </c>
      <c r="CI219" t="str">
        <f>""</f>
        <v/>
      </c>
      <c r="CJ219" t="str">
        <f>""</f>
        <v/>
      </c>
      <c r="CK219" t="str">
        <f>""</f>
        <v/>
      </c>
      <c r="CL219" t="str">
        <f>""</f>
        <v/>
      </c>
      <c r="CM219" t="str">
        <f>""</f>
        <v/>
      </c>
      <c r="CN219" t="str">
        <f>""</f>
        <v/>
      </c>
      <c r="CO219" t="str">
        <f>""</f>
        <v/>
      </c>
      <c r="CP219" t="str">
        <f>""</f>
        <v/>
      </c>
      <c r="CQ219" t="str">
        <f>""</f>
        <v/>
      </c>
      <c r="CR219" t="str">
        <f>""</f>
        <v/>
      </c>
      <c r="CS219" t="str">
        <f>""</f>
        <v/>
      </c>
      <c r="CT219" t="str">
        <f>""</f>
        <v/>
      </c>
      <c r="CU219" t="str">
        <f>""</f>
        <v/>
      </c>
      <c r="CV219" t="str">
        <f>""</f>
        <v/>
      </c>
      <c r="CW219" t="str">
        <f>""</f>
        <v/>
      </c>
      <c r="CX219" t="str">
        <f>""</f>
        <v/>
      </c>
      <c r="CY219" t="str">
        <f>""</f>
        <v/>
      </c>
      <c r="CZ219" t="str">
        <f>""</f>
        <v/>
      </c>
      <c r="DA219" t="str">
        <f>""</f>
        <v/>
      </c>
      <c r="DB219" t="str">
        <f>""</f>
        <v/>
      </c>
      <c r="DC219" t="str">
        <f>""</f>
        <v/>
      </c>
      <c r="DD219" t="str">
        <f>""</f>
        <v/>
      </c>
      <c r="DE219" t="str">
        <f>""</f>
        <v/>
      </c>
      <c r="DF219" t="str">
        <f>""</f>
        <v/>
      </c>
      <c r="DG219" t="str">
        <f>""</f>
        <v/>
      </c>
      <c r="DH219" t="str">
        <f>""</f>
        <v/>
      </c>
      <c r="DI219" t="str">
        <f>""</f>
        <v/>
      </c>
      <c r="DJ219" t="str">
        <f>""</f>
        <v/>
      </c>
      <c r="DK219" t="str">
        <f>""</f>
        <v/>
      </c>
      <c r="DL219" t="str">
        <f>""</f>
        <v/>
      </c>
      <c r="DM219" t="str">
        <f>""</f>
        <v/>
      </c>
      <c r="DN219" t="str">
        <f>""</f>
        <v/>
      </c>
      <c r="DO219" t="str">
        <f>""</f>
        <v/>
      </c>
      <c r="DP219" t="str">
        <f>""</f>
        <v/>
      </c>
      <c r="DQ219" t="str">
        <f>""</f>
        <v/>
      </c>
      <c r="DR219" t="str">
        <f>""</f>
        <v/>
      </c>
      <c r="DS219" t="str">
        <f>""</f>
        <v/>
      </c>
      <c r="DT219" t="str">
        <f>""</f>
        <v/>
      </c>
      <c r="DU219" t="str">
        <f>""</f>
        <v/>
      </c>
    </row>
    <row r="220" spans="2:125">
      <c r="B220" t="str">
        <f>"RECFNAEQ Index"</f>
        <v>RECFNAEQ Index</v>
      </c>
      <c r="C220" t="str">
        <f t="shared" si="55"/>
        <v>PR005</v>
      </c>
      <c r="D220" t="str">
        <f t="shared" si="56"/>
        <v>PX_LAST</v>
      </c>
      <c r="E220" t="str">
        <f t="shared" si="57"/>
        <v>动态</v>
      </c>
      <c r="F220" t="str">
        <f ca="1">BDH($B$220,$C$220,$B$181,$B$182,CONCATENATE("Per=",$B$179),"Dts=H","Dir=H",CONCATENATE("Points=",$B$180),"Sort=R","Days=A","Fill=B",CONCATENATE("FX=", $B$178) )</f>
        <v>#N/A Authorization</v>
      </c>
      <c r="BN220" t="str">
        <f>""</f>
        <v/>
      </c>
      <c r="BO220" t="str">
        <f>""</f>
        <v/>
      </c>
      <c r="BP220" t="str">
        <f>""</f>
        <v/>
      </c>
      <c r="BQ220" t="str">
        <f>""</f>
        <v/>
      </c>
      <c r="BR220" t="str">
        <f>""</f>
        <v/>
      </c>
      <c r="BS220" t="str">
        <f>""</f>
        <v/>
      </c>
      <c r="BT220" t="str">
        <f>""</f>
        <v/>
      </c>
      <c r="BU220" t="str">
        <f>""</f>
        <v/>
      </c>
      <c r="BV220" t="str">
        <f>""</f>
        <v/>
      </c>
      <c r="BW220" t="str">
        <f>""</f>
        <v/>
      </c>
      <c r="BX220" t="str">
        <f>""</f>
        <v/>
      </c>
      <c r="BY220" t="str">
        <f>""</f>
        <v/>
      </c>
      <c r="BZ220" t="str">
        <f>""</f>
        <v/>
      </c>
      <c r="CA220" t="str">
        <f>""</f>
        <v/>
      </c>
      <c r="CB220" t="str">
        <f>""</f>
        <v/>
      </c>
      <c r="CC220" t="str">
        <f>""</f>
        <v/>
      </c>
      <c r="CD220" t="str">
        <f>""</f>
        <v/>
      </c>
      <c r="CE220" t="str">
        <f>""</f>
        <v/>
      </c>
      <c r="CF220" t="str">
        <f>""</f>
        <v/>
      </c>
      <c r="CG220" t="str">
        <f>""</f>
        <v/>
      </c>
      <c r="CH220" t="str">
        <f>""</f>
        <v/>
      </c>
      <c r="CI220" t="str">
        <f>""</f>
        <v/>
      </c>
      <c r="CJ220" t="str">
        <f>""</f>
        <v/>
      </c>
      <c r="CK220" t="str">
        <f>""</f>
        <v/>
      </c>
      <c r="CL220" t="str">
        <f>""</f>
        <v/>
      </c>
      <c r="CM220" t="str">
        <f>""</f>
        <v/>
      </c>
      <c r="CN220" t="str">
        <f>""</f>
        <v/>
      </c>
      <c r="CO220" t="str">
        <f>""</f>
        <v/>
      </c>
      <c r="CP220" t="str">
        <f>""</f>
        <v/>
      </c>
      <c r="CQ220" t="str">
        <f>""</f>
        <v/>
      </c>
      <c r="CR220" t="str">
        <f>""</f>
        <v/>
      </c>
      <c r="CS220" t="str">
        <f>""</f>
        <v/>
      </c>
      <c r="CT220" t="str">
        <f>""</f>
        <v/>
      </c>
      <c r="CU220" t="str">
        <f>""</f>
        <v/>
      </c>
      <c r="CV220" t="str">
        <f>""</f>
        <v/>
      </c>
      <c r="CW220" t="str">
        <f>""</f>
        <v/>
      </c>
      <c r="CX220" t="str">
        <f>""</f>
        <v/>
      </c>
      <c r="CY220" t="str">
        <f>""</f>
        <v/>
      </c>
      <c r="CZ220" t="str">
        <f>""</f>
        <v/>
      </c>
      <c r="DA220" t="str">
        <f>""</f>
        <v/>
      </c>
      <c r="DB220" t="str">
        <f>""</f>
        <v/>
      </c>
      <c r="DC220" t="str">
        <f>""</f>
        <v/>
      </c>
      <c r="DD220" t="str">
        <f>""</f>
        <v/>
      </c>
      <c r="DE220" t="str">
        <f>""</f>
        <v/>
      </c>
      <c r="DF220" t="str">
        <f>""</f>
        <v/>
      </c>
      <c r="DG220" t="str">
        <f>""</f>
        <v/>
      </c>
      <c r="DH220" t="str">
        <f>""</f>
        <v/>
      </c>
      <c r="DI220" t="str">
        <f>""</f>
        <v/>
      </c>
      <c r="DJ220" t="str">
        <f>""</f>
        <v/>
      </c>
      <c r="DK220" t="str">
        <f>""</f>
        <v/>
      </c>
      <c r="DL220" t="str">
        <f>""</f>
        <v/>
      </c>
      <c r="DM220" t="str">
        <f>""</f>
        <v/>
      </c>
      <c r="DN220" t="str">
        <f>""</f>
        <v/>
      </c>
      <c r="DO220" t="str">
        <f>""</f>
        <v/>
      </c>
      <c r="DP220" t="str">
        <f>""</f>
        <v/>
      </c>
      <c r="DQ220" t="str">
        <f>""</f>
        <v/>
      </c>
      <c r="DR220" t="str">
        <f>""</f>
        <v/>
      </c>
      <c r="DS220" t="str">
        <f>""</f>
        <v/>
      </c>
      <c r="DT220" t="str">
        <f>""</f>
        <v/>
      </c>
      <c r="DU220" t="str">
        <f>""</f>
        <v/>
      </c>
    </row>
    <row r="221" spans="2:125">
      <c r="B221" t="str">
        <f>"RECFNAOF Index"</f>
        <v>RECFNAOF Index</v>
      </c>
      <c r="C221" t="str">
        <f t="shared" si="55"/>
        <v>PR005</v>
      </c>
      <c r="D221" t="str">
        <f t="shared" si="56"/>
        <v>PX_LAST</v>
      </c>
      <c r="E221" t="str">
        <f t="shared" si="57"/>
        <v>动态</v>
      </c>
      <c r="F221" t="str">
        <f ca="1">BDH($B$221,$C$221,$B$181,$B$182,CONCATENATE("Per=",$B$179),"Dts=H","Dir=H",CONCATENATE("Points=",$B$180),"Sort=R","Days=A","Fill=B",CONCATENATE("FX=", $B$178) )</f>
        <v>#N/A Authorization</v>
      </c>
      <c r="BN221" t="str">
        <f>""</f>
        <v/>
      </c>
      <c r="BO221" t="str">
        <f>""</f>
        <v/>
      </c>
      <c r="BP221" t="str">
        <f>""</f>
        <v/>
      </c>
      <c r="BQ221" t="str">
        <f>""</f>
        <v/>
      </c>
      <c r="BR221" t="str">
        <f>""</f>
        <v/>
      </c>
      <c r="BS221" t="str">
        <f>""</f>
        <v/>
      </c>
      <c r="BT221" t="str">
        <f>""</f>
        <v/>
      </c>
      <c r="BU221" t="str">
        <f>""</f>
        <v/>
      </c>
      <c r="BV221" t="str">
        <f>""</f>
        <v/>
      </c>
      <c r="BW221" t="str">
        <f>""</f>
        <v/>
      </c>
      <c r="BX221" t="str">
        <f>""</f>
        <v/>
      </c>
      <c r="BY221" t="str">
        <f>""</f>
        <v/>
      </c>
      <c r="BZ221" t="str">
        <f>""</f>
        <v/>
      </c>
      <c r="CA221" t="str">
        <f>""</f>
        <v/>
      </c>
      <c r="CB221" t="str">
        <f>""</f>
        <v/>
      </c>
      <c r="CC221" t="str">
        <f>""</f>
        <v/>
      </c>
      <c r="CD221" t="str">
        <f>""</f>
        <v/>
      </c>
      <c r="CE221" t="str">
        <f>""</f>
        <v/>
      </c>
      <c r="CF221" t="str">
        <f>""</f>
        <v/>
      </c>
      <c r="CG221" t="str">
        <f>""</f>
        <v/>
      </c>
      <c r="CH221" t="str">
        <f>""</f>
        <v/>
      </c>
      <c r="CI221" t="str">
        <f>""</f>
        <v/>
      </c>
      <c r="CJ221" t="str">
        <f>""</f>
        <v/>
      </c>
      <c r="CK221" t="str">
        <f>""</f>
        <v/>
      </c>
      <c r="CL221" t="str">
        <f>""</f>
        <v/>
      </c>
      <c r="CM221" t="str">
        <f>""</f>
        <v/>
      </c>
      <c r="CN221" t="str">
        <f>""</f>
        <v/>
      </c>
      <c r="CO221" t="str">
        <f>""</f>
        <v/>
      </c>
      <c r="CP221" t="str">
        <f>""</f>
        <v/>
      </c>
      <c r="CQ221" t="str">
        <f>""</f>
        <v/>
      </c>
      <c r="CR221" t="str">
        <f>""</f>
        <v/>
      </c>
      <c r="CS221" t="str">
        <f>""</f>
        <v/>
      </c>
      <c r="CT221" t="str">
        <f>""</f>
        <v/>
      </c>
      <c r="CU221" t="str">
        <f>""</f>
        <v/>
      </c>
      <c r="CV221" t="str">
        <f>""</f>
        <v/>
      </c>
      <c r="CW221" t="str">
        <f>""</f>
        <v/>
      </c>
      <c r="CX221" t="str">
        <f>""</f>
        <v/>
      </c>
      <c r="CY221" t="str">
        <f>""</f>
        <v/>
      </c>
      <c r="CZ221" t="str">
        <f>""</f>
        <v/>
      </c>
      <c r="DA221" t="str">
        <f>""</f>
        <v/>
      </c>
      <c r="DB221" t="str">
        <f>""</f>
        <v/>
      </c>
      <c r="DC221" t="str">
        <f>""</f>
        <v/>
      </c>
      <c r="DD221" t="str">
        <f>""</f>
        <v/>
      </c>
      <c r="DE221" t="str">
        <f>""</f>
        <v/>
      </c>
      <c r="DF221" t="str">
        <f>""</f>
        <v/>
      </c>
      <c r="DG221" t="str">
        <f>""</f>
        <v/>
      </c>
      <c r="DH221" t="str">
        <f>""</f>
        <v/>
      </c>
      <c r="DI221" t="str">
        <f>""</f>
        <v/>
      </c>
      <c r="DJ221" t="str">
        <f>""</f>
        <v/>
      </c>
      <c r="DK221" t="str">
        <f>""</f>
        <v/>
      </c>
      <c r="DL221" t="str">
        <f>""</f>
        <v/>
      </c>
      <c r="DM221" t="str">
        <f>""</f>
        <v/>
      </c>
      <c r="DN221" t="str">
        <f>""</f>
        <v/>
      </c>
      <c r="DO221" t="str">
        <f>""</f>
        <v/>
      </c>
      <c r="DP221" t="str">
        <f>""</f>
        <v/>
      </c>
      <c r="DQ221" t="str">
        <f>""</f>
        <v/>
      </c>
      <c r="DR221" t="str">
        <f>""</f>
        <v/>
      </c>
      <c r="DS221" t="str">
        <f>""</f>
        <v/>
      </c>
      <c r="DT221" t="str">
        <f>""</f>
        <v/>
      </c>
      <c r="DU221" t="str">
        <f>""</f>
        <v/>
      </c>
    </row>
    <row r="222" spans="2:125">
      <c r="B222" t="str">
        <f>"RECFNAIN Index"</f>
        <v>RECFNAIN Index</v>
      </c>
      <c r="C222" t="str">
        <f t="shared" si="55"/>
        <v>PR005</v>
      </c>
      <c r="D222" t="str">
        <f t="shared" si="56"/>
        <v>PX_LAST</v>
      </c>
      <c r="E222" t="str">
        <f t="shared" si="57"/>
        <v>动态</v>
      </c>
      <c r="F222" t="str">
        <f ca="1">BDH($B$222,$C$222,$B$181,$B$182,CONCATENATE("Per=",$B$179),"Dts=H","Dir=H",CONCATENATE("Points=",$B$180),"Sort=R","Days=A","Fill=B",CONCATENATE("FX=", $B$178) )</f>
        <v>#N/A Authorization</v>
      </c>
      <c r="BN222" t="str">
        <f>""</f>
        <v/>
      </c>
      <c r="BO222" t="str">
        <f>""</f>
        <v/>
      </c>
      <c r="BP222" t="str">
        <f>""</f>
        <v/>
      </c>
      <c r="BQ222" t="str">
        <f>""</f>
        <v/>
      </c>
      <c r="BR222" t="str">
        <f>""</f>
        <v/>
      </c>
      <c r="BS222" t="str">
        <f>""</f>
        <v/>
      </c>
      <c r="BT222" t="str">
        <f>""</f>
        <v/>
      </c>
      <c r="BU222" t="str">
        <f>""</f>
        <v/>
      </c>
      <c r="BV222" t="str">
        <f>""</f>
        <v/>
      </c>
      <c r="BW222" t="str">
        <f>""</f>
        <v/>
      </c>
      <c r="BX222" t="str">
        <f>""</f>
        <v/>
      </c>
      <c r="BY222" t="str">
        <f>""</f>
        <v/>
      </c>
      <c r="BZ222" t="str">
        <f>""</f>
        <v/>
      </c>
      <c r="CA222" t="str">
        <f>""</f>
        <v/>
      </c>
      <c r="CB222" t="str">
        <f>""</f>
        <v/>
      </c>
      <c r="CC222" t="str">
        <f>""</f>
        <v/>
      </c>
      <c r="CD222" t="str">
        <f>""</f>
        <v/>
      </c>
      <c r="CE222" t="str">
        <f>""</f>
        <v/>
      </c>
      <c r="CF222" t="str">
        <f>""</f>
        <v/>
      </c>
      <c r="CG222" t="str">
        <f>""</f>
        <v/>
      </c>
      <c r="CH222" t="str">
        <f>""</f>
        <v/>
      </c>
      <c r="CI222" t="str">
        <f>""</f>
        <v/>
      </c>
      <c r="CJ222" t="str">
        <f>""</f>
        <v/>
      </c>
      <c r="CK222" t="str">
        <f>""</f>
        <v/>
      </c>
      <c r="CL222" t="str">
        <f>""</f>
        <v/>
      </c>
      <c r="CM222" t="str">
        <f>""</f>
        <v/>
      </c>
      <c r="CN222" t="str">
        <f>""</f>
        <v/>
      </c>
      <c r="CO222" t="str">
        <f>""</f>
        <v/>
      </c>
      <c r="CP222" t="str">
        <f>""</f>
        <v/>
      </c>
      <c r="CQ222" t="str">
        <f>""</f>
        <v/>
      </c>
      <c r="CR222" t="str">
        <f>""</f>
        <v/>
      </c>
      <c r="CS222" t="str">
        <f>""</f>
        <v/>
      </c>
      <c r="CT222" t="str">
        <f>""</f>
        <v/>
      </c>
      <c r="CU222" t="str">
        <f>""</f>
        <v/>
      </c>
      <c r="CV222" t="str">
        <f>""</f>
        <v/>
      </c>
      <c r="CW222" t="str">
        <f>""</f>
        <v/>
      </c>
      <c r="CX222" t="str">
        <f>""</f>
        <v/>
      </c>
      <c r="CY222" t="str">
        <f>""</f>
        <v/>
      </c>
      <c r="CZ222" t="str">
        <f>""</f>
        <v/>
      </c>
      <c r="DA222" t="str">
        <f>""</f>
        <v/>
      </c>
      <c r="DB222" t="str">
        <f>""</f>
        <v/>
      </c>
      <c r="DC222" t="str">
        <f>""</f>
        <v/>
      </c>
      <c r="DD222" t="str">
        <f>""</f>
        <v/>
      </c>
      <c r="DE222" t="str">
        <f>""</f>
        <v/>
      </c>
      <c r="DF222" t="str">
        <f>""</f>
        <v/>
      </c>
      <c r="DG222" t="str">
        <f>""</f>
        <v/>
      </c>
      <c r="DH222" t="str">
        <f>""</f>
        <v/>
      </c>
      <c r="DI222" t="str">
        <f>""</f>
        <v/>
      </c>
      <c r="DJ222" t="str">
        <f>""</f>
        <v/>
      </c>
      <c r="DK222" t="str">
        <f>""</f>
        <v/>
      </c>
      <c r="DL222" t="str">
        <f>""</f>
        <v/>
      </c>
      <c r="DM222" t="str">
        <f>""</f>
        <v/>
      </c>
      <c r="DN222" t="str">
        <f>""</f>
        <v/>
      </c>
      <c r="DO222" t="str">
        <f>""</f>
        <v/>
      </c>
      <c r="DP222" t="str">
        <f>""</f>
        <v/>
      </c>
      <c r="DQ222" t="str">
        <f>""</f>
        <v/>
      </c>
      <c r="DR222" t="str">
        <f>""</f>
        <v/>
      </c>
      <c r="DS222" t="str">
        <f>""</f>
        <v/>
      </c>
      <c r="DT222" t="str">
        <f>""</f>
        <v/>
      </c>
      <c r="DU222" t="str">
        <f>""</f>
        <v/>
      </c>
    </row>
    <row r="223" spans="2:125">
      <c r="B223" t="str">
        <f>"RECFNART Index"</f>
        <v>RECFNART Index</v>
      </c>
      <c r="C223" t="str">
        <f t="shared" si="55"/>
        <v>PR005</v>
      </c>
      <c r="D223" t="str">
        <f t="shared" si="56"/>
        <v>PX_LAST</v>
      </c>
      <c r="E223" t="str">
        <f t="shared" si="57"/>
        <v>动态</v>
      </c>
      <c r="F223" t="str">
        <f ca="1">BDH($B$223,$C$223,$B$181,$B$182,CONCATENATE("Per=",$B$179),"Dts=H","Dir=H",CONCATENATE("Points=",$B$180),"Sort=R","Days=A","Fill=B",CONCATENATE("FX=", $B$178) )</f>
        <v>#N/A Authorization</v>
      </c>
      <c r="BN223" t="str">
        <f>""</f>
        <v/>
      </c>
      <c r="BO223" t="str">
        <f>""</f>
        <v/>
      </c>
      <c r="BP223" t="str">
        <f>""</f>
        <v/>
      </c>
      <c r="BQ223" t="str">
        <f>""</f>
        <v/>
      </c>
      <c r="BR223" t="str">
        <f>""</f>
        <v/>
      </c>
      <c r="BS223" t="str">
        <f>""</f>
        <v/>
      </c>
      <c r="BT223" t="str">
        <f>""</f>
        <v/>
      </c>
      <c r="BU223" t="str">
        <f>""</f>
        <v/>
      </c>
      <c r="BV223" t="str">
        <f>""</f>
        <v/>
      </c>
      <c r="BW223" t="str">
        <f>""</f>
        <v/>
      </c>
      <c r="BX223" t="str">
        <f>""</f>
        <v/>
      </c>
      <c r="BY223" t="str">
        <f>""</f>
        <v/>
      </c>
      <c r="BZ223" t="str">
        <f>""</f>
        <v/>
      </c>
      <c r="CA223" t="str">
        <f>""</f>
        <v/>
      </c>
      <c r="CB223" t="str">
        <f>""</f>
        <v/>
      </c>
      <c r="CC223" t="str">
        <f>""</f>
        <v/>
      </c>
      <c r="CD223" t="str">
        <f>""</f>
        <v/>
      </c>
      <c r="CE223" t="str">
        <f>""</f>
        <v/>
      </c>
      <c r="CF223" t="str">
        <f>""</f>
        <v/>
      </c>
      <c r="CG223" t="str">
        <f>""</f>
        <v/>
      </c>
      <c r="CH223" t="str">
        <f>""</f>
        <v/>
      </c>
      <c r="CI223" t="str">
        <f>""</f>
        <v/>
      </c>
      <c r="CJ223" t="str">
        <f>""</f>
        <v/>
      </c>
      <c r="CK223" t="str">
        <f>""</f>
        <v/>
      </c>
      <c r="CL223" t="str">
        <f>""</f>
        <v/>
      </c>
      <c r="CM223" t="str">
        <f>""</f>
        <v/>
      </c>
      <c r="CN223" t="str">
        <f>""</f>
        <v/>
      </c>
      <c r="CO223" t="str">
        <f>""</f>
        <v/>
      </c>
      <c r="CP223" t="str">
        <f>""</f>
        <v/>
      </c>
      <c r="CQ223" t="str">
        <f>""</f>
        <v/>
      </c>
      <c r="CR223" t="str">
        <f>""</f>
        <v/>
      </c>
      <c r="CS223" t="str">
        <f>""</f>
        <v/>
      </c>
      <c r="CT223" t="str">
        <f>""</f>
        <v/>
      </c>
      <c r="CU223" t="str">
        <f>""</f>
        <v/>
      </c>
      <c r="CV223" t="str">
        <f>""</f>
        <v/>
      </c>
      <c r="CW223" t="str">
        <f>""</f>
        <v/>
      </c>
      <c r="CX223" t="str">
        <f>""</f>
        <v/>
      </c>
      <c r="CY223" t="str">
        <f>""</f>
        <v/>
      </c>
      <c r="CZ223" t="str">
        <f>""</f>
        <v/>
      </c>
      <c r="DA223" t="str">
        <f>""</f>
        <v/>
      </c>
      <c r="DB223" t="str">
        <f>""</f>
        <v/>
      </c>
      <c r="DC223" t="str">
        <f>""</f>
        <v/>
      </c>
      <c r="DD223" t="str">
        <f>""</f>
        <v/>
      </c>
      <c r="DE223" t="str">
        <f>""</f>
        <v/>
      </c>
      <c r="DF223" t="str">
        <f>""</f>
        <v/>
      </c>
      <c r="DG223" t="str">
        <f>""</f>
        <v/>
      </c>
      <c r="DH223" t="str">
        <f>""</f>
        <v/>
      </c>
      <c r="DI223" t="str">
        <f>""</f>
        <v/>
      </c>
      <c r="DJ223" t="str">
        <f>""</f>
        <v/>
      </c>
      <c r="DK223" t="str">
        <f>""</f>
        <v/>
      </c>
      <c r="DL223" t="str">
        <f>""</f>
        <v/>
      </c>
      <c r="DM223" t="str">
        <f>""</f>
        <v/>
      </c>
      <c r="DN223" t="str">
        <f>""</f>
        <v/>
      </c>
      <c r="DO223" t="str">
        <f>""</f>
        <v/>
      </c>
      <c r="DP223" t="str">
        <f>""</f>
        <v/>
      </c>
      <c r="DQ223" t="str">
        <f>""</f>
        <v/>
      </c>
      <c r="DR223" t="str">
        <f>""</f>
        <v/>
      </c>
      <c r="DS223" t="str">
        <f>""</f>
        <v/>
      </c>
      <c r="DT223" t="str">
        <f>""</f>
        <v/>
      </c>
      <c r="DU223" t="str">
        <f>""</f>
        <v/>
      </c>
    </row>
    <row r="224" spans="2:125">
      <c r="B224" t="str">
        <f>"RECFNASC Index"</f>
        <v>RECFNASC Index</v>
      </c>
      <c r="C224" t="str">
        <f t="shared" si="55"/>
        <v>PR005</v>
      </c>
      <c r="D224" t="str">
        <f t="shared" si="56"/>
        <v>PX_LAST</v>
      </c>
      <c r="E224" t="str">
        <f t="shared" si="57"/>
        <v>动态</v>
      </c>
      <c r="F224" t="str">
        <f ca="1">BDH($B$224,$C$224,$B$181,$B$182,CONCATENATE("Per=",$B$179),"Dts=H","Dir=H",CONCATENATE("Points=",$B$180),"Sort=R","Days=A","Fill=B",CONCATENATE("FX=", $B$178) )</f>
        <v>#N/A Authorization</v>
      </c>
      <c r="BN224" t="str">
        <f>""</f>
        <v/>
      </c>
      <c r="BO224" t="str">
        <f>""</f>
        <v/>
      </c>
      <c r="BP224" t="str">
        <f>""</f>
        <v/>
      </c>
      <c r="BQ224" t="str">
        <f>""</f>
        <v/>
      </c>
      <c r="BR224" t="str">
        <f>""</f>
        <v/>
      </c>
      <c r="BS224" t="str">
        <f>""</f>
        <v/>
      </c>
      <c r="BT224" t="str">
        <f>""</f>
        <v/>
      </c>
      <c r="BU224" t="str">
        <f>""</f>
        <v/>
      </c>
      <c r="BV224" t="str">
        <f>""</f>
        <v/>
      </c>
      <c r="BW224" t="str">
        <f>""</f>
        <v/>
      </c>
      <c r="BX224" t="str">
        <f>""</f>
        <v/>
      </c>
      <c r="BY224" t="str">
        <f>""</f>
        <v/>
      </c>
      <c r="BZ224" t="str">
        <f>""</f>
        <v/>
      </c>
      <c r="CA224" t="str">
        <f>""</f>
        <v/>
      </c>
      <c r="CB224" t="str">
        <f>""</f>
        <v/>
      </c>
      <c r="CC224" t="str">
        <f>""</f>
        <v/>
      </c>
      <c r="CD224" t="str">
        <f>""</f>
        <v/>
      </c>
      <c r="CE224" t="str">
        <f>""</f>
        <v/>
      </c>
      <c r="CF224" t="str">
        <f>""</f>
        <v/>
      </c>
      <c r="CG224" t="str">
        <f>""</f>
        <v/>
      </c>
      <c r="CH224" t="str">
        <f>""</f>
        <v/>
      </c>
      <c r="CI224" t="str">
        <f>""</f>
        <v/>
      </c>
      <c r="CJ224" t="str">
        <f>""</f>
        <v/>
      </c>
      <c r="CK224" t="str">
        <f>""</f>
        <v/>
      </c>
      <c r="CL224" t="str">
        <f>""</f>
        <v/>
      </c>
      <c r="CM224" t="str">
        <f>""</f>
        <v/>
      </c>
      <c r="CN224" t="str">
        <f>""</f>
        <v/>
      </c>
      <c r="CO224" t="str">
        <f>""</f>
        <v/>
      </c>
      <c r="CP224" t="str">
        <f>""</f>
        <v/>
      </c>
      <c r="CQ224" t="str">
        <f>""</f>
        <v/>
      </c>
      <c r="CR224" t="str">
        <f>""</f>
        <v/>
      </c>
      <c r="CS224" t="str">
        <f>""</f>
        <v/>
      </c>
      <c r="CT224" t="str">
        <f>""</f>
        <v/>
      </c>
      <c r="CU224" t="str">
        <f>""</f>
        <v/>
      </c>
      <c r="CV224" t="str">
        <f>""</f>
        <v/>
      </c>
      <c r="CW224" t="str">
        <f>""</f>
        <v/>
      </c>
      <c r="CX224" t="str">
        <f>""</f>
        <v/>
      </c>
      <c r="CY224" t="str">
        <f>""</f>
        <v/>
      </c>
      <c r="CZ224" t="str">
        <f>""</f>
        <v/>
      </c>
      <c r="DA224" t="str">
        <f>""</f>
        <v/>
      </c>
      <c r="DB224" t="str">
        <f>""</f>
        <v/>
      </c>
      <c r="DC224" t="str">
        <f>""</f>
        <v/>
      </c>
      <c r="DD224" t="str">
        <f>""</f>
        <v/>
      </c>
      <c r="DE224" t="str">
        <f>""</f>
        <v/>
      </c>
      <c r="DF224" t="str">
        <f>""</f>
        <v/>
      </c>
      <c r="DG224" t="str">
        <f>""</f>
        <v/>
      </c>
      <c r="DH224" t="str">
        <f>""</f>
        <v/>
      </c>
      <c r="DI224" t="str">
        <f>""</f>
        <v/>
      </c>
      <c r="DJ224" t="str">
        <f>""</f>
        <v/>
      </c>
      <c r="DK224" t="str">
        <f>""</f>
        <v/>
      </c>
      <c r="DL224" t="str">
        <f>""</f>
        <v/>
      </c>
      <c r="DM224" t="str">
        <f>""</f>
        <v/>
      </c>
      <c r="DN224" t="str">
        <f>""</f>
        <v/>
      </c>
      <c r="DO224" t="str">
        <f>""</f>
        <v/>
      </c>
      <c r="DP224" t="str">
        <f>""</f>
        <v/>
      </c>
      <c r="DQ224" t="str">
        <f>""</f>
        <v/>
      </c>
      <c r="DR224" t="str">
        <f>""</f>
        <v/>
      </c>
      <c r="DS224" t="str">
        <f>""</f>
        <v/>
      </c>
      <c r="DT224" t="str">
        <f>""</f>
        <v/>
      </c>
      <c r="DU224" t="str">
        <f>""</f>
        <v/>
      </c>
    </row>
    <row r="225" spans="1:125">
      <c r="B225" t="str">
        <f>"RECFNARM Index"</f>
        <v>RECFNARM Index</v>
      </c>
      <c r="C225" t="str">
        <f t="shared" si="55"/>
        <v>PR005</v>
      </c>
      <c r="D225" t="str">
        <f t="shared" si="56"/>
        <v>PX_LAST</v>
      </c>
      <c r="E225" t="str">
        <f t="shared" si="57"/>
        <v>动态</v>
      </c>
      <c r="F225" t="str">
        <f ca="1">BDH($B$225,$C$225,$B$181,$B$182,CONCATENATE("Per=",$B$179),"Dts=H","Dir=H",CONCATENATE("Points=",$B$180),"Sort=R","Days=A","Fill=B",CONCATENATE("FX=", $B$178) )</f>
        <v>#N/A Authorization</v>
      </c>
      <c r="BN225" t="str">
        <f>""</f>
        <v/>
      </c>
      <c r="BO225" t="str">
        <f>""</f>
        <v/>
      </c>
      <c r="BP225" t="str">
        <f>""</f>
        <v/>
      </c>
      <c r="BQ225" t="str">
        <f>""</f>
        <v/>
      </c>
      <c r="BR225" t="str">
        <f>""</f>
        <v/>
      </c>
      <c r="BS225" t="str">
        <f>""</f>
        <v/>
      </c>
      <c r="BT225" t="str">
        <f>""</f>
        <v/>
      </c>
      <c r="BU225" t="str">
        <f>""</f>
        <v/>
      </c>
      <c r="BV225" t="str">
        <f>""</f>
        <v/>
      </c>
      <c r="BW225" t="str">
        <f>""</f>
        <v/>
      </c>
      <c r="BX225" t="str">
        <f>""</f>
        <v/>
      </c>
      <c r="BY225" t="str">
        <f>""</f>
        <v/>
      </c>
      <c r="BZ225" t="str">
        <f>""</f>
        <v/>
      </c>
      <c r="CA225" t="str">
        <f>""</f>
        <v/>
      </c>
      <c r="CB225" t="str">
        <f>""</f>
        <v/>
      </c>
      <c r="CC225" t="str">
        <f>""</f>
        <v/>
      </c>
      <c r="CD225" t="str">
        <f>""</f>
        <v/>
      </c>
      <c r="CE225" t="str">
        <f>""</f>
        <v/>
      </c>
      <c r="CF225" t="str">
        <f>""</f>
        <v/>
      </c>
      <c r="CG225" t="str">
        <f>""</f>
        <v/>
      </c>
      <c r="CH225" t="str">
        <f>""</f>
        <v/>
      </c>
      <c r="CI225" t="str">
        <f>""</f>
        <v/>
      </c>
      <c r="CJ225" t="str">
        <f>""</f>
        <v/>
      </c>
      <c r="CK225" t="str">
        <f>""</f>
        <v/>
      </c>
      <c r="CL225" t="str">
        <f>""</f>
        <v/>
      </c>
      <c r="CM225" t="str">
        <f>""</f>
        <v/>
      </c>
      <c r="CN225" t="str">
        <f>""</f>
        <v/>
      </c>
      <c r="CO225" t="str">
        <f>""</f>
        <v/>
      </c>
      <c r="CP225" t="str">
        <f>""</f>
        <v/>
      </c>
      <c r="CQ225" t="str">
        <f>""</f>
        <v/>
      </c>
      <c r="CR225" t="str">
        <f>""</f>
        <v/>
      </c>
      <c r="CS225" t="str">
        <f>""</f>
        <v/>
      </c>
      <c r="CT225" t="str">
        <f>""</f>
        <v/>
      </c>
      <c r="CU225" t="str">
        <f>""</f>
        <v/>
      </c>
      <c r="CV225" t="str">
        <f>""</f>
        <v/>
      </c>
      <c r="CW225" t="str">
        <f>""</f>
        <v/>
      </c>
      <c r="CX225" t="str">
        <f>""</f>
        <v/>
      </c>
      <c r="CY225" t="str">
        <f>""</f>
        <v/>
      </c>
      <c r="CZ225" t="str">
        <f>""</f>
        <v/>
      </c>
      <c r="DA225" t="str">
        <f>""</f>
        <v/>
      </c>
      <c r="DB225" t="str">
        <f>""</f>
        <v/>
      </c>
      <c r="DC225" t="str">
        <f>""</f>
        <v/>
      </c>
      <c r="DD225" t="str">
        <f>""</f>
        <v/>
      </c>
      <c r="DE225" t="str">
        <f>""</f>
        <v/>
      </c>
      <c r="DF225" t="str">
        <f>""</f>
        <v/>
      </c>
      <c r="DG225" t="str">
        <f>""</f>
        <v/>
      </c>
      <c r="DH225" t="str">
        <f>""</f>
        <v/>
      </c>
      <c r="DI225" t="str">
        <f>""</f>
        <v/>
      </c>
      <c r="DJ225" t="str">
        <f>""</f>
        <v/>
      </c>
      <c r="DK225" t="str">
        <f>""</f>
        <v/>
      </c>
      <c r="DL225" t="str">
        <f>""</f>
        <v/>
      </c>
      <c r="DM225" t="str">
        <f>""</f>
        <v/>
      </c>
      <c r="DN225" t="str">
        <f>""</f>
        <v/>
      </c>
      <c r="DO225" t="str">
        <f>""</f>
        <v/>
      </c>
      <c r="DP225" t="str">
        <f>""</f>
        <v/>
      </c>
      <c r="DQ225" t="str">
        <f>""</f>
        <v/>
      </c>
      <c r="DR225" t="str">
        <f>""</f>
        <v/>
      </c>
      <c r="DS225" t="str">
        <f>""</f>
        <v/>
      </c>
      <c r="DT225" t="str">
        <f>""</f>
        <v/>
      </c>
      <c r="DU225" t="str">
        <f>""</f>
        <v/>
      </c>
    </row>
    <row r="226" spans="1:125">
      <c r="B226" t="str">
        <f>"RECFNAFS Index"</f>
        <v>RECFNAFS Index</v>
      </c>
      <c r="C226" t="str">
        <f t="shared" si="55"/>
        <v>PR005</v>
      </c>
      <c r="D226" t="str">
        <f t="shared" si="56"/>
        <v>PX_LAST</v>
      </c>
      <c r="E226" t="str">
        <f t="shared" si="57"/>
        <v>动态</v>
      </c>
      <c r="F226" t="str">
        <f ca="1">BDH($B$226,$C$226,$B$181,$B$182,CONCATENATE("Per=",$B$179),"Dts=H","Dir=H",CONCATENATE("Points=",$B$180),"Sort=R","Days=A","Fill=B",CONCATENATE("FX=", $B$178) )</f>
        <v>#N/A Authorization</v>
      </c>
      <c r="BN226" t="str">
        <f>""</f>
        <v/>
      </c>
      <c r="BO226" t="str">
        <f>""</f>
        <v/>
      </c>
      <c r="BP226" t="str">
        <f>""</f>
        <v/>
      </c>
      <c r="BQ226" t="str">
        <f>""</f>
        <v/>
      </c>
      <c r="BR226" t="str">
        <f>""</f>
        <v/>
      </c>
      <c r="BS226" t="str">
        <f>""</f>
        <v/>
      </c>
      <c r="BT226" t="str">
        <f>""</f>
        <v/>
      </c>
      <c r="BU226" t="str">
        <f>""</f>
        <v/>
      </c>
      <c r="BV226" t="str">
        <f>""</f>
        <v/>
      </c>
      <c r="BW226" t="str">
        <f>""</f>
        <v/>
      </c>
      <c r="BX226" t="str">
        <f>""</f>
        <v/>
      </c>
      <c r="BY226" t="str">
        <f>""</f>
        <v/>
      </c>
      <c r="BZ226" t="str">
        <f>""</f>
        <v/>
      </c>
      <c r="CA226" t="str">
        <f>""</f>
        <v/>
      </c>
      <c r="CB226" t="str">
        <f>""</f>
        <v/>
      </c>
      <c r="CC226" t="str">
        <f>""</f>
        <v/>
      </c>
      <c r="CD226" t="str">
        <f>""</f>
        <v/>
      </c>
      <c r="CE226" t="str">
        <f>""</f>
        <v/>
      </c>
      <c r="CF226" t="str">
        <f>""</f>
        <v/>
      </c>
      <c r="CG226" t="str">
        <f>""</f>
        <v/>
      </c>
      <c r="CH226" t="str">
        <f>""</f>
        <v/>
      </c>
      <c r="CI226" t="str">
        <f>""</f>
        <v/>
      </c>
      <c r="CJ226" t="str">
        <f>""</f>
        <v/>
      </c>
      <c r="CK226" t="str">
        <f>""</f>
        <v/>
      </c>
      <c r="CL226" t="str">
        <f>""</f>
        <v/>
      </c>
      <c r="CM226" t="str">
        <f>""</f>
        <v/>
      </c>
      <c r="CN226" t="str">
        <f>""</f>
        <v/>
      </c>
      <c r="CO226" t="str">
        <f>""</f>
        <v/>
      </c>
      <c r="CP226" t="str">
        <f>""</f>
        <v/>
      </c>
      <c r="CQ226" t="str">
        <f>""</f>
        <v/>
      </c>
      <c r="CR226" t="str">
        <f>""</f>
        <v/>
      </c>
      <c r="CS226" t="str">
        <f>""</f>
        <v/>
      </c>
      <c r="CT226" t="str">
        <f>""</f>
        <v/>
      </c>
      <c r="CU226" t="str">
        <f>""</f>
        <v/>
      </c>
      <c r="CV226" t="str">
        <f>""</f>
        <v/>
      </c>
      <c r="CW226" t="str">
        <f>""</f>
        <v/>
      </c>
      <c r="CX226" t="str">
        <f>""</f>
        <v/>
      </c>
      <c r="CY226" t="str">
        <f>""</f>
        <v/>
      </c>
      <c r="CZ226" t="str">
        <f>""</f>
        <v/>
      </c>
      <c r="DA226" t="str">
        <f>""</f>
        <v/>
      </c>
      <c r="DB226" t="str">
        <f>""</f>
        <v/>
      </c>
      <c r="DC226" t="str">
        <f>""</f>
        <v/>
      </c>
      <c r="DD226" t="str">
        <f>""</f>
        <v/>
      </c>
      <c r="DE226" t="str">
        <f>""</f>
        <v/>
      </c>
      <c r="DF226" t="str">
        <f>""</f>
        <v/>
      </c>
      <c r="DG226" t="str">
        <f>""</f>
        <v/>
      </c>
      <c r="DH226" t="str">
        <f>""</f>
        <v/>
      </c>
      <c r="DI226" t="str">
        <f>""</f>
        <v/>
      </c>
      <c r="DJ226" t="str">
        <f>""</f>
        <v/>
      </c>
      <c r="DK226" t="str">
        <f>""</f>
        <v/>
      </c>
      <c r="DL226" t="str">
        <f>""</f>
        <v/>
      </c>
      <c r="DM226" t="str">
        <f>""</f>
        <v/>
      </c>
      <c r="DN226" t="str">
        <f>""</f>
        <v/>
      </c>
      <c r="DO226" t="str">
        <f>""</f>
        <v/>
      </c>
      <c r="DP226" t="str">
        <f>""</f>
        <v/>
      </c>
      <c r="DQ226" t="str">
        <f>""</f>
        <v/>
      </c>
      <c r="DR226" t="str">
        <f>""</f>
        <v/>
      </c>
      <c r="DS226" t="str">
        <f>""</f>
        <v/>
      </c>
      <c r="DT226" t="str">
        <f>""</f>
        <v/>
      </c>
      <c r="DU226" t="str">
        <f>""</f>
        <v/>
      </c>
    </row>
    <row r="227" spans="1:125">
      <c r="B227" t="str">
        <f>"RECFNARS Index"</f>
        <v>RECFNARS Index</v>
      </c>
      <c r="C227" t="str">
        <f t="shared" si="55"/>
        <v>PR005</v>
      </c>
      <c r="D227" t="str">
        <f t="shared" si="56"/>
        <v>PX_LAST</v>
      </c>
      <c r="E227" t="str">
        <f t="shared" si="57"/>
        <v>动态</v>
      </c>
      <c r="F227" t="str">
        <f ca="1">BDH($B$227,$C$227,$B$181,$B$182,CONCATENATE("Per=",$B$179),"Dts=H","Dir=H",CONCATENATE("Points=",$B$180),"Sort=R","Days=A","Fill=B",CONCATENATE("FX=", $B$178) )</f>
        <v>#N/A Authorization</v>
      </c>
      <c r="BN227" t="str">
        <f>""</f>
        <v/>
      </c>
      <c r="BO227" t="str">
        <f>""</f>
        <v/>
      </c>
      <c r="BP227" t="str">
        <f>""</f>
        <v/>
      </c>
      <c r="BQ227" t="str">
        <f>""</f>
        <v/>
      </c>
      <c r="BR227" t="str">
        <f>""</f>
        <v/>
      </c>
      <c r="BS227" t="str">
        <f>""</f>
        <v/>
      </c>
      <c r="BT227" t="str">
        <f>""</f>
        <v/>
      </c>
      <c r="BU227" t="str">
        <f>""</f>
        <v/>
      </c>
      <c r="BV227" t="str">
        <f>""</f>
        <v/>
      </c>
      <c r="BW227" t="str">
        <f>""</f>
        <v/>
      </c>
      <c r="BX227" t="str">
        <f>""</f>
        <v/>
      </c>
      <c r="BY227" t="str">
        <f>""</f>
        <v/>
      </c>
      <c r="BZ227" t="str">
        <f>""</f>
        <v/>
      </c>
      <c r="CA227" t="str">
        <f>""</f>
        <v/>
      </c>
      <c r="CB227" t="str">
        <f>""</f>
        <v/>
      </c>
      <c r="CC227" t="str">
        <f>""</f>
        <v/>
      </c>
      <c r="CD227" t="str">
        <f>""</f>
        <v/>
      </c>
      <c r="CE227" t="str">
        <f>""</f>
        <v/>
      </c>
      <c r="CF227" t="str">
        <f>""</f>
        <v/>
      </c>
      <c r="CG227" t="str">
        <f>""</f>
        <v/>
      </c>
      <c r="CH227" t="str">
        <f>""</f>
        <v/>
      </c>
      <c r="CI227" t="str">
        <f>""</f>
        <v/>
      </c>
      <c r="CJ227" t="str">
        <f>""</f>
        <v/>
      </c>
      <c r="CK227" t="str">
        <f>""</f>
        <v/>
      </c>
      <c r="CL227" t="str">
        <f>""</f>
        <v/>
      </c>
      <c r="CM227" t="str">
        <f>""</f>
        <v/>
      </c>
      <c r="CN227" t="str">
        <f>""</f>
        <v/>
      </c>
      <c r="CO227" t="str">
        <f>""</f>
        <v/>
      </c>
      <c r="CP227" t="str">
        <f>""</f>
        <v/>
      </c>
      <c r="CQ227" t="str">
        <f>""</f>
        <v/>
      </c>
      <c r="CR227" t="str">
        <f>""</f>
        <v/>
      </c>
      <c r="CS227" t="str">
        <f>""</f>
        <v/>
      </c>
      <c r="CT227" t="str">
        <f>""</f>
        <v/>
      </c>
      <c r="CU227" t="str">
        <f>""</f>
        <v/>
      </c>
      <c r="CV227" t="str">
        <f>""</f>
        <v/>
      </c>
      <c r="CW227" t="str">
        <f>""</f>
        <v/>
      </c>
      <c r="CX227" t="str">
        <f>""</f>
        <v/>
      </c>
      <c r="CY227" t="str">
        <f>""</f>
        <v/>
      </c>
      <c r="CZ227" t="str">
        <f>""</f>
        <v/>
      </c>
      <c r="DA227" t="str">
        <f>""</f>
        <v/>
      </c>
      <c r="DB227" t="str">
        <f>""</f>
        <v/>
      </c>
      <c r="DC227" t="str">
        <f>""</f>
        <v/>
      </c>
      <c r="DD227" t="str">
        <f>""</f>
        <v/>
      </c>
      <c r="DE227" t="str">
        <f>""</f>
        <v/>
      </c>
      <c r="DF227" t="str">
        <f>""</f>
        <v/>
      </c>
      <c r="DG227" t="str">
        <f>""</f>
        <v/>
      </c>
      <c r="DH227" t="str">
        <f>""</f>
        <v/>
      </c>
      <c r="DI227" t="str">
        <f>""</f>
        <v/>
      </c>
      <c r="DJ227" t="str">
        <f>""</f>
        <v/>
      </c>
      <c r="DK227" t="str">
        <f>""</f>
        <v/>
      </c>
      <c r="DL227" t="str">
        <f>""</f>
        <v/>
      </c>
      <c r="DM227" t="str">
        <f>""</f>
        <v/>
      </c>
      <c r="DN227" t="str">
        <f>""</f>
        <v/>
      </c>
      <c r="DO227" t="str">
        <f>""</f>
        <v/>
      </c>
      <c r="DP227" t="str">
        <f>""</f>
        <v/>
      </c>
      <c r="DQ227" t="str">
        <f>""</f>
        <v/>
      </c>
      <c r="DR227" t="str">
        <f>""</f>
        <v/>
      </c>
      <c r="DS227" t="str">
        <f>""</f>
        <v/>
      </c>
      <c r="DT227" t="str">
        <f>""</f>
        <v/>
      </c>
      <c r="DU227" t="str">
        <f>""</f>
        <v/>
      </c>
    </row>
    <row r="228" spans="1:125">
      <c r="B228" t="str">
        <f>"RECFNAAP Index"</f>
        <v>RECFNAAP Index</v>
      </c>
      <c r="C228" t="str">
        <f t="shared" si="55"/>
        <v>PR005</v>
      </c>
      <c r="D228" t="str">
        <f t="shared" si="56"/>
        <v>PX_LAST</v>
      </c>
      <c r="E228" t="str">
        <f t="shared" si="57"/>
        <v>动态</v>
      </c>
      <c r="F228" t="str">
        <f ca="1">BDH($B$228,$C$228,$B$181,$B$182,CONCATENATE("Per=",$B$179),"Dts=H","Dir=H",CONCATENATE("Points=",$B$180),"Sort=R","Days=A","Fill=B",CONCATENATE("FX=", $B$178) )</f>
        <v>#N/A Authorization</v>
      </c>
      <c r="BN228" t="str">
        <f>""</f>
        <v/>
      </c>
      <c r="BO228" t="str">
        <f>""</f>
        <v/>
      </c>
      <c r="BP228" t="str">
        <f>""</f>
        <v/>
      </c>
      <c r="BQ228" t="str">
        <f>""</f>
        <v/>
      </c>
      <c r="BR228" t="str">
        <f>""</f>
        <v/>
      </c>
      <c r="BS228" t="str">
        <f>""</f>
        <v/>
      </c>
      <c r="BT228" t="str">
        <f>""</f>
        <v/>
      </c>
      <c r="BU228" t="str">
        <f>""</f>
        <v/>
      </c>
      <c r="BV228" t="str">
        <f>""</f>
        <v/>
      </c>
      <c r="BW228" t="str">
        <f>""</f>
        <v/>
      </c>
      <c r="BX228" t="str">
        <f>""</f>
        <v/>
      </c>
      <c r="BY228" t="str">
        <f>""</f>
        <v/>
      </c>
      <c r="BZ228" t="str">
        <f>""</f>
        <v/>
      </c>
      <c r="CA228" t="str">
        <f>""</f>
        <v/>
      </c>
      <c r="CB228" t="str">
        <f>""</f>
        <v/>
      </c>
      <c r="CC228" t="str">
        <f>""</f>
        <v/>
      </c>
      <c r="CD228" t="str">
        <f>""</f>
        <v/>
      </c>
      <c r="CE228" t="str">
        <f>""</f>
        <v/>
      </c>
      <c r="CF228" t="str">
        <f>""</f>
        <v/>
      </c>
      <c r="CG228" t="str">
        <f>""</f>
        <v/>
      </c>
      <c r="CH228" t="str">
        <f>""</f>
        <v/>
      </c>
      <c r="CI228" t="str">
        <f>""</f>
        <v/>
      </c>
      <c r="CJ228" t="str">
        <f>""</f>
        <v/>
      </c>
      <c r="CK228" t="str">
        <f>""</f>
        <v/>
      </c>
      <c r="CL228" t="str">
        <f>""</f>
        <v/>
      </c>
      <c r="CM228" t="str">
        <f>""</f>
        <v/>
      </c>
      <c r="CN228" t="str">
        <f>""</f>
        <v/>
      </c>
      <c r="CO228" t="str">
        <f>""</f>
        <v/>
      </c>
      <c r="CP228" t="str">
        <f>""</f>
        <v/>
      </c>
      <c r="CQ228" t="str">
        <f>""</f>
        <v/>
      </c>
      <c r="CR228" t="str">
        <f>""</f>
        <v/>
      </c>
      <c r="CS228" t="str">
        <f>""</f>
        <v/>
      </c>
      <c r="CT228" t="str">
        <f>""</f>
        <v/>
      </c>
      <c r="CU228" t="str">
        <f>""</f>
        <v/>
      </c>
      <c r="CV228" t="str">
        <f>""</f>
        <v/>
      </c>
      <c r="CW228" t="str">
        <f>""</f>
        <v/>
      </c>
      <c r="CX228" t="str">
        <f>""</f>
        <v/>
      </c>
      <c r="CY228" t="str">
        <f>""</f>
        <v/>
      </c>
      <c r="CZ228" t="str">
        <f>""</f>
        <v/>
      </c>
      <c r="DA228" t="str">
        <f>""</f>
        <v/>
      </c>
      <c r="DB228" t="str">
        <f>""</f>
        <v/>
      </c>
      <c r="DC228" t="str">
        <f>""</f>
        <v/>
      </c>
      <c r="DD228" t="str">
        <f>""</f>
        <v/>
      </c>
      <c r="DE228" t="str">
        <f>""</f>
        <v/>
      </c>
      <c r="DF228" t="str">
        <f>""</f>
        <v/>
      </c>
      <c r="DG228" t="str">
        <f>""</f>
        <v/>
      </c>
      <c r="DH228" t="str">
        <f>""</f>
        <v/>
      </c>
      <c r="DI228" t="str">
        <f>""</f>
        <v/>
      </c>
      <c r="DJ228" t="str">
        <f>""</f>
        <v/>
      </c>
      <c r="DK228" t="str">
        <f>""</f>
        <v/>
      </c>
      <c r="DL228" t="str">
        <f>""</f>
        <v/>
      </c>
      <c r="DM228" t="str">
        <f>""</f>
        <v/>
      </c>
      <c r="DN228" t="str">
        <f>""</f>
        <v/>
      </c>
      <c r="DO228" t="str">
        <f>""</f>
        <v/>
      </c>
      <c r="DP228" t="str">
        <f>""</f>
        <v/>
      </c>
      <c r="DQ228" t="str">
        <f>""</f>
        <v/>
      </c>
      <c r="DR228" t="str">
        <f>""</f>
        <v/>
      </c>
      <c r="DS228" t="str">
        <f>""</f>
        <v/>
      </c>
      <c r="DT228" t="str">
        <f>""</f>
        <v/>
      </c>
      <c r="DU228" t="str">
        <f>""</f>
        <v/>
      </c>
    </row>
    <row r="229" spans="1:125">
      <c r="B229" t="str">
        <f>"RECFNAMH Index"</f>
        <v>RECFNAMH Index</v>
      </c>
      <c r="C229" t="str">
        <f t="shared" si="55"/>
        <v>PR005</v>
      </c>
      <c r="D229" t="str">
        <f t="shared" si="56"/>
        <v>PX_LAST</v>
      </c>
      <c r="E229" t="str">
        <f t="shared" si="57"/>
        <v>动态</v>
      </c>
      <c r="F229" t="str">
        <f ca="1">BDH($B$229,$C$229,$B$181,$B$182,CONCATENATE("Per=",$B$179),"Dts=H","Dir=H",CONCATENATE("Points=",$B$180),"Sort=R","Days=A","Fill=B",CONCATENATE("FX=", $B$178) )</f>
        <v>#N/A Authorization</v>
      </c>
      <c r="BN229" t="str">
        <f>""</f>
        <v/>
      </c>
      <c r="BO229" t="str">
        <f>""</f>
        <v/>
      </c>
      <c r="BP229" t="str">
        <f>""</f>
        <v/>
      </c>
      <c r="BQ229" t="str">
        <f>""</f>
        <v/>
      </c>
      <c r="BR229" t="str">
        <f>""</f>
        <v/>
      </c>
      <c r="BS229" t="str">
        <f>""</f>
        <v/>
      </c>
      <c r="BT229" t="str">
        <f>""</f>
        <v/>
      </c>
      <c r="BU229" t="str">
        <f>""</f>
        <v/>
      </c>
      <c r="BV229" t="str">
        <f>""</f>
        <v/>
      </c>
      <c r="BW229" t="str">
        <f>""</f>
        <v/>
      </c>
      <c r="BX229" t="str">
        <f>""</f>
        <v/>
      </c>
      <c r="BY229" t="str">
        <f>""</f>
        <v/>
      </c>
      <c r="BZ229" t="str">
        <f>""</f>
        <v/>
      </c>
      <c r="CA229" t="str">
        <f>""</f>
        <v/>
      </c>
      <c r="CB229" t="str">
        <f>""</f>
        <v/>
      </c>
      <c r="CC229" t="str">
        <f>""</f>
        <v/>
      </c>
      <c r="CD229" t="str">
        <f>""</f>
        <v/>
      </c>
      <c r="CE229" t="str">
        <f>""</f>
        <v/>
      </c>
      <c r="CF229" t="str">
        <f>""</f>
        <v/>
      </c>
      <c r="CG229" t="str">
        <f>""</f>
        <v/>
      </c>
      <c r="CH229" t="str">
        <f>""</f>
        <v/>
      </c>
      <c r="CI229" t="str">
        <f>""</f>
        <v/>
      </c>
      <c r="CJ229" t="str">
        <f>""</f>
        <v/>
      </c>
      <c r="CK229" t="str">
        <f>""</f>
        <v/>
      </c>
      <c r="CL229" t="str">
        <f>""</f>
        <v/>
      </c>
      <c r="CM229" t="str">
        <f>""</f>
        <v/>
      </c>
      <c r="CN229" t="str">
        <f>""</f>
        <v/>
      </c>
      <c r="CO229" t="str">
        <f>""</f>
        <v/>
      </c>
      <c r="CP229" t="str">
        <f>""</f>
        <v/>
      </c>
      <c r="CQ229" t="str">
        <f>""</f>
        <v/>
      </c>
      <c r="CR229" t="str">
        <f>""</f>
        <v/>
      </c>
      <c r="CS229" t="str">
        <f>""</f>
        <v/>
      </c>
      <c r="CT229" t="str">
        <f>""</f>
        <v/>
      </c>
      <c r="CU229" t="str">
        <f>""</f>
        <v/>
      </c>
      <c r="CV229" t="str">
        <f>""</f>
        <v/>
      </c>
      <c r="CW229" t="str">
        <f>""</f>
        <v/>
      </c>
      <c r="CX229" t="str">
        <f>""</f>
        <v/>
      </c>
      <c r="CY229" t="str">
        <f>""</f>
        <v/>
      </c>
      <c r="CZ229" t="str">
        <f>""</f>
        <v/>
      </c>
      <c r="DA229" t="str">
        <f>""</f>
        <v/>
      </c>
      <c r="DB229" t="str">
        <f>""</f>
        <v/>
      </c>
      <c r="DC229" t="str">
        <f>""</f>
        <v/>
      </c>
      <c r="DD229" t="str">
        <f>""</f>
        <v/>
      </c>
      <c r="DE229" t="str">
        <f>""</f>
        <v/>
      </c>
      <c r="DF229" t="str">
        <f>""</f>
        <v/>
      </c>
      <c r="DG229" t="str">
        <f>""</f>
        <v/>
      </c>
      <c r="DH229" t="str">
        <f>""</f>
        <v/>
      </c>
      <c r="DI229" t="str">
        <f>""</f>
        <v/>
      </c>
      <c r="DJ229" t="str">
        <f>""</f>
        <v/>
      </c>
      <c r="DK229" t="str">
        <f>""</f>
        <v/>
      </c>
      <c r="DL229" t="str">
        <f>""</f>
        <v/>
      </c>
      <c r="DM229" t="str">
        <f>""</f>
        <v/>
      </c>
      <c r="DN229" t="str">
        <f>""</f>
        <v/>
      </c>
      <c r="DO229" t="str">
        <f>""</f>
        <v/>
      </c>
      <c r="DP229" t="str">
        <f>""</f>
        <v/>
      </c>
      <c r="DQ229" t="str">
        <f>""</f>
        <v/>
      </c>
      <c r="DR229" t="str">
        <f>""</f>
        <v/>
      </c>
      <c r="DS229" t="str">
        <f>""</f>
        <v/>
      </c>
      <c r="DT229" t="str">
        <f>""</f>
        <v/>
      </c>
      <c r="DU229" t="str">
        <f>""</f>
        <v/>
      </c>
    </row>
    <row r="230" spans="1:125">
      <c r="B230" t="str">
        <f>"RECFNASF Index"</f>
        <v>RECFNASF Index</v>
      </c>
      <c r="C230" t="str">
        <f t="shared" si="55"/>
        <v>PR005</v>
      </c>
      <c r="D230" t="str">
        <f t="shared" si="56"/>
        <v>PX_LAST</v>
      </c>
      <c r="E230" t="str">
        <f t="shared" si="57"/>
        <v>动态</v>
      </c>
      <c r="F230" t="str">
        <f ca="1">BDH($B$230,$C$230,$B$181,$B$182,CONCATENATE("Per=",$B$179),"Dts=H","Dir=H",CONCATENATE("Points=",$B$180),"Sort=R","Days=A","Fill=B",CONCATENATE("FX=", $B$178) )</f>
        <v>#N/A Authorization</v>
      </c>
      <c r="BN230" t="str">
        <f>""</f>
        <v/>
      </c>
      <c r="BO230" t="str">
        <f>""</f>
        <v/>
      </c>
      <c r="BP230" t="str">
        <f>""</f>
        <v/>
      </c>
      <c r="BQ230" t="str">
        <f>""</f>
        <v/>
      </c>
      <c r="BR230" t="str">
        <f>""</f>
        <v/>
      </c>
      <c r="BS230" t="str">
        <f>""</f>
        <v/>
      </c>
      <c r="BT230" t="str">
        <f>""</f>
        <v/>
      </c>
      <c r="BU230" t="str">
        <f>""</f>
        <v/>
      </c>
      <c r="BV230" t="str">
        <f>""</f>
        <v/>
      </c>
      <c r="BW230" t="str">
        <f>""</f>
        <v/>
      </c>
      <c r="BX230" t="str">
        <f>""</f>
        <v/>
      </c>
      <c r="BY230" t="str">
        <f>""</f>
        <v/>
      </c>
      <c r="BZ230" t="str">
        <f>""</f>
        <v/>
      </c>
      <c r="CA230" t="str">
        <f>""</f>
        <v/>
      </c>
      <c r="CB230" t="str">
        <f>""</f>
        <v/>
      </c>
      <c r="CC230" t="str">
        <f>""</f>
        <v/>
      </c>
      <c r="CD230" t="str">
        <f>""</f>
        <v/>
      </c>
      <c r="CE230" t="str">
        <f>""</f>
        <v/>
      </c>
      <c r="CF230" t="str">
        <f>""</f>
        <v/>
      </c>
      <c r="CG230" t="str">
        <f>""</f>
        <v/>
      </c>
      <c r="CH230" t="str">
        <f>""</f>
        <v/>
      </c>
      <c r="CI230" t="str">
        <f>""</f>
        <v/>
      </c>
      <c r="CJ230" t="str">
        <f>""</f>
        <v/>
      </c>
      <c r="CK230" t="str">
        <f>""</f>
        <v/>
      </c>
      <c r="CL230" t="str">
        <f>""</f>
        <v/>
      </c>
      <c r="CM230" t="str">
        <f>""</f>
        <v/>
      </c>
      <c r="CN230" t="str">
        <f>""</f>
        <v/>
      </c>
      <c r="CO230" t="str">
        <f>""</f>
        <v/>
      </c>
      <c r="CP230" t="str">
        <f>""</f>
        <v/>
      </c>
      <c r="CQ230" t="str">
        <f>""</f>
        <v/>
      </c>
      <c r="CR230" t="str">
        <f>""</f>
        <v/>
      </c>
      <c r="CS230" t="str">
        <f>""</f>
        <v/>
      </c>
      <c r="CT230" t="str">
        <f>""</f>
        <v/>
      </c>
      <c r="CU230" t="str">
        <f>""</f>
        <v/>
      </c>
      <c r="CV230" t="str">
        <f>""</f>
        <v/>
      </c>
      <c r="CW230" t="str">
        <f>""</f>
        <v/>
      </c>
      <c r="CX230" t="str">
        <f>""</f>
        <v/>
      </c>
      <c r="CY230" t="str">
        <f>""</f>
        <v/>
      </c>
      <c r="CZ230" t="str">
        <f>""</f>
        <v/>
      </c>
      <c r="DA230" t="str">
        <f>""</f>
        <v/>
      </c>
      <c r="DB230" t="str">
        <f>""</f>
        <v/>
      </c>
      <c r="DC230" t="str">
        <f>""</f>
        <v/>
      </c>
      <c r="DD230" t="str">
        <f>""</f>
        <v/>
      </c>
      <c r="DE230" t="str">
        <f>""</f>
        <v/>
      </c>
      <c r="DF230" t="str">
        <f>""</f>
        <v/>
      </c>
      <c r="DG230" t="str">
        <f>""</f>
        <v/>
      </c>
      <c r="DH230" t="str">
        <f>""</f>
        <v/>
      </c>
      <c r="DI230" t="str">
        <f>""</f>
        <v/>
      </c>
      <c r="DJ230" t="str">
        <f>""</f>
        <v/>
      </c>
      <c r="DK230" t="str">
        <f>""</f>
        <v/>
      </c>
      <c r="DL230" t="str">
        <f>""</f>
        <v/>
      </c>
      <c r="DM230" t="str">
        <f>""</f>
        <v/>
      </c>
      <c r="DN230" t="str">
        <f>""</f>
        <v/>
      </c>
      <c r="DO230" t="str">
        <f>""</f>
        <v/>
      </c>
      <c r="DP230" t="str">
        <f>""</f>
        <v/>
      </c>
      <c r="DQ230" t="str">
        <f>""</f>
        <v/>
      </c>
      <c r="DR230" t="str">
        <f>""</f>
        <v/>
      </c>
      <c r="DS230" t="str">
        <f>""</f>
        <v/>
      </c>
      <c r="DT230" t="str">
        <f>""</f>
        <v/>
      </c>
      <c r="DU230" t="str">
        <f>""</f>
        <v/>
      </c>
    </row>
    <row r="231" spans="1:125">
      <c r="B231" t="str">
        <f>"RECFNADV Index"</f>
        <v>RECFNADV Index</v>
      </c>
      <c r="C231" t="str">
        <f t="shared" si="55"/>
        <v>PR005</v>
      </c>
      <c r="D231" t="str">
        <f t="shared" si="56"/>
        <v>PX_LAST</v>
      </c>
      <c r="E231" t="str">
        <f t="shared" si="57"/>
        <v>动态</v>
      </c>
      <c r="F231" t="str">
        <f ca="1">BDH($B$231,$C$231,$B$181,$B$182,CONCATENATE("Per=",$B$179),"Dts=H","Dir=H",CONCATENATE("Points=",$B$180),"Sort=R","Days=A","Fill=B",CONCATENATE("FX=", $B$178) )</f>
        <v>#N/A Authorization</v>
      </c>
      <c r="BN231" t="str">
        <f>""</f>
        <v/>
      </c>
      <c r="BO231" t="str">
        <f>""</f>
        <v/>
      </c>
      <c r="BP231" t="str">
        <f>""</f>
        <v/>
      </c>
      <c r="BQ231" t="str">
        <f>""</f>
        <v/>
      </c>
      <c r="BR231" t="str">
        <f>""</f>
        <v/>
      </c>
      <c r="BS231" t="str">
        <f>""</f>
        <v/>
      </c>
      <c r="BT231" t="str">
        <f>""</f>
        <v/>
      </c>
      <c r="BU231" t="str">
        <f>""</f>
        <v/>
      </c>
      <c r="BV231" t="str">
        <f>""</f>
        <v/>
      </c>
      <c r="BW231" t="str">
        <f>""</f>
        <v/>
      </c>
      <c r="BX231" t="str">
        <f>""</f>
        <v/>
      </c>
      <c r="BY231" t="str">
        <f>""</f>
        <v/>
      </c>
      <c r="BZ231" t="str">
        <f>""</f>
        <v/>
      </c>
      <c r="CA231" t="str">
        <f>""</f>
        <v/>
      </c>
      <c r="CB231" t="str">
        <f>""</f>
        <v/>
      </c>
      <c r="CC231" t="str">
        <f>""</f>
        <v/>
      </c>
      <c r="CD231" t="str">
        <f>""</f>
        <v/>
      </c>
      <c r="CE231" t="str">
        <f>""</f>
        <v/>
      </c>
      <c r="CF231" t="str">
        <f>""</f>
        <v/>
      </c>
      <c r="CG231" t="str">
        <f>""</f>
        <v/>
      </c>
      <c r="CH231" t="str">
        <f>""</f>
        <v/>
      </c>
      <c r="CI231" t="str">
        <f>""</f>
        <v/>
      </c>
      <c r="CJ231" t="str">
        <f>""</f>
        <v/>
      </c>
      <c r="CK231" t="str">
        <f>""</f>
        <v/>
      </c>
      <c r="CL231" t="str">
        <f>""</f>
        <v/>
      </c>
      <c r="CM231" t="str">
        <f>""</f>
        <v/>
      </c>
      <c r="CN231" t="str">
        <f>""</f>
        <v/>
      </c>
      <c r="CO231" t="str">
        <f>""</f>
        <v/>
      </c>
      <c r="CP231" t="str">
        <f>""</f>
        <v/>
      </c>
      <c r="CQ231" t="str">
        <f>""</f>
        <v/>
      </c>
      <c r="CR231" t="str">
        <f>""</f>
        <v/>
      </c>
      <c r="CS231" t="str">
        <f>""</f>
        <v/>
      </c>
      <c r="CT231" t="str">
        <f>""</f>
        <v/>
      </c>
      <c r="CU231" t="str">
        <f>""</f>
        <v/>
      </c>
      <c r="CV231" t="str">
        <f>""</f>
        <v/>
      </c>
      <c r="CW231" t="str">
        <f>""</f>
        <v/>
      </c>
      <c r="CX231" t="str">
        <f>""</f>
        <v/>
      </c>
      <c r="CY231" t="str">
        <f>""</f>
        <v/>
      </c>
      <c r="CZ231" t="str">
        <f>""</f>
        <v/>
      </c>
      <c r="DA231" t="str">
        <f>""</f>
        <v/>
      </c>
      <c r="DB231" t="str">
        <f>""</f>
        <v/>
      </c>
      <c r="DC231" t="str">
        <f>""</f>
        <v/>
      </c>
      <c r="DD231" t="str">
        <f>""</f>
        <v/>
      </c>
      <c r="DE231" t="str">
        <f>""</f>
        <v/>
      </c>
      <c r="DF231" t="str">
        <f>""</f>
        <v/>
      </c>
      <c r="DG231" t="str">
        <f>""</f>
        <v/>
      </c>
      <c r="DH231" t="str">
        <f>""</f>
        <v/>
      </c>
      <c r="DI231" t="str">
        <f>""</f>
        <v/>
      </c>
      <c r="DJ231" t="str">
        <f>""</f>
        <v/>
      </c>
      <c r="DK231" t="str">
        <f>""</f>
        <v/>
      </c>
      <c r="DL231" t="str">
        <f>""</f>
        <v/>
      </c>
      <c r="DM231" t="str">
        <f>""</f>
        <v/>
      </c>
      <c r="DN231" t="str">
        <f>""</f>
        <v/>
      </c>
      <c r="DO231" t="str">
        <f>""</f>
        <v/>
      </c>
      <c r="DP231" t="str">
        <f>""</f>
        <v/>
      </c>
      <c r="DQ231" t="str">
        <f>""</f>
        <v/>
      </c>
      <c r="DR231" t="str">
        <f>""</f>
        <v/>
      </c>
      <c r="DS231" t="str">
        <f>""</f>
        <v/>
      </c>
      <c r="DT231" t="str">
        <f>""</f>
        <v/>
      </c>
      <c r="DU231" t="str">
        <f>""</f>
        <v/>
      </c>
    </row>
    <row r="232" spans="1:125">
      <c r="B232" t="str">
        <f>"RECFNALR Index"</f>
        <v>RECFNALR Index</v>
      </c>
      <c r="C232" t="str">
        <f t="shared" si="55"/>
        <v>PR005</v>
      </c>
      <c r="D232" t="str">
        <f t="shared" si="56"/>
        <v>PX_LAST</v>
      </c>
      <c r="E232" t="str">
        <f t="shared" si="57"/>
        <v>动态</v>
      </c>
      <c r="F232" t="str">
        <f ca="1">BDH($B$232,$C$232,$B$181,$B$182,CONCATENATE("Per=",$B$179),"Dts=H","Dir=H",CONCATENATE("Points=",$B$180),"Sort=R","Days=A","Fill=B",CONCATENATE("FX=", $B$178) )</f>
        <v>#N/A Authorization</v>
      </c>
      <c r="BN232" t="str">
        <f>""</f>
        <v/>
      </c>
      <c r="BO232" t="str">
        <f>""</f>
        <v/>
      </c>
      <c r="BP232" t="str">
        <f>""</f>
        <v/>
      </c>
      <c r="BQ232" t="str">
        <f>""</f>
        <v/>
      </c>
      <c r="BR232" t="str">
        <f>""</f>
        <v/>
      </c>
      <c r="BS232" t="str">
        <f>""</f>
        <v/>
      </c>
      <c r="BT232" t="str">
        <f>""</f>
        <v/>
      </c>
      <c r="BU232" t="str">
        <f>""</f>
        <v/>
      </c>
      <c r="BV232" t="str">
        <f>""</f>
        <v/>
      </c>
      <c r="BW232" t="str">
        <f>""</f>
        <v/>
      </c>
      <c r="BX232" t="str">
        <f>""</f>
        <v/>
      </c>
      <c r="BY232" t="str">
        <f>""</f>
        <v/>
      </c>
      <c r="BZ232" t="str">
        <f>""</f>
        <v/>
      </c>
      <c r="CA232" t="str">
        <f>""</f>
        <v/>
      </c>
      <c r="CB232" t="str">
        <f>""</f>
        <v/>
      </c>
      <c r="CC232" t="str">
        <f>""</f>
        <v/>
      </c>
      <c r="CD232" t="str">
        <f>""</f>
        <v/>
      </c>
      <c r="CE232" t="str">
        <f>""</f>
        <v/>
      </c>
      <c r="CF232" t="str">
        <f>""</f>
        <v/>
      </c>
      <c r="CG232" t="str">
        <f>""</f>
        <v/>
      </c>
      <c r="CH232" t="str">
        <f>""</f>
        <v/>
      </c>
      <c r="CI232" t="str">
        <f>""</f>
        <v/>
      </c>
      <c r="CJ232" t="str">
        <f>""</f>
        <v/>
      </c>
      <c r="CK232" t="str">
        <f>""</f>
        <v/>
      </c>
      <c r="CL232" t="str">
        <f>""</f>
        <v/>
      </c>
      <c r="CM232" t="str">
        <f>""</f>
        <v/>
      </c>
      <c r="CN232" t="str">
        <f>""</f>
        <v/>
      </c>
      <c r="CO232" t="str">
        <f>""</f>
        <v/>
      </c>
      <c r="CP232" t="str">
        <f>""</f>
        <v/>
      </c>
      <c r="CQ232" t="str">
        <f>""</f>
        <v/>
      </c>
      <c r="CR232" t="str">
        <f>""</f>
        <v/>
      </c>
      <c r="CS232" t="str">
        <f>""</f>
        <v/>
      </c>
      <c r="CT232" t="str">
        <f>""</f>
        <v/>
      </c>
      <c r="CU232" t="str">
        <f>""</f>
        <v/>
      </c>
      <c r="CV232" t="str">
        <f>""</f>
        <v/>
      </c>
      <c r="CW232" t="str">
        <f>""</f>
        <v/>
      </c>
      <c r="CX232" t="str">
        <f>""</f>
        <v/>
      </c>
      <c r="CY232" t="str">
        <f>""</f>
        <v/>
      </c>
      <c r="CZ232" t="str">
        <f>""</f>
        <v/>
      </c>
      <c r="DA232" t="str">
        <f>""</f>
        <v/>
      </c>
      <c r="DB232" t="str">
        <f>""</f>
        <v/>
      </c>
      <c r="DC232" t="str">
        <f>""</f>
        <v/>
      </c>
      <c r="DD232" t="str">
        <f>""</f>
        <v/>
      </c>
      <c r="DE232" t="str">
        <f>""</f>
        <v/>
      </c>
      <c r="DF232" t="str">
        <f>""</f>
        <v/>
      </c>
      <c r="DG232" t="str">
        <f>""</f>
        <v/>
      </c>
      <c r="DH232" t="str">
        <f>""</f>
        <v/>
      </c>
      <c r="DI232" t="str">
        <f>""</f>
        <v/>
      </c>
      <c r="DJ232" t="str">
        <f>""</f>
        <v/>
      </c>
      <c r="DK232" t="str">
        <f>""</f>
        <v/>
      </c>
      <c r="DL232" t="str">
        <f>""</f>
        <v/>
      </c>
      <c r="DM232" t="str">
        <f>""</f>
        <v/>
      </c>
      <c r="DN232" t="str">
        <f>""</f>
        <v/>
      </c>
      <c r="DO232" t="str">
        <f>""</f>
        <v/>
      </c>
      <c r="DP232" t="str">
        <f>""</f>
        <v/>
      </c>
      <c r="DQ232" t="str">
        <f>""</f>
        <v/>
      </c>
      <c r="DR232" t="str">
        <f>""</f>
        <v/>
      </c>
      <c r="DS232" t="str">
        <f>""</f>
        <v/>
      </c>
      <c r="DT232" t="str">
        <f>""</f>
        <v/>
      </c>
      <c r="DU232" t="str">
        <f>""</f>
        <v/>
      </c>
    </row>
    <row r="233" spans="1:125">
      <c r="B233" t="str">
        <f>"RECFNASS Index"</f>
        <v>RECFNASS Index</v>
      </c>
      <c r="C233" t="str">
        <f t="shared" si="55"/>
        <v>PR005</v>
      </c>
      <c r="D233" t="str">
        <f t="shared" si="56"/>
        <v>PX_LAST</v>
      </c>
      <c r="E233" t="str">
        <f t="shared" si="57"/>
        <v>动态</v>
      </c>
      <c r="F233" t="str">
        <f ca="1">BDH($B$233,$C$233,$B$181,$B$182,CONCATENATE("Per=",$B$179),"Dts=H","Dir=H",CONCATENATE("Points=",$B$180),"Sort=R","Days=A","Fill=B",CONCATENATE("FX=", $B$178) )</f>
        <v>#N/A Authorization</v>
      </c>
      <c r="BN233" t="str">
        <f>""</f>
        <v/>
      </c>
      <c r="BO233" t="str">
        <f>""</f>
        <v/>
      </c>
      <c r="BP233" t="str">
        <f>""</f>
        <v/>
      </c>
      <c r="BQ233" t="str">
        <f>""</f>
        <v/>
      </c>
      <c r="BR233" t="str">
        <f>""</f>
        <v/>
      </c>
      <c r="BS233" t="str">
        <f>""</f>
        <v/>
      </c>
      <c r="BT233" t="str">
        <f>""</f>
        <v/>
      </c>
      <c r="BU233" t="str">
        <f>""</f>
        <v/>
      </c>
      <c r="BV233" t="str">
        <f>""</f>
        <v/>
      </c>
      <c r="BW233" t="str">
        <f>""</f>
        <v/>
      </c>
      <c r="BX233" t="str">
        <f>""</f>
        <v/>
      </c>
      <c r="BY233" t="str">
        <f>""</f>
        <v/>
      </c>
      <c r="BZ233" t="str">
        <f>""</f>
        <v/>
      </c>
      <c r="CA233" t="str">
        <f>""</f>
        <v/>
      </c>
      <c r="CB233" t="str">
        <f>""</f>
        <v/>
      </c>
      <c r="CC233" t="str">
        <f>""</f>
        <v/>
      </c>
      <c r="CD233" t="str">
        <f>""</f>
        <v/>
      </c>
      <c r="CE233" t="str">
        <f>""</f>
        <v/>
      </c>
      <c r="CF233" t="str">
        <f>""</f>
        <v/>
      </c>
      <c r="CG233" t="str">
        <f>""</f>
        <v/>
      </c>
      <c r="CH233" t="str">
        <f>""</f>
        <v/>
      </c>
      <c r="CI233" t="str">
        <f>""</f>
        <v/>
      </c>
      <c r="CJ233" t="str">
        <f>""</f>
        <v/>
      </c>
      <c r="CK233" t="str">
        <f>""</f>
        <v/>
      </c>
      <c r="CL233" t="str">
        <f>""</f>
        <v/>
      </c>
      <c r="CM233" t="str">
        <f>""</f>
        <v/>
      </c>
      <c r="CN233" t="str">
        <f>""</f>
        <v/>
      </c>
      <c r="CO233" t="str">
        <f>""</f>
        <v/>
      </c>
      <c r="CP233" t="str">
        <f>""</f>
        <v/>
      </c>
      <c r="CQ233" t="str">
        <f>""</f>
        <v/>
      </c>
      <c r="CR233" t="str">
        <f>""</f>
        <v/>
      </c>
      <c r="CS233" t="str">
        <f>""</f>
        <v/>
      </c>
      <c r="CT233" t="str">
        <f>""</f>
        <v/>
      </c>
      <c r="CU233" t="str">
        <f>""</f>
        <v/>
      </c>
      <c r="CV233" t="str">
        <f>""</f>
        <v/>
      </c>
      <c r="CW233" t="str">
        <f>""</f>
        <v/>
      </c>
      <c r="CX233" t="str">
        <f>""</f>
        <v/>
      </c>
      <c r="CY233" t="str">
        <f>""</f>
        <v/>
      </c>
      <c r="CZ233" t="str">
        <f>""</f>
        <v/>
      </c>
      <c r="DA233" t="str">
        <f>""</f>
        <v/>
      </c>
      <c r="DB233" t="str">
        <f>""</f>
        <v/>
      </c>
      <c r="DC233" t="str">
        <f>""</f>
        <v/>
      </c>
      <c r="DD233" t="str">
        <f>""</f>
        <v/>
      </c>
      <c r="DE233" t="str">
        <f>""</f>
        <v/>
      </c>
      <c r="DF233" t="str">
        <f>""</f>
        <v/>
      </c>
      <c r="DG233" t="str">
        <f>""</f>
        <v/>
      </c>
      <c r="DH233" t="str">
        <f>""</f>
        <v/>
      </c>
      <c r="DI233" t="str">
        <f>""</f>
        <v/>
      </c>
      <c r="DJ233" t="str">
        <f>""</f>
        <v/>
      </c>
      <c r="DK233" t="str">
        <f>""</f>
        <v/>
      </c>
      <c r="DL233" t="str">
        <f>""</f>
        <v/>
      </c>
      <c r="DM233" t="str">
        <f>""</f>
        <v/>
      </c>
      <c r="DN233" t="str">
        <f>""</f>
        <v/>
      </c>
      <c r="DO233" t="str">
        <f>""</f>
        <v/>
      </c>
      <c r="DP233" t="str">
        <f>""</f>
        <v/>
      </c>
      <c r="DQ233" t="str">
        <f>""</f>
        <v/>
      </c>
      <c r="DR233" t="str">
        <f>""</f>
        <v/>
      </c>
      <c r="DS233" t="str">
        <f>""</f>
        <v/>
      </c>
      <c r="DT233" t="str">
        <f>""</f>
        <v/>
      </c>
      <c r="DU233" t="str">
        <f>""</f>
        <v/>
      </c>
    </row>
    <row r="234" spans="1:125">
      <c r="B234" t="str">
        <f>"RECFNAHC Index"</f>
        <v>RECFNAHC Index</v>
      </c>
      <c r="C234" t="str">
        <f t="shared" si="55"/>
        <v>PR005</v>
      </c>
      <c r="D234" t="str">
        <f t="shared" si="56"/>
        <v>PX_LAST</v>
      </c>
      <c r="E234" t="str">
        <f t="shared" si="57"/>
        <v>动态</v>
      </c>
      <c r="F234" t="str">
        <f ca="1">BDH($B$234,$C$234,$B$181,$B$182,CONCATENATE("Per=",$B$179),"Dts=H","Dir=H",CONCATENATE("Points=",$B$180),"Sort=R","Days=A","Fill=B",CONCATENATE("FX=", $B$178) )</f>
        <v>#N/A Authorization</v>
      </c>
      <c r="BN234" t="str">
        <f>""</f>
        <v/>
      </c>
      <c r="BO234" t="str">
        <f>""</f>
        <v/>
      </c>
      <c r="BP234" t="str">
        <f>""</f>
        <v/>
      </c>
      <c r="BQ234" t="str">
        <f>""</f>
        <v/>
      </c>
      <c r="BR234" t="str">
        <f>""</f>
        <v/>
      </c>
      <c r="BS234" t="str">
        <f>""</f>
        <v/>
      </c>
      <c r="BT234" t="str">
        <f>""</f>
        <v/>
      </c>
      <c r="BU234" t="str">
        <f>""</f>
        <v/>
      </c>
      <c r="BV234" t="str">
        <f>""</f>
        <v/>
      </c>
      <c r="BW234" t="str">
        <f>""</f>
        <v/>
      </c>
      <c r="BX234" t="str">
        <f>""</f>
        <v/>
      </c>
      <c r="BY234" t="str">
        <f>""</f>
        <v/>
      </c>
      <c r="BZ234" t="str">
        <f>""</f>
        <v/>
      </c>
      <c r="CA234" t="str">
        <f>""</f>
        <v/>
      </c>
      <c r="CB234" t="str">
        <f>""</f>
        <v/>
      </c>
      <c r="CC234" t="str">
        <f>""</f>
        <v/>
      </c>
      <c r="CD234" t="str">
        <f>""</f>
        <v/>
      </c>
      <c r="CE234" t="str">
        <f>""</f>
        <v/>
      </c>
      <c r="CF234" t="str">
        <f>""</f>
        <v/>
      </c>
      <c r="CG234" t="str">
        <f>""</f>
        <v/>
      </c>
      <c r="CH234" t="str">
        <f>""</f>
        <v/>
      </c>
      <c r="CI234" t="str">
        <f>""</f>
        <v/>
      </c>
      <c r="CJ234" t="str">
        <f>""</f>
        <v/>
      </c>
      <c r="CK234" t="str">
        <f>""</f>
        <v/>
      </c>
      <c r="CL234" t="str">
        <f>""</f>
        <v/>
      </c>
      <c r="CM234" t="str">
        <f>""</f>
        <v/>
      </c>
      <c r="CN234" t="str">
        <f>""</f>
        <v/>
      </c>
      <c r="CO234" t="str">
        <f>""</f>
        <v/>
      </c>
      <c r="CP234" t="str">
        <f>""</f>
        <v/>
      </c>
      <c r="CQ234" t="str">
        <f>""</f>
        <v/>
      </c>
      <c r="CR234" t="str">
        <f>""</f>
        <v/>
      </c>
      <c r="CS234" t="str">
        <f>""</f>
        <v/>
      </c>
      <c r="CT234" t="str">
        <f>""</f>
        <v/>
      </c>
      <c r="CU234" t="str">
        <f>""</f>
        <v/>
      </c>
      <c r="CV234" t="str">
        <f>""</f>
        <v/>
      </c>
      <c r="CW234" t="str">
        <f>""</f>
        <v/>
      </c>
      <c r="CX234" t="str">
        <f>""</f>
        <v/>
      </c>
      <c r="CY234" t="str">
        <f>""</f>
        <v/>
      </c>
      <c r="CZ234" t="str">
        <f>""</f>
        <v/>
      </c>
      <c r="DA234" t="str">
        <f>""</f>
        <v/>
      </c>
      <c r="DB234" t="str">
        <f>""</f>
        <v/>
      </c>
      <c r="DC234" t="str">
        <f>""</f>
        <v/>
      </c>
      <c r="DD234" t="str">
        <f>""</f>
        <v/>
      </c>
      <c r="DE234" t="str">
        <f>""</f>
        <v/>
      </c>
      <c r="DF234" t="str">
        <f>""</f>
        <v/>
      </c>
      <c r="DG234" t="str">
        <f>""</f>
        <v/>
      </c>
      <c r="DH234" t="str">
        <f>""</f>
        <v/>
      </c>
      <c r="DI234" t="str">
        <f>""</f>
        <v/>
      </c>
      <c r="DJ234" t="str">
        <f>""</f>
        <v/>
      </c>
      <c r="DK234" t="str">
        <f>""</f>
        <v/>
      </c>
      <c r="DL234" t="str">
        <f>""</f>
        <v/>
      </c>
      <c r="DM234" t="str">
        <f>""</f>
        <v/>
      </c>
      <c r="DN234" t="str">
        <f>""</f>
        <v/>
      </c>
      <c r="DO234" t="str">
        <f>""</f>
        <v/>
      </c>
      <c r="DP234" t="str">
        <f>""</f>
        <v/>
      </c>
      <c r="DQ234" t="str">
        <f>""</f>
        <v/>
      </c>
      <c r="DR234" t="str">
        <f>""</f>
        <v/>
      </c>
      <c r="DS234" t="str">
        <f>""</f>
        <v/>
      </c>
      <c r="DT234" t="str">
        <f>""</f>
        <v/>
      </c>
      <c r="DU234" t="str">
        <f>""</f>
        <v/>
      </c>
    </row>
    <row r="235" spans="1:125">
      <c r="B235" t="str">
        <f>"RECFNADC Index"</f>
        <v>RECFNADC Index</v>
      </c>
      <c r="C235" t="str">
        <f t="shared" si="55"/>
        <v>PR005</v>
      </c>
      <c r="D235" t="str">
        <f t="shared" si="56"/>
        <v>PX_LAST</v>
      </c>
      <c r="E235" t="str">
        <f t="shared" si="57"/>
        <v>动态</v>
      </c>
      <c r="F235" t="str">
        <f ca="1">BDH($B$235,$C$235,$B$181,$B$182,CONCATENATE("Per=",$B$179),"Dts=H","Dir=H",CONCATENATE("Points=",$B$180),"Sort=R","Days=A","Fill=B",CONCATENATE("FX=", $B$178) )</f>
        <v>#N/A Authorization</v>
      </c>
      <c r="BN235" t="str">
        <f>""</f>
        <v/>
      </c>
      <c r="BO235" t="str">
        <f>""</f>
        <v/>
      </c>
      <c r="BP235" t="str">
        <f>""</f>
        <v/>
      </c>
      <c r="BQ235" t="str">
        <f>""</f>
        <v/>
      </c>
      <c r="BR235" t="str">
        <f>""</f>
        <v/>
      </c>
      <c r="BS235" t="str">
        <f>""</f>
        <v/>
      </c>
      <c r="BT235" t="str">
        <f>""</f>
        <v/>
      </c>
      <c r="BU235" t="str">
        <f>""</f>
        <v/>
      </c>
      <c r="BV235" t="str">
        <f>""</f>
        <v/>
      </c>
      <c r="BW235" t="str">
        <f>""</f>
        <v/>
      </c>
      <c r="BX235" t="str">
        <f>""</f>
        <v/>
      </c>
      <c r="BY235" t="str">
        <f>""</f>
        <v/>
      </c>
      <c r="BZ235" t="str">
        <f>""</f>
        <v/>
      </c>
      <c r="CA235" t="str">
        <f>""</f>
        <v/>
      </c>
      <c r="CB235" t="str">
        <f>""</f>
        <v/>
      </c>
      <c r="CC235" t="str">
        <f>""</f>
        <v/>
      </c>
      <c r="CD235" t="str">
        <f>""</f>
        <v/>
      </c>
      <c r="CE235" t="str">
        <f>""</f>
        <v/>
      </c>
      <c r="CF235" t="str">
        <f>""</f>
        <v/>
      </c>
      <c r="CG235" t="str">
        <f>""</f>
        <v/>
      </c>
      <c r="CH235" t="str">
        <f>""</f>
        <v/>
      </c>
      <c r="CI235" t="str">
        <f>""</f>
        <v/>
      </c>
      <c r="CJ235" t="str">
        <f>""</f>
        <v/>
      </c>
      <c r="CK235" t="str">
        <f>""</f>
        <v/>
      </c>
      <c r="CL235" t="str">
        <f>""</f>
        <v/>
      </c>
      <c r="CM235" t="str">
        <f>""</f>
        <v/>
      </c>
      <c r="CN235" t="str">
        <f>""</f>
        <v/>
      </c>
      <c r="CO235" t="str">
        <f>""</f>
        <v/>
      </c>
      <c r="CP235" t="str">
        <f>""</f>
        <v/>
      </c>
      <c r="CQ235" t="str">
        <f>""</f>
        <v/>
      </c>
      <c r="CR235" t="str">
        <f>""</f>
        <v/>
      </c>
      <c r="CS235" t="str">
        <f>""</f>
        <v/>
      </c>
      <c r="CT235" t="str">
        <f>""</f>
        <v/>
      </c>
      <c r="CU235" t="str">
        <f>""</f>
        <v/>
      </c>
      <c r="CV235" t="str">
        <f>""</f>
        <v/>
      </c>
      <c r="CW235" t="str">
        <f>""</f>
        <v/>
      </c>
      <c r="CX235" t="str">
        <f>""</f>
        <v/>
      </c>
      <c r="CY235" t="str">
        <f>""</f>
        <v/>
      </c>
      <c r="CZ235" t="str">
        <f>""</f>
        <v/>
      </c>
      <c r="DA235" t="str">
        <f>""</f>
        <v/>
      </c>
      <c r="DB235" t="str">
        <f>""</f>
        <v/>
      </c>
      <c r="DC235" t="str">
        <f>""</f>
        <v/>
      </c>
      <c r="DD235" t="str">
        <f>""</f>
        <v/>
      </c>
      <c r="DE235" t="str">
        <f>""</f>
        <v/>
      </c>
      <c r="DF235" t="str">
        <f>""</f>
        <v/>
      </c>
      <c r="DG235" t="str">
        <f>""</f>
        <v/>
      </c>
      <c r="DH235" t="str">
        <f>""</f>
        <v/>
      </c>
      <c r="DI235" t="str">
        <f>""</f>
        <v/>
      </c>
      <c r="DJ235" t="str">
        <f>""</f>
        <v/>
      </c>
      <c r="DK235" t="str">
        <f>""</f>
        <v/>
      </c>
      <c r="DL235" t="str">
        <f>""</f>
        <v/>
      </c>
      <c r="DM235" t="str">
        <f>""</f>
        <v/>
      </c>
      <c r="DN235" t="str">
        <f>""</f>
        <v/>
      </c>
      <c r="DO235" t="str">
        <f>""</f>
        <v/>
      </c>
      <c r="DP235" t="str">
        <f>""</f>
        <v/>
      </c>
      <c r="DQ235" t="str">
        <f>""</f>
        <v/>
      </c>
      <c r="DR235" t="str">
        <f>""</f>
        <v/>
      </c>
      <c r="DS235" t="str">
        <f>""</f>
        <v/>
      </c>
      <c r="DT235" t="str">
        <f>""</f>
        <v/>
      </c>
      <c r="DU235" t="str">
        <f>""</f>
        <v/>
      </c>
    </row>
    <row r="236" spans="1:125">
      <c r="B236" t="str">
        <f>"RECFNASP Index"</f>
        <v>RECFNASP Index</v>
      </c>
      <c r="C236" t="str">
        <f t="shared" si="55"/>
        <v>PR005</v>
      </c>
      <c r="D236" t="str">
        <f t="shared" si="56"/>
        <v>PX_LAST</v>
      </c>
      <c r="E236" t="str">
        <f t="shared" si="57"/>
        <v>动态</v>
      </c>
      <c r="F236" t="str">
        <f ca="1">BDH($B$236,$C$236,$B$181,$B$182,CONCATENATE("Per=",$B$179),"Dts=H","Dir=H",CONCATENATE("Points=",$B$180),"Sort=R","Days=A","Fill=B",CONCATENATE("FX=", $B$178) )</f>
        <v>#N/A Authorization</v>
      </c>
      <c r="BN236" t="str">
        <f>""</f>
        <v/>
      </c>
      <c r="BO236" t="str">
        <f>""</f>
        <v/>
      </c>
      <c r="BP236" t="str">
        <f>""</f>
        <v/>
      </c>
      <c r="BQ236" t="str">
        <f>""</f>
        <v/>
      </c>
      <c r="BR236" t="str">
        <f>""</f>
        <v/>
      </c>
      <c r="BS236" t="str">
        <f>""</f>
        <v/>
      </c>
      <c r="BT236" t="str">
        <f>""</f>
        <v/>
      </c>
      <c r="BU236" t="str">
        <f>""</f>
        <v/>
      </c>
      <c r="BV236" t="str">
        <f>""</f>
        <v/>
      </c>
      <c r="BW236" t="str">
        <f>""</f>
        <v/>
      </c>
      <c r="BX236" t="str">
        <f>""</f>
        <v/>
      </c>
      <c r="BY236" t="str">
        <f>""</f>
        <v/>
      </c>
      <c r="BZ236" t="str">
        <f>""</f>
        <v/>
      </c>
      <c r="CA236" t="str">
        <f>""</f>
        <v/>
      </c>
      <c r="CB236" t="str">
        <f>""</f>
        <v/>
      </c>
      <c r="CC236" t="str">
        <f>""</f>
        <v/>
      </c>
      <c r="CD236" t="str">
        <f>""</f>
        <v/>
      </c>
      <c r="CE236" t="str">
        <f>""</f>
        <v/>
      </c>
      <c r="CF236" t="str">
        <f>""</f>
        <v/>
      </c>
      <c r="CG236" t="str">
        <f>""</f>
        <v/>
      </c>
      <c r="CH236" t="str">
        <f>""</f>
        <v/>
      </c>
      <c r="CI236" t="str">
        <f>""</f>
        <v/>
      </c>
      <c r="CJ236" t="str">
        <f>""</f>
        <v/>
      </c>
      <c r="CK236" t="str">
        <f>""</f>
        <v/>
      </c>
      <c r="CL236" t="str">
        <f>""</f>
        <v/>
      </c>
      <c r="CM236" t="str">
        <f>""</f>
        <v/>
      </c>
      <c r="CN236" t="str">
        <f>""</f>
        <v/>
      </c>
      <c r="CO236" t="str">
        <f>""</f>
        <v/>
      </c>
      <c r="CP236" t="str">
        <f>""</f>
        <v/>
      </c>
      <c r="CQ236" t="str">
        <f>""</f>
        <v/>
      </c>
      <c r="CR236" t="str">
        <f>""</f>
        <v/>
      </c>
      <c r="CS236" t="str">
        <f>""</f>
        <v/>
      </c>
      <c r="CT236" t="str">
        <f>""</f>
        <v/>
      </c>
      <c r="CU236" t="str">
        <f>""</f>
        <v/>
      </c>
      <c r="CV236" t="str">
        <f>""</f>
        <v/>
      </c>
      <c r="CW236" t="str">
        <f>""</f>
        <v/>
      </c>
      <c r="CX236" t="str">
        <f>""</f>
        <v/>
      </c>
      <c r="CY236" t="str">
        <f>""</f>
        <v/>
      </c>
      <c r="CZ236" t="str">
        <f>""</f>
        <v/>
      </c>
      <c r="DA236" t="str">
        <f>""</f>
        <v/>
      </c>
      <c r="DB236" t="str">
        <f>""</f>
        <v/>
      </c>
      <c r="DC236" t="str">
        <f>""</f>
        <v/>
      </c>
      <c r="DD236" t="str">
        <f>""</f>
        <v/>
      </c>
      <c r="DE236" t="str">
        <f>""</f>
        <v/>
      </c>
      <c r="DF236" t="str">
        <f>""</f>
        <v/>
      </c>
      <c r="DG236" t="str">
        <f>""</f>
        <v/>
      </c>
      <c r="DH236" t="str">
        <f>""</f>
        <v/>
      </c>
      <c r="DI236" t="str">
        <f>""</f>
        <v/>
      </c>
      <c r="DJ236" t="str">
        <f>""</f>
        <v/>
      </c>
      <c r="DK236" t="str">
        <f>""</f>
        <v/>
      </c>
      <c r="DL236" t="str">
        <f>""</f>
        <v/>
      </c>
      <c r="DM236" t="str">
        <f>""</f>
        <v/>
      </c>
      <c r="DN236" t="str">
        <f>""</f>
        <v/>
      </c>
      <c r="DO236" t="str">
        <f>""</f>
        <v/>
      </c>
      <c r="DP236" t="str">
        <f>""</f>
        <v/>
      </c>
      <c r="DQ236" t="str">
        <f>""</f>
        <v/>
      </c>
      <c r="DR236" t="str">
        <f>""</f>
        <v/>
      </c>
      <c r="DS236" t="str">
        <f>""</f>
        <v/>
      </c>
      <c r="DT236" t="str">
        <f>""</f>
        <v/>
      </c>
      <c r="DU236" t="str">
        <f>""</f>
        <v/>
      </c>
    </row>
    <row r="237" spans="1:125">
      <c r="A237" t="str">
        <f>$A$4</f>
        <v>同店净营业利润增长-所有房地产投资信托</v>
      </c>
      <c r="B237" t="str">
        <f>$B$4</f>
        <v>RECFSSEQ Index</v>
      </c>
      <c r="C237" t="str">
        <f>$C$4</f>
        <v>PR005</v>
      </c>
      <c r="D237" t="str">
        <f>$D$4</f>
        <v>PX_LAST</v>
      </c>
      <c r="E237" t="str">
        <f>$E$4</f>
        <v>动态</v>
      </c>
      <c r="F237" t="str">
        <f ca="1">BDH($B$4,$C$4,$B$181,$B$182,CONCATENATE("Per=",$B$179),"Dts=H","Dir=H",CONCATENATE("Points=",$B$180),"Sort=R","Days=A","Fill=B",CONCATENATE("FX=", $B$178) )</f>
        <v>#N/A Authorization</v>
      </c>
      <c r="BN237" t="str">
        <f>""</f>
        <v/>
      </c>
      <c r="BO237" t="str">
        <f>""</f>
        <v/>
      </c>
      <c r="BP237" t="str">
        <f>""</f>
        <v/>
      </c>
      <c r="BQ237" t="str">
        <f>""</f>
        <v/>
      </c>
      <c r="BR237" t="str">
        <f>""</f>
        <v/>
      </c>
      <c r="BS237" t="str">
        <f>""</f>
        <v/>
      </c>
      <c r="BT237" t="str">
        <f>""</f>
        <v/>
      </c>
      <c r="BU237" t="str">
        <f>""</f>
        <v/>
      </c>
      <c r="BV237" t="str">
        <f>""</f>
        <v/>
      </c>
      <c r="BW237" t="str">
        <f>""</f>
        <v/>
      </c>
      <c r="BX237" t="str">
        <f>""</f>
        <v/>
      </c>
      <c r="BY237" t="str">
        <f>""</f>
        <v/>
      </c>
      <c r="BZ237" t="str">
        <f>""</f>
        <v/>
      </c>
      <c r="CA237" t="str">
        <f>""</f>
        <v/>
      </c>
      <c r="CB237" t="str">
        <f>""</f>
        <v/>
      </c>
      <c r="CC237" t="str">
        <f>""</f>
        <v/>
      </c>
      <c r="CD237" t="str">
        <f>""</f>
        <v/>
      </c>
      <c r="CE237" t="str">
        <f>""</f>
        <v/>
      </c>
      <c r="CF237" t="str">
        <f>""</f>
        <v/>
      </c>
      <c r="CG237" t="str">
        <f>""</f>
        <v/>
      </c>
      <c r="CH237" t="str">
        <f>""</f>
        <v/>
      </c>
      <c r="CI237" t="str">
        <f>""</f>
        <v/>
      </c>
      <c r="CJ237" t="str">
        <f>""</f>
        <v/>
      </c>
      <c r="CK237" t="str">
        <f>""</f>
        <v/>
      </c>
      <c r="CL237" t="str">
        <f>""</f>
        <v/>
      </c>
      <c r="CM237" t="str">
        <f>""</f>
        <v/>
      </c>
      <c r="CN237" t="str">
        <f>""</f>
        <v/>
      </c>
      <c r="CO237" t="str">
        <f>""</f>
        <v/>
      </c>
      <c r="CP237" t="str">
        <f>""</f>
        <v/>
      </c>
      <c r="CQ237" t="str">
        <f>""</f>
        <v/>
      </c>
      <c r="CR237" t="str">
        <f>""</f>
        <v/>
      </c>
      <c r="CS237" t="str">
        <f>""</f>
        <v/>
      </c>
      <c r="CT237" t="str">
        <f>""</f>
        <v/>
      </c>
      <c r="CU237" t="str">
        <f>""</f>
        <v/>
      </c>
      <c r="CV237" t="str">
        <f>""</f>
        <v/>
      </c>
      <c r="CW237" t="str">
        <f>""</f>
        <v/>
      </c>
      <c r="CX237" t="str">
        <f>""</f>
        <v/>
      </c>
      <c r="CY237" t="str">
        <f>""</f>
        <v/>
      </c>
      <c r="CZ237" t="str">
        <f>""</f>
        <v/>
      </c>
      <c r="DA237" t="str">
        <f>""</f>
        <v/>
      </c>
      <c r="DB237" t="str">
        <f>""</f>
        <v/>
      </c>
      <c r="DC237" t="str">
        <f>""</f>
        <v/>
      </c>
      <c r="DD237" t="str">
        <f>""</f>
        <v/>
      </c>
      <c r="DE237" t="str">
        <f>""</f>
        <v/>
      </c>
      <c r="DF237" t="str">
        <f>""</f>
        <v/>
      </c>
      <c r="DG237" t="str">
        <f>""</f>
        <v/>
      </c>
      <c r="DH237" t="str">
        <f>""</f>
        <v/>
      </c>
      <c r="DI237" t="str">
        <f>""</f>
        <v/>
      </c>
      <c r="DJ237" t="str">
        <f>""</f>
        <v/>
      </c>
      <c r="DK237" t="str">
        <f>""</f>
        <v/>
      </c>
      <c r="DL237" t="str">
        <f>""</f>
        <v/>
      </c>
      <c r="DM237" t="str">
        <f>""</f>
        <v/>
      </c>
      <c r="DN237" t="str">
        <f>""</f>
        <v/>
      </c>
      <c r="DO237" t="str">
        <f>""</f>
        <v/>
      </c>
      <c r="DP237" t="str">
        <f>""</f>
        <v/>
      </c>
      <c r="DQ237" t="str">
        <f>""</f>
        <v/>
      </c>
      <c r="DR237" t="str">
        <f>""</f>
        <v/>
      </c>
      <c r="DS237" t="str">
        <f>""</f>
        <v/>
      </c>
      <c r="DT237" t="str">
        <f>""</f>
        <v/>
      </c>
      <c r="DU237" t="str">
        <f>""</f>
        <v/>
      </c>
    </row>
    <row r="238" spans="1:125">
      <c r="A238" t="str">
        <f>$A$5</f>
        <v xml:space="preserve">    Office REITs</v>
      </c>
      <c r="B238" t="str">
        <f>$B$5</f>
        <v>RECFSSOF Index</v>
      </c>
      <c r="C238" t="str">
        <f>$C$5</f>
        <v>PR005</v>
      </c>
      <c r="D238" t="str">
        <f>$D$5</f>
        <v>PX_LAST</v>
      </c>
      <c r="E238" t="str">
        <f>$E$5</f>
        <v>动态</v>
      </c>
      <c r="F238" t="str">
        <f ca="1">BDH($B$5,$C$5,$B$181,$B$182,CONCATENATE("Per=",$B$179),"Dts=H","Dir=H",CONCATENATE("Points=",$B$180),"Sort=R","Days=A","Fill=B",CONCATENATE("FX=", $B$178) )</f>
        <v>#N/A Authorization</v>
      </c>
      <c r="BN238" t="str">
        <f>""</f>
        <v/>
      </c>
      <c r="BO238" t="str">
        <f>""</f>
        <v/>
      </c>
      <c r="BP238" t="str">
        <f>""</f>
        <v/>
      </c>
      <c r="BQ238" t="str">
        <f>""</f>
        <v/>
      </c>
      <c r="BR238" t="str">
        <f>""</f>
        <v/>
      </c>
      <c r="BS238" t="str">
        <f>""</f>
        <v/>
      </c>
      <c r="BT238" t="str">
        <f>""</f>
        <v/>
      </c>
      <c r="BU238" t="str">
        <f>""</f>
        <v/>
      </c>
      <c r="BV238" t="str">
        <f>""</f>
        <v/>
      </c>
      <c r="BW238" t="str">
        <f>""</f>
        <v/>
      </c>
      <c r="BX238" t="str">
        <f>""</f>
        <v/>
      </c>
      <c r="BY238" t="str">
        <f>""</f>
        <v/>
      </c>
      <c r="BZ238" t="str">
        <f>""</f>
        <v/>
      </c>
      <c r="CA238" t="str">
        <f>""</f>
        <v/>
      </c>
      <c r="CB238" t="str">
        <f>""</f>
        <v/>
      </c>
      <c r="CC238" t="str">
        <f>""</f>
        <v/>
      </c>
      <c r="CD238" t="str">
        <f>""</f>
        <v/>
      </c>
      <c r="CE238" t="str">
        <f>""</f>
        <v/>
      </c>
      <c r="CF238" t="str">
        <f>""</f>
        <v/>
      </c>
      <c r="CG238" t="str">
        <f>""</f>
        <v/>
      </c>
      <c r="CH238" t="str">
        <f>""</f>
        <v/>
      </c>
      <c r="CI238" t="str">
        <f>""</f>
        <v/>
      </c>
      <c r="CJ238" t="str">
        <f>""</f>
        <v/>
      </c>
      <c r="CK238" t="str">
        <f>""</f>
        <v/>
      </c>
      <c r="CL238" t="str">
        <f>""</f>
        <v/>
      </c>
      <c r="CM238" t="str">
        <f>""</f>
        <v/>
      </c>
      <c r="CN238" t="str">
        <f>""</f>
        <v/>
      </c>
      <c r="CO238" t="str">
        <f>""</f>
        <v/>
      </c>
      <c r="CP238" t="str">
        <f>""</f>
        <v/>
      </c>
      <c r="CQ238" t="str">
        <f>""</f>
        <v/>
      </c>
      <c r="CR238" t="str">
        <f>""</f>
        <v/>
      </c>
      <c r="CS238" t="str">
        <f>""</f>
        <v/>
      </c>
      <c r="CT238" t="str">
        <f>""</f>
        <v/>
      </c>
      <c r="CU238" t="str">
        <f>""</f>
        <v/>
      </c>
      <c r="CV238" t="str">
        <f>""</f>
        <v/>
      </c>
      <c r="CW238" t="str">
        <f>""</f>
        <v/>
      </c>
      <c r="CX238" t="str">
        <f>""</f>
        <v/>
      </c>
      <c r="CY238" t="str">
        <f>""</f>
        <v/>
      </c>
      <c r="CZ238" t="str">
        <f>""</f>
        <v/>
      </c>
      <c r="DA238" t="str">
        <f>""</f>
        <v/>
      </c>
      <c r="DB238" t="str">
        <f>""</f>
        <v/>
      </c>
      <c r="DC238" t="str">
        <f>""</f>
        <v/>
      </c>
      <c r="DD238" t="str">
        <f>""</f>
        <v/>
      </c>
      <c r="DE238" t="str">
        <f>""</f>
        <v/>
      </c>
      <c r="DF238" t="str">
        <f>""</f>
        <v/>
      </c>
      <c r="DG238" t="str">
        <f>""</f>
        <v/>
      </c>
      <c r="DH238" t="str">
        <f>""</f>
        <v/>
      </c>
      <c r="DI238" t="str">
        <f>""</f>
        <v/>
      </c>
      <c r="DJ238" t="str">
        <f>""</f>
        <v/>
      </c>
      <c r="DK238" t="str">
        <f>""</f>
        <v/>
      </c>
      <c r="DL238" t="str">
        <f>""</f>
        <v/>
      </c>
      <c r="DM238" t="str">
        <f>""</f>
        <v/>
      </c>
      <c r="DN238" t="str">
        <f>""</f>
        <v/>
      </c>
      <c r="DO238" t="str">
        <f>""</f>
        <v/>
      </c>
      <c r="DP238" t="str">
        <f>""</f>
        <v/>
      </c>
      <c r="DQ238" t="str">
        <f>""</f>
        <v/>
      </c>
      <c r="DR238" t="str">
        <f>""</f>
        <v/>
      </c>
      <c r="DS238" t="str">
        <f>""</f>
        <v/>
      </c>
      <c r="DT238" t="str">
        <f>""</f>
        <v/>
      </c>
      <c r="DU238" t="str">
        <f>""</f>
        <v/>
      </c>
    </row>
    <row r="239" spans="1:125">
      <c r="A239" t="str">
        <f>$A$6</f>
        <v xml:space="preserve">    Industrial REITs</v>
      </c>
      <c r="B239" t="str">
        <f>$B$6</f>
        <v>RECFSSIN Index</v>
      </c>
      <c r="C239" t="str">
        <f>$C$6</f>
        <v>PR005</v>
      </c>
      <c r="D239" t="str">
        <f>$D$6</f>
        <v>PX_LAST</v>
      </c>
      <c r="E239" t="str">
        <f>$E$6</f>
        <v>动态</v>
      </c>
      <c r="F239" t="str">
        <f ca="1">BDH($B$6,$C$6,$B$181,$B$182,CONCATENATE("Per=",$B$179),"Dts=H","Dir=H",CONCATENATE("Points=",$B$180),"Sort=R","Days=A","Fill=B",CONCATENATE("FX=", $B$178) )</f>
        <v>#N/A Authorization</v>
      </c>
      <c r="BN239" t="str">
        <f>""</f>
        <v/>
      </c>
      <c r="BO239" t="str">
        <f>""</f>
        <v/>
      </c>
      <c r="BP239" t="str">
        <f>""</f>
        <v/>
      </c>
      <c r="BQ239" t="str">
        <f>""</f>
        <v/>
      </c>
      <c r="BR239" t="str">
        <f>""</f>
        <v/>
      </c>
      <c r="BS239" t="str">
        <f>""</f>
        <v/>
      </c>
      <c r="BT239" t="str">
        <f>""</f>
        <v/>
      </c>
      <c r="BU239" t="str">
        <f>""</f>
        <v/>
      </c>
      <c r="BV239" t="str">
        <f>""</f>
        <v/>
      </c>
      <c r="BW239" t="str">
        <f>""</f>
        <v/>
      </c>
      <c r="BX239" t="str">
        <f>""</f>
        <v/>
      </c>
      <c r="BY239" t="str">
        <f>""</f>
        <v/>
      </c>
      <c r="BZ239" t="str">
        <f>""</f>
        <v/>
      </c>
      <c r="CA239" t="str">
        <f>""</f>
        <v/>
      </c>
      <c r="CB239" t="str">
        <f>""</f>
        <v/>
      </c>
      <c r="CC239" t="str">
        <f>""</f>
        <v/>
      </c>
      <c r="CD239" t="str">
        <f>""</f>
        <v/>
      </c>
      <c r="CE239" t="str">
        <f>""</f>
        <v/>
      </c>
      <c r="CF239" t="str">
        <f>""</f>
        <v/>
      </c>
      <c r="CG239" t="str">
        <f>""</f>
        <v/>
      </c>
      <c r="CH239" t="str">
        <f>""</f>
        <v/>
      </c>
      <c r="CI239" t="str">
        <f>""</f>
        <v/>
      </c>
      <c r="CJ239" t="str">
        <f>""</f>
        <v/>
      </c>
      <c r="CK239" t="str">
        <f>""</f>
        <v/>
      </c>
      <c r="CL239" t="str">
        <f>""</f>
        <v/>
      </c>
      <c r="CM239" t="str">
        <f>""</f>
        <v/>
      </c>
      <c r="CN239" t="str">
        <f>""</f>
        <v/>
      </c>
      <c r="CO239" t="str">
        <f>""</f>
        <v/>
      </c>
      <c r="CP239" t="str">
        <f>""</f>
        <v/>
      </c>
      <c r="CQ239" t="str">
        <f>""</f>
        <v/>
      </c>
      <c r="CR239" t="str">
        <f>""</f>
        <v/>
      </c>
      <c r="CS239" t="str">
        <f>""</f>
        <v/>
      </c>
      <c r="CT239" t="str">
        <f>""</f>
        <v/>
      </c>
      <c r="CU239" t="str">
        <f>""</f>
        <v/>
      </c>
      <c r="CV239" t="str">
        <f>""</f>
        <v/>
      </c>
      <c r="CW239" t="str">
        <f>""</f>
        <v/>
      </c>
      <c r="CX239" t="str">
        <f>""</f>
        <v/>
      </c>
      <c r="CY239" t="str">
        <f>""</f>
        <v/>
      </c>
      <c r="CZ239" t="str">
        <f>""</f>
        <v/>
      </c>
      <c r="DA239" t="str">
        <f>""</f>
        <v/>
      </c>
      <c r="DB239" t="str">
        <f>""</f>
        <v/>
      </c>
      <c r="DC239" t="str">
        <f>""</f>
        <v/>
      </c>
      <c r="DD239" t="str">
        <f>""</f>
        <v/>
      </c>
      <c r="DE239" t="str">
        <f>""</f>
        <v/>
      </c>
      <c r="DF239" t="str">
        <f>""</f>
        <v/>
      </c>
      <c r="DG239" t="str">
        <f>""</f>
        <v/>
      </c>
      <c r="DH239" t="str">
        <f>""</f>
        <v/>
      </c>
      <c r="DI239" t="str">
        <f>""</f>
        <v/>
      </c>
      <c r="DJ239" t="str">
        <f>""</f>
        <v/>
      </c>
      <c r="DK239" t="str">
        <f>""</f>
        <v/>
      </c>
      <c r="DL239" t="str">
        <f>""</f>
        <v/>
      </c>
      <c r="DM239" t="str">
        <f>""</f>
        <v/>
      </c>
      <c r="DN239" t="str">
        <f>""</f>
        <v/>
      </c>
      <c r="DO239" t="str">
        <f>""</f>
        <v/>
      </c>
      <c r="DP239" t="str">
        <f>""</f>
        <v/>
      </c>
      <c r="DQ239" t="str">
        <f>""</f>
        <v/>
      </c>
      <c r="DR239" t="str">
        <f>""</f>
        <v/>
      </c>
      <c r="DS239" t="str">
        <f>""</f>
        <v/>
      </c>
      <c r="DT239" t="str">
        <f>""</f>
        <v/>
      </c>
      <c r="DU239" t="str">
        <f>""</f>
        <v/>
      </c>
    </row>
    <row r="240" spans="1:125">
      <c r="A240" t="str">
        <f>$A$7</f>
        <v xml:space="preserve">    Retail REITs</v>
      </c>
      <c r="B240" t="str">
        <f>$B$7</f>
        <v>RECFSSRT Index</v>
      </c>
      <c r="C240" t="str">
        <f>$C$7</f>
        <v>PR005</v>
      </c>
      <c r="D240" t="str">
        <f>$D$7</f>
        <v>PX_LAST</v>
      </c>
      <c r="E240" t="str">
        <f>$E$7</f>
        <v>动态</v>
      </c>
      <c r="F240" t="str">
        <f ca="1">BDH($B$7,$C$7,$B$181,$B$182,CONCATENATE("Per=",$B$179),"Dts=H","Dir=H",CONCATENATE("Points=",$B$180),"Sort=R","Days=A","Fill=B",CONCATENATE("FX=", $B$178) )</f>
        <v>#N/A Authorization</v>
      </c>
      <c r="BN240" t="str">
        <f>""</f>
        <v/>
      </c>
      <c r="BO240" t="str">
        <f>""</f>
        <v/>
      </c>
      <c r="BP240" t="str">
        <f>""</f>
        <v/>
      </c>
      <c r="BQ240" t="str">
        <f>""</f>
        <v/>
      </c>
      <c r="BR240" t="str">
        <f>""</f>
        <v/>
      </c>
      <c r="BS240" t="str">
        <f>""</f>
        <v/>
      </c>
      <c r="BT240" t="str">
        <f>""</f>
        <v/>
      </c>
      <c r="BU240" t="str">
        <f>""</f>
        <v/>
      </c>
      <c r="BV240" t="str">
        <f>""</f>
        <v/>
      </c>
      <c r="BW240" t="str">
        <f>""</f>
        <v/>
      </c>
      <c r="BX240" t="str">
        <f>""</f>
        <v/>
      </c>
      <c r="BY240" t="str">
        <f>""</f>
        <v/>
      </c>
      <c r="BZ240" t="str">
        <f>""</f>
        <v/>
      </c>
      <c r="CA240" t="str">
        <f>""</f>
        <v/>
      </c>
      <c r="CB240" t="str">
        <f>""</f>
        <v/>
      </c>
      <c r="CC240" t="str">
        <f>""</f>
        <v/>
      </c>
      <c r="CD240" t="str">
        <f>""</f>
        <v/>
      </c>
      <c r="CE240" t="str">
        <f>""</f>
        <v/>
      </c>
      <c r="CF240" t="str">
        <f>""</f>
        <v/>
      </c>
      <c r="CG240" t="str">
        <f>""</f>
        <v/>
      </c>
      <c r="CH240" t="str">
        <f>""</f>
        <v/>
      </c>
      <c r="CI240" t="str">
        <f>""</f>
        <v/>
      </c>
      <c r="CJ240" t="str">
        <f>""</f>
        <v/>
      </c>
      <c r="CK240" t="str">
        <f>""</f>
        <v/>
      </c>
      <c r="CL240" t="str">
        <f>""</f>
        <v/>
      </c>
      <c r="CM240" t="str">
        <f>""</f>
        <v/>
      </c>
      <c r="CN240" t="str">
        <f>""</f>
        <v/>
      </c>
      <c r="CO240" t="str">
        <f>""</f>
        <v/>
      </c>
      <c r="CP240" t="str">
        <f>""</f>
        <v/>
      </c>
      <c r="CQ240" t="str">
        <f>""</f>
        <v/>
      </c>
      <c r="CR240" t="str">
        <f>""</f>
        <v/>
      </c>
      <c r="CS240" t="str">
        <f>""</f>
        <v/>
      </c>
      <c r="CT240" t="str">
        <f>""</f>
        <v/>
      </c>
      <c r="CU240" t="str">
        <f>""</f>
        <v/>
      </c>
      <c r="CV240" t="str">
        <f>""</f>
        <v/>
      </c>
      <c r="CW240" t="str">
        <f>""</f>
        <v/>
      </c>
      <c r="CX240" t="str">
        <f>""</f>
        <v/>
      </c>
      <c r="CY240" t="str">
        <f>""</f>
        <v/>
      </c>
      <c r="CZ240" t="str">
        <f>""</f>
        <v/>
      </c>
      <c r="DA240" t="str">
        <f>""</f>
        <v/>
      </c>
      <c r="DB240" t="str">
        <f>""</f>
        <v/>
      </c>
      <c r="DC240" t="str">
        <f>""</f>
        <v/>
      </c>
      <c r="DD240" t="str">
        <f>""</f>
        <v/>
      </c>
      <c r="DE240" t="str">
        <f>""</f>
        <v/>
      </c>
      <c r="DF240" t="str">
        <f>""</f>
        <v/>
      </c>
      <c r="DG240" t="str">
        <f>""</f>
        <v/>
      </c>
      <c r="DH240" t="str">
        <f>""</f>
        <v/>
      </c>
      <c r="DI240" t="str">
        <f>""</f>
        <v/>
      </c>
      <c r="DJ240" t="str">
        <f>""</f>
        <v/>
      </c>
      <c r="DK240" t="str">
        <f>""</f>
        <v/>
      </c>
      <c r="DL240" t="str">
        <f>""</f>
        <v/>
      </c>
      <c r="DM240" t="str">
        <f>""</f>
        <v/>
      </c>
      <c r="DN240" t="str">
        <f>""</f>
        <v/>
      </c>
      <c r="DO240" t="str">
        <f>""</f>
        <v/>
      </c>
      <c r="DP240" t="str">
        <f>""</f>
        <v/>
      </c>
      <c r="DQ240" t="str">
        <f>""</f>
        <v/>
      </c>
      <c r="DR240" t="str">
        <f>""</f>
        <v/>
      </c>
      <c r="DS240" t="str">
        <f>""</f>
        <v/>
      </c>
      <c r="DT240" t="str">
        <f>""</f>
        <v/>
      </c>
      <c r="DU240" t="str">
        <f>""</f>
        <v/>
      </c>
    </row>
    <row r="241" spans="1:125">
      <c r="A241" t="str">
        <f>$A$8</f>
        <v xml:space="preserve">    Shopping Center REITs</v>
      </c>
      <c r="B241" t="str">
        <f>$B$8</f>
        <v>RECFSSSC Index</v>
      </c>
      <c r="C241" t="str">
        <f>$C$8</f>
        <v>PR005</v>
      </c>
      <c r="D241" t="str">
        <f>$D$8</f>
        <v>PX_LAST</v>
      </c>
      <c r="E241" t="str">
        <f>$E$8</f>
        <v>动态</v>
      </c>
      <c r="F241" t="str">
        <f ca="1">BDH($B$8,$C$8,$B$181,$B$182,CONCATENATE("Per=",$B$179),"Dts=H","Dir=H",CONCATENATE("Points=",$B$180),"Sort=R","Days=A","Fill=B",CONCATENATE("FX=", $B$178) )</f>
        <v>#N/A Authorization</v>
      </c>
      <c r="BN241" t="str">
        <f>""</f>
        <v/>
      </c>
      <c r="BO241" t="str">
        <f>""</f>
        <v/>
      </c>
      <c r="BP241" t="str">
        <f>""</f>
        <v/>
      </c>
      <c r="BQ241" t="str">
        <f>""</f>
        <v/>
      </c>
      <c r="BR241" t="str">
        <f>""</f>
        <v/>
      </c>
      <c r="BS241" t="str">
        <f>""</f>
        <v/>
      </c>
      <c r="BT241" t="str">
        <f>""</f>
        <v/>
      </c>
      <c r="BU241" t="str">
        <f>""</f>
        <v/>
      </c>
      <c r="BV241" t="str">
        <f>""</f>
        <v/>
      </c>
      <c r="BW241" t="str">
        <f>""</f>
        <v/>
      </c>
      <c r="BX241" t="str">
        <f>""</f>
        <v/>
      </c>
      <c r="BY241" t="str">
        <f>""</f>
        <v/>
      </c>
      <c r="BZ241" t="str">
        <f>""</f>
        <v/>
      </c>
      <c r="CA241" t="str">
        <f>""</f>
        <v/>
      </c>
      <c r="CB241" t="str">
        <f>""</f>
        <v/>
      </c>
      <c r="CC241" t="str">
        <f>""</f>
        <v/>
      </c>
      <c r="CD241" t="str">
        <f>""</f>
        <v/>
      </c>
      <c r="CE241" t="str">
        <f>""</f>
        <v/>
      </c>
      <c r="CF241" t="str">
        <f>""</f>
        <v/>
      </c>
      <c r="CG241" t="str">
        <f>""</f>
        <v/>
      </c>
      <c r="CH241" t="str">
        <f>""</f>
        <v/>
      </c>
      <c r="CI241" t="str">
        <f>""</f>
        <v/>
      </c>
      <c r="CJ241" t="str">
        <f>""</f>
        <v/>
      </c>
      <c r="CK241" t="str">
        <f>""</f>
        <v/>
      </c>
      <c r="CL241" t="str">
        <f>""</f>
        <v/>
      </c>
      <c r="CM241" t="str">
        <f>""</f>
        <v/>
      </c>
      <c r="CN241" t="str">
        <f>""</f>
        <v/>
      </c>
      <c r="CO241" t="str">
        <f>""</f>
        <v/>
      </c>
      <c r="CP241" t="str">
        <f>""</f>
        <v/>
      </c>
      <c r="CQ241" t="str">
        <f>""</f>
        <v/>
      </c>
      <c r="CR241" t="str">
        <f>""</f>
        <v/>
      </c>
      <c r="CS241" t="str">
        <f>""</f>
        <v/>
      </c>
      <c r="CT241" t="str">
        <f>""</f>
        <v/>
      </c>
      <c r="CU241" t="str">
        <f>""</f>
        <v/>
      </c>
      <c r="CV241" t="str">
        <f>""</f>
        <v/>
      </c>
      <c r="CW241" t="str">
        <f>""</f>
        <v/>
      </c>
      <c r="CX241" t="str">
        <f>""</f>
        <v/>
      </c>
      <c r="CY241" t="str">
        <f>""</f>
        <v/>
      </c>
      <c r="CZ241" t="str">
        <f>""</f>
        <v/>
      </c>
      <c r="DA241" t="str">
        <f>""</f>
        <v/>
      </c>
      <c r="DB241" t="str">
        <f>""</f>
        <v/>
      </c>
      <c r="DC241" t="str">
        <f>""</f>
        <v/>
      </c>
      <c r="DD241" t="str">
        <f>""</f>
        <v/>
      </c>
      <c r="DE241" t="str">
        <f>""</f>
        <v/>
      </c>
      <c r="DF241" t="str">
        <f>""</f>
        <v/>
      </c>
      <c r="DG241" t="str">
        <f>""</f>
        <v/>
      </c>
      <c r="DH241" t="str">
        <f>""</f>
        <v/>
      </c>
      <c r="DI241" t="str">
        <f>""</f>
        <v/>
      </c>
      <c r="DJ241" t="str">
        <f>""</f>
        <v/>
      </c>
      <c r="DK241" t="str">
        <f>""</f>
        <v/>
      </c>
      <c r="DL241" t="str">
        <f>""</f>
        <v/>
      </c>
      <c r="DM241" t="str">
        <f>""</f>
        <v/>
      </c>
      <c r="DN241" t="str">
        <f>""</f>
        <v/>
      </c>
      <c r="DO241" t="str">
        <f>""</f>
        <v/>
      </c>
      <c r="DP241" t="str">
        <f>""</f>
        <v/>
      </c>
      <c r="DQ241" t="str">
        <f>""</f>
        <v/>
      </c>
      <c r="DR241" t="str">
        <f>""</f>
        <v/>
      </c>
      <c r="DS241" t="str">
        <f>""</f>
        <v/>
      </c>
      <c r="DT241" t="str">
        <f>""</f>
        <v/>
      </c>
      <c r="DU241" t="str">
        <f>""</f>
        <v/>
      </c>
    </row>
    <row r="242" spans="1:125">
      <c r="A242" t="str">
        <f>$A$9</f>
        <v xml:space="preserve">    Regional Mall REITs</v>
      </c>
      <c r="B242" t="str">
        <f>$B$9</f>
        <v>RECFSSRM Index</v>
      </c>
      <c r="C242" t="str">
        <f>$C$9</f>
        <v>PR005</v>
      </c>
      <c r="D242" t="str">
        <f>$D$9</f>
        <v>PX_LAST</v>
      </c>
      <c r="E242" t="str">
        <f>$E$9</f>
        <v>动态</v>
      </c>
      <c r="F242" t="str">
        <f ca="1">BDH($B$9,$C$9,$B$181,$B$182,CONCATENATE("Per=",$B$179),"Dts=H","Dir=H",CONCATENATE("Points=",$B$180),"Sort=R","Days=A","Fill=B",CONCATENATE("FX=", $B$178) )</f>
        <v>#N/A Authorization</v>
      </c>
      <c r="BN242" t="str">
        <f>""</f>
        <v/>
      </c>
      <c r="BO242" t="str">
        <f>""</f>
        <v/>
      </c>
      <c r="BP242" t="str">
        <f>""</f>
        <v/>
      </c>
      <c r="BQ242" t="str">
        <f>""</f>
        <v/>
      </c>
      <c r="BR242" t="str">
        <f>""</f>
        <v/>
      </c>
      <c r="BS242" t="str">
        <f>""</f>
        <v/>
      </c>
      <c r="BT242" t="str">
        <f>""</f>
        <v/>
      </c>
      <c r="BU242" t="str">
        <f>""</f>
        <v/>
      </c>
      <c r="BV242" t="str">
        <f>""</f>
        <v/>
      </c>
      <c r="BW242" t="str">
        <f>""</f>
        <v/>
      </c>
      <c r="BX242" t="str">
        <f>""</f>
        <v/>
      </c>
      <c r="BY242" t="str">
        <f>""</f>
        <v/>
      </c>
      <c r="BZ242" t="str">
        <f>""</f>
        <v/>
      </c>
      <c r="CA242" t="str">
        <f>""</f>
        <v/>
      </c>
      <c r="CB242" t="str">
        <f>""</f>
        <v/>
      </c>
      <c r="CC242" t="str">
        <f>""</f>
        <v/>
      </c>
      <c r="CD242" t="str">
        <f>""</f>
        <v/>
      </c>
      <c r="CE242" t="str">
        <f>""</f>
        <v/>
      </c>
      <c r="CF242" t="str">
        <f>""</f>
        <v/>
      </c>
      <c r="CG242" t="str">
        <f>""</f>
        <v/>
      </c>
      <c r="CH242" t="str">
        <f>""</f>
        <v/>
      </c>
      <c r="CI242" t="str">
        <f>""</f>
        <v/>
      </c>
      <c r="CJ242" t="str">
        <f>""</f>
        <v/>
      </c>
      <c r="CK242" t="str">
        <f>""</f>
        <v/>
      </c>
      <c r="CL242" t="str">
        <f>""</f>
        <v/>
      </c>
      <c r="CM242" t="str">
        <f>""</f>
        <v/>
      </c>
      <c r="CN242" t="str">
        <f>""</f>
        <v/>
      </c>
      <c r="CO242" t="str">
        <f>""</f>
        <v/>
      </c>
      <c r="CP242" t="str">
        <f>""</f>
        <v/>
      </c>
      <c r="CQ242" t="str">
        <f>""</f>
        <v/>
      </c>
      <c r="CR242" t="str">
        <f>""</f>
        <v/>
      </c>
      <c r="CS242" t="str">
        <f>""</f>
        <v/>
      </c>
      <c r="CT242" t="str">
        <f>""</f>
        <v/>
      </c>
      <c r="CU242" t="str">
        <f>""</f>
        <v/>
      </c>
      <c r="CV242" t="str">
        <f>""</f>
        <v/>
      </c>
      <c r="CW242" t="str">
        <f>""</f>
        <v/>
      </c>
      <c r="CX242" t="str">
        <f>""</f>
        <v/>
      </c>
      <c r="CY242" t="str">
        <f>""</f>
        <v/>
      </c>
      <c r="CZ242" t="str">
        <f>""</f>
        <v/>
      </c>
      <c r="DA242" t="str">
        <f>""</f>
        <v/>
      </c>
      <c r="DB242" t="str">
        <f>""</f>
        <v/>
      </c>
      <c r="DC242" t="str">
        <f>""</f>
        <v/>
      </c>
      <c r="DD242" t="str">
        <f>""</f>
        <v/>
      </c>
      <c r="DE242" t="str">
        <f>""</f>
        <v/>
      </c>
      <c r="DF242" t="str">
        <f>""</f>
        <v/>
      </c>
      <c r="DG242" t="str">
        <f>""</f>
        <v/>
      </c>
      <c r="DH242" t="str">
        <f>""</f>
        <v/>
      </c>
      <c r="DI242" t="str">
        <f>""</f>
        <v/>
      </c>
      <c r="DJ242" t="str">
        <f>""</f>
        <v/>
      </c>
      <c r="DK242" t="str">
        <f>""</f>
        <v/>
      </c>
      <c r="DL242" t="str">
        <f>""</f>
        <v/>
      </c>
      <c r="DM242" t="str">
        <f>""</f>
        <v/>
      </c>
      <c r="DN242" t="str">
        <f>""</f>
        <v/>
      </c>
      <c r="DO242" t="str">
        <f>""</f>
        <v/>
      </c>
      <c r="DP242" t="str">
        <f>""</f>
        <v/>
      </c>
      <c r="DQ242" t="str">
        <f>""</f>
        <v/>
      </c>
      <c r="DR242" t="str">
        <f>""</f>
        <v/>
      </c>
      <c r="DS242" t="str">
        <f>""</f>
        <v/>
      </c>
      <c r="DT242" t="str">
        <f>""</f>
        <v/>
      </c>
      <c r="DU242" t="str">
        <f>""</f>
        <v/>
      </c>
    </row>
    <row r="243" spans="1:125">
      <c r="A243" t="str">
        <f>$A$10</f>
        <v xml:space="preserve">    Residential REITs</v>
      </c>
      <c r="B243" t="str">
        <f>$B$10</f>
        <v>RECFSSRS Index</v>
      </c>
      <c r="C243" t="str">
        <f>$C$10</f>
        <v>PR005</v>
      </c>
      <c r="D243" t="str">
        <f>$D$10</f>
        <v>PX_LAST</v>
      </c>
      <c r="E243" t="str">
        <f>$E$10</f>
        <v>动态</v>
      </c>
      <c r="F243" t="str">
        <f ca="1">BDH($B$10,$C$10,$B$181,$B$182,CONCATENATE("Per=",$B$179),"Dts=H","Dir=H",CONCATENATE("Points=",$B$180),"Sort=R","Days=A","Fill=B",CONCATENATE("FX=", $B$178) )</f>
        <v>#N/A Authorization</v>
      </c>
      <c r="BN243" t="str">
        <f>""</f>
        <v/>
      </c>
      <c r="BO243" t="str">
        <f>""</f>
        <v/>
      </c>
      <c r="BP243" t="str">
        <f>""</f>
        <v/>
      </c>
      <c r="BQ243" t="str">
        <f>""</f>
        <v/>
      </c>
      <c r="BR243" t="str">
        <f>""</f>
        <v/>
      </c>
      <c r="BS243" t="str">
        <f>""</f>
        <v/>
      </c>
      <c r="BT243" t="str">
        <f>""</f>
        <v/>
      </c>
      <c r="BU243" t="str">
        <f>""</f>
        <v/>
      </c>
      <c r="BV243" t="str">
        <f>""</f>
        <v/>
      </c>
      <c r="BW243" t="str">
        <f>""</f>
        <v/>
      </c>
      <c r="BX243" t="str">
        <f>""</f>
        <v/>
      </c>
      <c r="BY243" t="str">
        <f>""</f>
        <v/>
      </c>
      <c r="BZ243" t="str">
        <f>""</f>
        <v/>
      </c>
      <c r="CA243" t="str">
        <f>""</f>
        <v/>
      </c>
      <c r="CB243" t="str">
        <f>""</f>
        <v/>
      </c>
      <c r="CC243" t="str">
        <f>""</f>
        <v/>
      </c>
      <c r="CD243" t="str">
        <f>""</f>
        <v/>
      </c>
      <c r="CE243" t="str">
        <f>""</f>
        <v/>
      </c>
      <c r="CF243" t="str">
        <f>""</f>
        <v/>
      </c>
      <c r="CG243" t="str">
        <f>""</f>
        <v/>
      </c>
      <c r="CH243" t="str">
        <f>""</f>
        <v/>
      </c>
      <c r="CI243" t="str">
        <f>""</f>
        <v/>
      </c>
      <c r="CJ243" t="str">
        <f>""</f>
        <v/>
      </c>
      <c r="CK243" t="str">
        <f>""</f>
        <v/>
      </c>
      <c r="CL243" t="str">
        <f>""</f>
        <v/>
      </c>
      <c r="CM243" t="str">
        <f>""</f>
        <v/>
      </c>
      <c r="CN243" t="str">
        <f>""</f>
        <v/>
      </c>
      <c r="CO243" t="str">
        <f>""</f>
        <v/>
      </c>
      <c r="CP243" t="str">
        <f>""</f>
        <v/>
      </c>
      <c r="CQ243" t="str">
        <f>""</f>
        <v/>
      </c>
      <c r="CR243" t="str">
        <f>""</f>
        <v/>
      </c>
      <c r="CS243" t="str">
        <f>""</f>
        <v/>
      </c>
      <c r="CT243" t="str">
        <f>""</f>
        <v/>
      </c>
      <c r="CU243" t="str">
        <f>""</f>
        <v/>
      </c>
      <c r="CV243" t="str">
        <f>""</f>
        <v/>
      </c>
      <c r="CW243" t="str">
        <f>""</f>
        <v/>
      </c>
      <c r="CX243" t="str">
        <f>""</f>
        <v/>
      </c>
      <c r="CY243" t="str">
        <f>""</f>
        <v/>
      </c>
      <c r="CZ243" t="str">
        <f>""</f>
        <v/>
      </c>
      <c r="DA243" t="str">
        <f>""</f>
        <v/>
      </c>
      <c r="DB243" t="str">
        <f>""</f>
        <v/>
      </c>
      <c r="DC243" t="str">
        <f>""</f>
        <v/>
      </c>
      <c r="DD243" t="str">
        <f>""</f>
        <v/>
      </c>
      <c r="DE243" t="str">
        <f>""</f>
        <v/>
      </c>
      <c r="DF243" t="str">
        <f>""</f>
        <v/>
      </c>
      <c r="DG243" t="str">
        <f>""</f>
        <v/>
      </c>
      <c r="DH243" t="str">
        <f>""</f>
        <v/>
      </c>
      <c r="DI243" t="str">
        <f>""</f>
        <v/>
      </c>
      <c r="DJ243" t="str">
        <f>""</f>
        <v/>
      </c>
      <c r="DK243" t="str">
        <f>""</f>
        <v/>
      </c>
      <c r="DL243" t="str">
        <f>""</f>
        <v/>
      </c>
      <c r="DM243" t="str">
        <f>""</f>
        <v/>
      </c>
      <c r="DN243" t="str">
        <f>""</f>
        <v/>
      </c>
      <c r="DO243" t="str">
        <f>""</f>
        <v/>
      </c>
      <c r="DP243" t="str">
        <f>""</f>
        <v/>
      </c>
      <c r="DQ243" t="str">
        <f>""</f>
        <v/>
      </c>
      <c r="DR243" t="str">
        <f>""</f>
        <v/>
      </c>
      <c r="DS243" t="str">
        <f>""</f>
        <v/>
      </c>
      <c r="DT243" t="str">
        <f>""</f>
        <v/>
      </c>
      <c r="DU243" t="str">
        <f>""</f>
        <v/>
      </c>
    </row>
    <row r="244" spans="1:125">
      <c r="A244" t="str">
        <f>$A$11</f>
        <v xml:space="preserve">    Apartment REITs</v>
      </c>
      <c r="B244" t="str">
        <f>$B$11</f>
        <v>RECFSSAP Index</v>
      </c>
      <c r="C244" t="str">
        <f>$C$11</f>
        <v>PR005</v>
      </c>
      <c r="D244" t="str">
        <f>$D$11</f>
        <v>PX_LAST</v>
      </c>
      <c r="E244" t="str">
        <f>$E$11</f>
        <v>动态</v>
      </c>
      <c r="F244" t="str">
        <f ca="1">BDH($B$11,$C$11,$B$181,$B$182,CONCATENATE("Per=",$B$179),"Dts=H","Dir=H",CONCATENATE("Points=",$B$180),"Sort=R","Days=A","Fill=B",CONCATENATE("FX=", $B$178) )</f>
        <v>#N/A Authorization</v>
      </c>
      <c r="BN244" t="str">
        <f>""</f>
        <v/>
      </c>
      <c r="BO244" t="str">
        <f>""</f>
        <v/>
      </c>
      <c r="BP244" t="str">
        <f>""</f>
        <v/>
      </c>
      <c r="BQ244" t="str">
        <f>""</f>
        <v/>
      </c>
      <c r="BR244" t="str">
        <f>""</f>
        <v/>
      </c>
      <c r="BS244" t="str">
        <f>""</f>
        <v/>
      </c>
      <c r="BT244" t="str">
        <f>""</f>
        <v/>
      </c>
      <c r="BU244" t="str">
        <f>""</f>
        <v/>
      </c>
      <c r="BV244" t="str">
        <f>""</f>
        <v/>
      </c>
      <c r="BW244" t="str">
        <f>""</f>
        <v/>
      </c>
      <c r="BX244" t="str">
        <f>""</f>
        <v/>
      </c>
      <c r="BY244" t="str">
        <f>""</f>
        <v/>
      </c>
      <c r="BZ244" t="str">
        <f>""</f>
        <v/>
      </c>
      <c r="CA244" t="str">
        <f>""</f>
        <v/>
      </c>
      <c r="CB244" t="str">
        <f>""</f>
        <v/>
      </c>
      <c r="CC244" t="str">
        <f>""</f>
        <v/>
      </c>
      <c r="CD244" t="str">
        <f>""</f>
        <v/>
      </c>
      <c r="CE244" t="str">
        <f>""</f>
        <v/>
      </c>
      <c r="CF244" t="str">
        <f>""</f>
        <v/>
      </c>
      <c r="CG244" t="str">
        <f>""</f>
        <v/>
      </c>
      <c r="CH244" t="str">
        <f>""</f>
        <v/>
      </c>
      <c r="CI244" t="str">
        <f>""</f>
        <v/>
      </c>
      <c r="CJ244" t="str">
        <f>""</f>
        <v/>
      </c>
      <c r="CK244" t="str">
        <f>""</f>
        <v/>
      </c>
      <c r="CL244" t="str">
        <f>""</f>
        <v/>
      </c>
      <c r="CM244" t="str">
        <f>""</f>
        <v/>
      </c>
      <c r="CN244" t="str">
        <f>""</f>
        <v/>
      </c>
      <c r="CO244" t="str">
        <f>""</f>
        <v/>
      </c>
      <c r="CP244" t="str">
        <f>""</f>
        <v/>
      </c>
      <c r="CQ244" t="str">
        <f>""</f>
        <v/>
      </c>
      <c r="CR244" t="str">
        <f>""</f>
        <v/>
      </c>
      <c r="CS244" t="str">
        <f>""</f>
        <v/>
      </c>
      <c r="CT244" t="str">
        <f>""</f>
        <v/>
      </c>
      <c r="CU244" t="str">
        <f>""</f>
        <v/>
      </c>
      <c r="CV244" t="str">
        <f>""</f>
        <v/>
      </c>
      <c r="CW244" t="str">
        <f>""</f>
        <v/>
      </c>
      <c r="CX244" t="str">
        <f>""</f>
        <v/>
      </c>
      <c r="CY244" t="str">
        <f>""</f>
        <v/>
      </c>
      <c r="CZ244" t="str">
        <f>""</f>
        <v/>
      </c>
      <c r="DA244" t="str">
        <f>""</f>
        <v/>
      </c>
      <c r="DB244" t="str">
        <f>""</f>
        <v/>
      </c>
      <c r="DC244" t="str">
        <f>""</f>
        <v/>
      </c>
      <c r="DD244" t="str">
        <f>""</f>
        <v/>
      </c>
      <c r="DE244" t="str">
        <f>""</f>
        <v/>
      </c>
      <c r="DF244" t="str">
        <f>""</f>
        <v/>
      </c>
      <c r="DG244" t="str">
        <f>""</f>
        <v/>
      </c>
      <c r="DH244" t="str">
        <f>""</f>
        <v/>
      </c>
      <c r="DI244" t="str">
        <f>""</f>
        <v/>
      </c>
      <c r="DJ244" t="str">
        <f>""</f>
        <v/>
      </c>
      <c r="DK244" t="str">
        <f>""</f>
        <v/>
      </c>
      <c r="DL244" t="str">
        <f>""</f>
        <v/>
      </c>
      <c r="DM244" t="str">
        <f>""</f>
        <v/>
      </c>
      <c r="DN244" t="str">
        <f>""</f>
        <v/>
      </c>
      <c r="DO244" t="str">
        <f>""</f>
        <v/>
      </c>
      <c r="DP244" t="str">
        <f>""</f>
        <v/>
      </c>
      <c r="DQ244" t="str">
        <f>""</f>
        <v/>
      </c>
      <c r="DR244" t="str">
        <f>""</f>
        <v/>
      </c>
      <c r="DS244" t="str">
        <f>""</f>
        <v/>
      </c>
      <c r="DT244" t="str">
        <f>""</f>
        <v/>
      </c>
      <c r="DU244" t="str">
        <f>""</f>
        <v/>
      </c>
    </row>
    <row r="245" spans="1:125">
      <c r="A245" t="str">
        <f>$A$12</f>
        <v xml:space="preserve">    Manufactured Home REITs</v>
      </c>
      <c r="B245" t="str">
        <f>$B$12</f>
        <v>RECFSSMH Index</v>
      </c>
      <c r="C245" t="str">
        <f>$C$12</f>
        <v>PR005</v>
      </c>
      <c r="D245" t="str">
        <f>$D$12</f>
        <v>PX_LAST</v>
      </c>
      <c r="E245" t="str">
        <f>$E$12</f>
        <v>动态</v>
      </c>
      <c r="F245" t="str">
        <f ca="1">BDH($B$12,$C$12,$B$181,$B$182,CONCATENATE("Per=",$B$179),"Dts=H","Dir=H",CONCATENATE("Points=",$B$180),"Sort=R","Days=A","Fill=B",CONCATENATE("FX=", $B$178) )</f>
        <v>#N/A Authorization</v>
      </c>
      <c r="BN245" t="str">
        <f>""</f>
        <v/>
      </c>
      <c r="BO245" t="str">
        <f>""</f>
        <v/>
      </c>
      <c r="BP245" t="str">
        <f>""</f>
        <v/>
      </c>
      <c r="BQ245" t="str">
        <f>""</f>
        <v/>
      </c>
      <c r="BR245" t="str">
        <f>""</f>
        <v/>
      </c>
      <c r="BS245" t="str">
        <f>""</f>
        <v/>
      </c>
      <c r="BT245" t="str">
        <f>""</f>
        <v/>
      </c>
      <c r="BU245" t="str">
        <f>""</f>
        <v/>
      </c>
      <c r="BV245" t="str">
        <f>""</f>
        <v/>
      </c>
      <c r="BW245" t="str">
        <f>""</f>
        <v/>
      </c>
      <c r="BX245" t="str">
        <f>""</f>
        <v/>
      </c>
      <c r="BY245" t="str">
        <f>""</f>
        <v/>
      </c>
      <c r="BZ245" t="str">
        <f>""</f>
        <v/>
      </c>
      <c r="CA245" t="str">
        <f>""</f>
        <v/>
      </c>
      <c r="CB245" t="str">
        <f>""</f>
        <v/>
      </c>
      <c r="CC245" t="str">
        <f>""</f>
        <v/>
      </c>
      <c r="CD245" t="str">
        <f>""</f>
        <v/>
      </c>
      <c r="CE245" t="str">
        <f>""</f>
        <v/>
      </c>
      <c r="CF245" t="str">
        <f>""</f>
        <v/>
      </c>
      <c r="CG245" t="str">
        <f>""</f>
        <v/>
      </c>
      <c r="CH245" t="str">
        <f>""</f>
        <v/>
      </c>
      <c r="CI245" t="str">
        <f>""</f>
        <v/>
      </c>
      <c r="CJ245" t="str">
        <f>""</f>
        <v/>
      </c>
      <c r="CK245" t="str">
        <f>""</f>
        <v/>
      </c>
      <c r="CL245" t="str">
        <f>""</f>
        <v/>
      </c>
      <c r="CM245" t="str">
        <f>""</f>
        <v/>
      </c>
      <c r="CN245" t="str">
        <f>""</f>
        <v/>
      </c>
      <c r="CO245" t="str">
        <f>""</f>
        <v/>
      </c>
      <c r="CP245" t="str">
        <f>""</f>
        <v/>
      </c>
      <c r="CQ245" t="str">
        <f>""</f>
        <v/>
      </c>
      <c r="CR245" t="str">
        <f>""</f>
        <v/>
      </c>
      <c r="CS245" t="str">
        <f>""</f>
        <v/>
      </c>
      <c r="CT245" t="str">
        <f>""</f>
        <v/>
      </c>
      <c r="CU245" t="str">
        <f>""</f>
        <v/>
      </c>
      <c r="CV245" t="str">
        <f>""</f>
        <v/>
      </c>
      <c r="CW245" t="str">
        <f>""</f>
        <v/>
      </c>
      <c r="CX245" t="str">
        <f>""</f>
        <v/>
      </c>
      <c r="CY245" t="str">
        <f>""</f>
        <v/>
      </c>
      <c r="CZ245" t="str">
        <f>""</f>
        <v/>
      </c>
      <c r="DA245" t="str">
        <f>""</f>
        <v/>
      </c>
      <c r="DB245" t="str">
        <f>""</f>
        <v/>
      </c>
      <c r="DC245" t="str">
        <f>""</f>
        <v/>
      </c>
      <c r="DD245" t="str">
        <f>""</f>
        <v/>
      </c>
      <c r="DE245" t="str">
        <f>""</f>
        <v/>
      </c>
      <c r="DF245" t="str">
        <f>""</f>
        <v/>
      </c>
      <c r="DG245" t="str">
        <f>""</f>
        <v/>
      </c>
      <c r="DH245" t="str">
        <f>""</f>
        <v/>
      </c>
      <c r="DI245" t="str">
        <f>""</f>
        <v/>
      </c>
      <c r="DJ245" t="str">
        <f>""</f>
        <v/>
      </c>
      <c r="DK245" t="str">
        <f>""</f>
        <v/>
      </c>
      <c r="DL245" t="str">
        <f>""</f>
        <v/>
      </c>
      <c r="DM245" t="str">
        <f>""</f>
        <v/>
      </c>
      <c r="DN245" t="str">
        <f>""</f>
        <v/>
      </c>
      <c r="DO245" t="str">
        <f>""</f>
        <v/>
      </c>
      <c r="DP245" t="str">
        <f>""</f>
        <v/>
      </c>
      <c r="DQ245" t="str">
        <f>""</f>
        <v/>
      </c>
      <c r="DR245" t="str">
        <f>""</f>
        <v/>
      </c>
      <c r="DS245" t="str">
        <f>""</f>
        <v/>
      </c>
      <c r="DT245" t="str">
        <f>""</f>
        <v/>
      </c>
      <c r="DU245" t="str">
        <f>""</f>
        <v/>
      </c>
    </row>
    <row r="246" spans="1:125">
      <c r="A246" t="str">
        <f>$A$13</f>
        <v xml:space="preserve">    Single Family Rental REITs</v>
      </c>
      <c r="B246" t="str">
        <f>$B$13</f>
        <v>RECFSSSF Index</v>
      </c>
      <c r="C246" t="str">
        <f>$C$13</f>
        <v>PR005</v>
      </c>
      <c r="D246" t="str">
        <f>$D$13</f>
        <v>PX_LAST</v>
      </c>
      <c r="E246" t="str">
        <f>$E$13</f>
        <v>动态</v>
      </c>
      <c r="F246" t="str">
        <f ca="1">BDH($B$13,$C$13,$B$181,$B$182,CONCATENATE("Per=",$B$179),"Dts=H","Dir=H",CONCATENATE("Points=",$B$180),"Sort=R","Days=A","Fill=B",CONCATENATE("FX=", $B$178) )</f>
        <v>#N/A Authorization</v>
      </c>
      <c r="BN246" t="str">
        <f>""</f>
        <v/>
      </c>
      <c r="BO246" t="str">
        <f>""</f>
        <v/>
      </c>
      <c r="BP246" t="str">
        <f>""</f>
        <v/>
      </c>
      <c r="BQ246" t="str">
        <f>""</f>
        <v/>
      </c>
      <c r="BR246" t="str">
        <f>""</f>
        <v/>
      </c>
      <c r="BS246" t="str">
        <f>""</f>
        <v/>
      </c>
      <c r="BT246" t="str">
        <f>""</f>
        <v/>
      </c>
      <c r="BU246" t="str">
        <f>""</f>
        <v/>
      </c>
      <c r="BV246" t="str">
        <f>""</f>
        <v/>
      </c>
      <c r="BW246" t="str">
        <f>""</f>
        <v/>
      </c>
      <c r="BX246" t="str">
        <f>""</f>
        <v/>
      </c>
      <c r="BY246" t="str">
        <f>""</f>
        <v/>
      </c>
      <c r="BZ246" t="str">
        <f>""</f>
        <v/>
      </c>
      <c r="CA246" t="str">
        <f>""</f>
        <v/>
      </c>
      <c r="CB246" t="str">
        <f>""</f>
        <v/>
      </c>
      <c r="CC246" t="str">
        <f>""</f>
        <v/>
      </c>
      <c r="CD246" t="str">
        <f>""</f>
        <v/>
      </c>
      <c r="CE246" t="str">
        <f>""</f>
        <v/>
      </c>
      <c r="CF246" t="str">
        <f>""</f>
        <v/>
      </c>
      <c r="CG246" t="str">
        <f>""</f>
        <v/>
      </c>
      <c r="CH246" t="str">
        <f>""</f>
        <v/>
      </c>
      <c r="CI246" t="str">
        <f>""</f>
        <v/>
      </c>
      <c r="CJ246" t="str">
        <f>""</f>
        <v/>
      </c>
      <c r="CK246" t="str">
        <f>""</f>
        <v/>
      </c>
      <c r="CL246" t="str">
        <f>""</f>
        <v/>
      </c>
      <c r="CM246" t="str">
        <f>""</f>
        <v/>
      </c>
      <c r="CN246" t="str">
        <f>""</f>
        <v/>
      </c>
      <c r="CO246" t="str">
        <f>""</f>
        <v/>
      </c>
      <c r="CP246" t="str">
        <f>""</f>
        <v/>
      </c>
      <c r="CQ246" t="str">
        <f>""</f>
        <v/>
      </c>
      <c r="CR246" t="str">
        <f>""</f>
        <v/>
      </c>
      <c r="CS246" t="str">
        <f>""</f>
        <v/>
      </c>
      <c r="CT246" t="str">
        <f>""</f>
        <v/>
      </c>
      <c r="CU246" t="str">
        <f>""</f>
        <v/>
      </c>
      <c r="CV246" t="str">
        <f>""</f>
        <v/>
      </c>
      <c r="CW246" t="str">
        <f>""</f>
        <v/>
      </c>
      <c r="CX246" t="str">
        <f>""</f>
        <v/>
      </c>
      <c r="CY246" t="str">
        <f>""</f>
        <v/>
      </c>
      <c r="CZ246" t="str">
        <f>""</f>
        <v/>
      </c>
      <c r="DA246" t="str">
        <f>""</f>
        <v/>
      </c>
      <c r="DB246" t="str">
        <f>""</f>
        <v/>
      </c>
      <c r="DC246" t="str">
        <f>""</f>
        <v/>
      </c>
      <c r="DD246" t="str">
        <f>""</f>
        <v/>
      </c>
      <c r="DE246" t="str">
        <f>""</f>
        <v/>
      </c>
      <c r="DF246" t="str">
        <f>""</f>
        <v/>
      </c>
      <c r="DG246" t="str">
        <f>""</f>
        <v/>
      </c>
      <c r="DH246" t="str">
        <f>""</f>
        <v/>
      </c>
      <c r="DI246" t="str">
        <f>""</f>
        <v/>
      </c>
      <c r="DJ246" t="str">
        <f>""</f>
        <v/>
      </c>
      <c r="DK246" t="str">
        <f>""</f>
        <v/>
      </c>
      <c r="DL246" t="str">
        <f>""</f>
        <v/>
      </c>
      <c r="DM246" t="str">
        <f>""</f>
        <v/>
      </c>
      <c r="DN246" t="str">
        <f>""</f>
        <v/>
      </c>
      <c r="DO246" t="str">
        <f>""</f>
        <v/>
      </c>
      <c r="DP246" t="str">
        <f>""</f>
        <v/>
      </c>
      <c r="DQ246" t="str">
        <f>""</f>
        <v/>
      </c>
      <c r="DR246" t="str">
        <f>""</f>
        <v/>
      </c>
      <c r="DS246" t="str">
        <f>""</f>
        <v/>
      </c>
      <c r="DT246" t="str">
        <f>""</f>
        <v/>
      </c>
      <c r="DU246" t="str">
        <f>""</f>
        <v/>
      </c>
    </row>
    <row r="247" spans="1:125">
      <c r="A247" t="str">
        <f>$A$14</f>
        <v xml:space="preserve">    Diversified REITs</v>
      </c>
      <c r="B247" t="str">
        <f>$B$14</f>
        <v>RECFSSDV Index</v>
      </c>
      <c r="C247" t="str">
        <f>$C$14</f>
        <v>PR005</v>
      </c>
      <c r="D247" t="str">
        <f>$D$14</f>
        <v>PX_LAST</v>
      </c>
      <c r="E247" t="str">
        <f>$E$14</f>
        <v>动态</v>
      </c>
      <c r="F247" t="str">
        <f ca="1">BDH($B$14,$C$14,$B$181,$B$182,CONCATENATE("Per=",$B$179),"Dts=H","Dir=H",CONCATENATE("Points=",$B$180),"Sort=R","Days=A","Fill=B",CONCATENATE("FX=", $B$178) )</f>
        <v>#N/A Authorization</v>
      </c>
      <c r="BN247" t="str">
        <f>""</f>
        <v/>
      </c>
      <c r="BO247" t="str">
        <f>""</f>
        <v/>
      </c>
      <c r="BP247" t="str">
        <f>""</f>
        <v/>
      </c>
      <c r="BQ247" t="str">
        <f>""</f>
        <v/>
      </c>
      <c r="BR247" t="str">
        <f>""</f>
        <v/>
      </c>
      <c r="BS247" t="str">
        <f>""</f>
        <v/>
      </c>
      <c r="BT247" t="str">
        <f>""</f>
        <v/>
      </c>
      <c r="BU247" t="str">
        <f>""</f>
        <v/>
      </c>
      <c r="BV247" t="str">
        <f>""</f>
        <v/>
      </c>
      <c r="BW247" t="str">
        <f>""</f>
        <v/>
      </c>
      <c r="BX247" t="str">
        <f>""</f>
        <v/>
      </c>
      <c r="BY247" t="str">
        <f>""</f>
        <v/>
      </c>
      <c r="BZ247" t="str">
        <f>""</f>
        <v/>
      </c>
      <c r="CA247" t="str">
        <f>""</f>
        <v/>
      </c>
      <c r="CB247" t="str">
        <f>""</f>
        <v/>
      </c>
      <c r="CC247" t="str">
        <f>""</f>
        <v/>
      </c>
      <c r="CD247" t="str">
        <f>""</f>
        <v/>
      </c>
      <c r="CE247" t="str">
        <f>""</f>
        <v/>
      </c>
      <c r="CF247" t="str">
        <f>""</f>
        <v/>
      </c>
      <c r="CG247" t="str">
        <f>""</f>
        <v/>
      </c>
      <c r="CH247" t="str">
        <f>""</f>
        <v/>
      </c>
      <c r="CI247" t="str">
        <f>""</f>
        <v/>
      </c>
      <c r="CJ247" t="str">
        <f>""</f>
        <v/>
      </c>
      <c r="CK247" t="str">
        <f>""</f>
        <v/>
      </c>
      <c r="CL247" t="str">
        <f>""</f>
        <v/>
      </c>
      <c r="CM247" t="str">
        <f>""</f>
        <v/>
      </c>
      <c r="CN247" t="str">
        <f>""</f>
        <v/>
      </c>
      <c r="CO247" t="str">
        <f>""</f>
        <v/>
      </c>
      <c r="CP247" t="str">
        <f>""</f>
        <v/>
      </c>
      <c r="CQ247" t="str">
        <f>""</f>
        <v/>
      </c>
      <c r="CR247" t="str">
        <f>""</f>
        <v/>
      </c>
      <c r="CS247" t="str">
        <f>""</f>
        <v/>
      </c>
      <c r="CT247" t="str">
        <f>""</f>
        <v/>
      </c>
      <c r="CU247" t="str">
        <f>""</f>
        <v/>
      </c>
      <c r="CV247" t="str">
        <f>""</f>
        <v/>
      </c>
      <c r="CW247" t="str">
        <f>""</f>
        <v/>
      </c>
      <c r="CX247" t="str">
        <f>""</f>
        <v/>
      </c>
      <c r="CY247" t="str">
        <f>""</f>
        <v/>
      </c>
      <c r="CZ247" t="str">
        <f>""</f>
        <v/>
      </c>
      <c r="DA247" t="str">
        <f>""</f>
        <v/>
      </c>
      <c r="DB247" t="str">
        <f>""</f>
        <v/>
      </c>
      <c r="DC247" t="str">
        <f>""</f>
        <v/>
      </c>
      <c r="DD247" t="str">
        <f>""</f>
        <v/>
      </c>
      <c r="DE247" t="str">
        <f>""</f>
        <v/>
      </c>
      <c r="DF247" t="str">
        <f>""</f>
        <v/>
      </c>
      <c r="DG247" t="str">
        <f>""</f>
        <v/>
      </c>
      <c r="DH247" t="str">
        <f>""</f>
        <v/>
      </c>
      <c r="DI247" t="str">
        <f>""</f>
        <v/>
      </c>
      <c r="DJ247" t="str">
        <f>""</f>
        <v/>
      </c>
      <c r="DK247" t="str">
        <f>""</f>
        <v/>
      </c>
      <c r="DL247" t="str">
        <f>""</f>
        <v/>
      </c>
      <c r="DM247" t="str">
        <f>""</f>
        <v/>
      </c>
      <c r="DN247" t="str">
        <f>""</f>
        <v/>
      </c>
      <c r="DO247" t="str">
        <f>""</f>
        <v/>
      </c>
      <c r="DP247" t="str">
        <f>""</f>
        <v/>
      </c>
      <c r="DQ247" t="str">
        <f>""</f>
        <v/>
      </c>
      <c r="DR247" t="str">
        <f>""</f>
        <v/>
      </c>
      <c r="DS247" t="str">
        <f>""</f>
        <v/>
      </c>
      <c r="DT247" t="str">
        <f>""</f>
        <v/>
      </c>
      <c r="DU247" t="str">
        <f>""</f>
        <v/>
      </c>
    </row>
    <row r="248" spans="1:125">
      <c r="A248" t="str">
        <f>$A$15</f>
        <v xml:space="preserve">    Self Storage REITs</v>
      </c>
      <c r="B248" t="str">
        <f>$B$15</f>
        <v>RECFSSSS Index</v>
      </c>
      <c r="C248" t="str">
        <f>$C$15</f>
        <v>PR005</v>
      </c>
      <c r="D248" t="str">
        <f>$D$15</f>
        <v>PX_LAST</v>
      </c>
      <c r="E248" t="str">
        <f>$E$15</f>
        <v>动态</v>
      </c>
      <c r="F248" t="str">
        <f ca="1">BDH($B$15,$C$15,$B$181,$B$182,CONCATENATE("Per=",$B$179),"Dts=H","Dir=H",CONCATENATE("Points=",$B$180),"Sort=R","Days=A","Fill=B",CONCATENATE("FX=", $B$178) )</f>
        <v>#N/A Authorization</v>
      </c>
      <c r="BN248" t="str">
        <f>""</f>
        <v/>
      </c>
      <c r="BO248" t="str">
        <f>""</f>
        <v/>
      </c>
      <c r="BP248" t="str">
        <f>""</f>
        <v/>
      </c>
      <c r="BQ248" t="str">
        <f>""</f>
        <v/>
      </c>
      <c r="BR248" t="str">
        <f>""</f>
        <v/>
      </c>
      <c r="BS248" t="str">
        <f>""</f>
        <v/>
      </c>
      <c r="BT248" t="str">
        <f>""</f>
        <v/>
      </c>
      <c r="BU248" t="str">
        <f>""</f>
        <v/>
      </c>
      <c r="BV248" t="str">
        <f>""</f>
        <v/>
      </c>
      <c r="BW248" t="str">
        <f>""</f>
        <v/>
      </c>
      <c r="BX248" t="str">
        <f>""</f>
        <v/>
      </c>
      <c r="BY248" t="str">
        <f>""</f>
        <v/>
      </c>
      <c r="BZ248" t="str">
        <f>""</f>
        <v/>
      </c>
      <c r="CA248" t="str">
        <f>""</f>
        <v/>
      </c>
      <c r="CB248" t="str">
        <f>""</f>
        <v/>
      </c>
      <c r="CC248" t="str">
        <f>""</f>
        <v/>
      </c>
      <c r="CD248" t="str">
        <f>""</f>
        <v/>
      </c>
      <c r="CE248" t="str">
        <f>""</f>
        <v/>
      </c>
      <c r="CF248" t="str">
        <f>""</f>
        <v/>
      </c>
      <c r="CG248" t="str">
        <f>""</f>
        <v/>
      </c>
      <c r="CH248" t="str">
        <f>""</f>
        <v/>
      </c>
      <c r="CI248" t="str">
        <f>""</f>
        <v/>
      </c>
      <c r="CJ248" t="str">
        <f>""</f>
        <v/>
      </c>
      <c r="CK248" t="str">
        <f>""</f>
        <v/>
      </c>
      <c r="CL248" t="str">
        <f>""</f>
        <v/>
      </c>
      <c r="CM248" t="str">
        <f>""</f>
        <v/>
      </c>
      <c r="CN248" t="str">
        <f>""</f>
        <v/>
      </c>
      <c r="CO248" t="str">
        <f>""</f>
        <v/>
      </c>
      <c r="CP248" t="str">
        <f>""</f>
        <v/>
      </c>
      <c r="CQ248" t="str">
        <f>""</f>
        <v/>
      </c>
      <c r="CR248" t="str">
        <f>""</f>
        <v/>
      </c>
      <c r="CS248" t="str">
        <f>""</f>
        <v/>
      </c>
      <c r="CT248" t="str">
        <f>""</f>
        <v/>
      </c>
      <c r="CU248" t="str">
        <f>""</f>
        <v/>
      </c>
      <c r="CV248" t="str">
        <f>""</f>
        <v/>
      </c>
      <c r="CW248" t="str">
        <f>""</f>
        <v/>
      </c>
      <c r="CX248" t="str">
        <f>""</f>
        <v/>
      </c>
      <c r="CY248" t="str">
        <f>""</f>
        <v/>
      </c>
      <c r="CZ248" t="str">
        <f>""</f>
        <v/>
      </c>
      <c r="DA248" t="str">
        <f>""</f>
        <v/>
      </c>
      <c r="DB248" t="str">
        <f>""</f>
        <v/>
      </c>
      <c r="DC248" t="str">
        <f>""</f>
        <v/>
      </c>
      <c r="DD248" t="str">
        <f>""</f>
        <v/>
      </c>
      <c r="DE248" t="str">
        <f>""</f>
        <v/>
      </c>
      <c r="DF248" t="str">
        <f>""</f>
        <v/>
      </c>
      <c r="DG248" t="str">
        <f>""</f>
        <v/>
      </c>
      <c r="DH248" t="str">
        <f>""</f>
        <v/>
      </c>
      <c r="DI248" t="str">
        <f>""</f>
        <v/>
      </c>
      <c r="DJ248" t="str">
        <f>""</f>
        <v/>
      </c>
      <c r="DK248" t="str">
        <f>""</f>
        <v/>
      </c>
      <c r="DL248" t="str">
        <f>""</f>
        <v/>
      </c>
      <c r="DM248" t="str">
        <f>""</f>
        <v/>
      </c>
      <c r="DN248" t="str">
        <f>""</f>
        <v/>
      </c>
      <c r="DO248" t="str">
        <f>""</f>
        <v/>
      </c>
      <c r="DP248" t="str">
        <f>""</f>
        <v/>
      </c>
      <c r="DQ248" t="str">
        <f>""</f>
        <v/>
      </c>
      <c r="DR248" t="str">
        <f>""</f>
        <v/>
      </c>
      <c r="DS248" t="str">
        <f>""</f>
        <v/>
      </c>
      <c r="DT248" t="str">
        <f>""</f>
        <v/>
      </c>
      <c r="DU248" t="str">
        <f>""</f>
        <v/>
      </c>
    </row>
    <row r="249" spans="1:125">
      <c r="A249" t="str">
        <f>$A$16</f>
        <v xml:space="preserve">    Health Care REITs</v>
      </c>
      <c r="B249" t="str">
        <f>$B$16</f>
        <v>RECFSSHC Index</v>
      </c>
      <c r="C249" t="str">
        <f>$C$16</f>
        <v>PR005</v>
      </c>
      <c r="D249" t="str">
        <f>$D$16</f>
        <v>PX_LAST</v>
      </c>
      <c r="E249" t="str">
        <f>$E$16</f>
        <v>动态</v>
      </c>
      <c r="F249" t="str">
        <f ca="1">BDH($B$16,$C$16,$B$181,$B$182,CONCATENATE("Per=",$B$179),"Dts=H","Dir=H",CONCATENATE("Points=",$B$180),"Sort=R","Days=A","Fill=B",CONCATENATE("FX=", $B$178) )</f>
        <v>#N/A Authorization</v>
      </c>
      <c r="BN249" t="str">
        <f>""</f>
        <v/>
      </c>
      <c r="BO249" t="str">
        <f>""</f>
        <v/>
      </c>
      <c r="BP249" t="str">
        <f>""</f>
        <v/>
      </c>
      <c r="BQ249" t="str">
        <f>""</f>
        <v/>
      </c>
      <c r="BR249" t="str">
        <f>""</f>
        <v/>
      </c>
      <c r="BS249" t="str">
        <f>""</f>
        <v/>
      </c>
      <c r="BT249" t="str">
        <f>""</f>
        <v/>
      </c>
      <c r="BU249" t="str">
        <f>""</f>
        <v/>
      </c>
      <c r="BV249" t="str">
        <f>""</f>
        <v/>
      </c>
      <c r="BW249" t="str">
        <f>""</f>
        <v/>
      </c>
      <c r="BX249" t="str">
        <f>""</f>
        <v/>
      </c>
      <c r="BY249" t="str">
        <f>""</f>
        <v/>
      </c>
      <c r="BZ249" t="str">
        <f>""</f>
        <v/>
      </c>
      <c r="CA249" t="str">
        <f>""</f>
        <v/>
      </c>
      <c r="CB249" t="str">
        <f>""</f>
        <v/>
      </c>
      <c r="CC249" t="str">
        <f>""</f>
        <v/>
      </c>
      <c r="CD249" t="str">
        <f>""</f>
        <v/>
      </c>
      <c r="CE249" t="str">
        <f>""</f>
        <v/>
      </c>
      <c r="CF249" t="str">
        <f>""</f>
        <v/>
      </c>
      <c r="CG249" t="str">
        <f>""</f>
        <v/>
      </c>
      <c r="CH249" t="str">
        <f>""</f>
        <v/>
      </c>
      <c r="CI249" t="str">
        <f>""</f>
        <v/>
      </c>
      <c r="CJ249" t="str">
        <f>""</f>
        <v/>
      </c>
      <c r="CK249" t="str">
        <f>""</f>
        <v/>
      </c>
      <c r="CL249" t="str">
        <f>""</f>
        <v/>
      </c>
      <c r="CM249" t="str">
        <f>""</f>
        <v/>
      </c>
      <c r="CN249" t="str">
        <f>""</f>
        <v/>
      </c>
      <c r="CO249" t="str">
        <f>""</f>
        <v/>
      </c>
      <c r="CP249" t="str">
        <f>""</f>
        <v/>
      </c>
      <c r="CQ249" t="str">
        <f>""</f>
        <v/>
      </c>
      <c r="CR249" t="str">
        <f>""</f>
        <v/>
      </c>
      <c r="CS249" t="str">
        <f>""</f>
        <v/>
      </c>
      <c r="CT249" t="str">
        <f>""</f>
        <v/>
      </c>
      <c r="CU249" t="str">
        <f>""</f>
        <v/>
      </c>
      <c r="CV249" t="str">
        <f>""</f>
        <v/>
      </c>
      <c r="CW249" t="str">
        <f>""</f>
        <v/>
      </c>
      <c r="CX249" t="str">
        <f>""</f>
        <v/>
      </c>
      <c r="CY249" t="str">
        <f>""</f>
        <v/>
      </c>
      <c r="CZ249" t="str">
        <f>""</f>
        <v/>
      </c>
      <c r="DA249" t="str">
        <f>""</f>
        <v/>
      </c>
      <c r="DB249" t="str">
        <f>""</f>
        <v/>
      </c>
      <c r="DC249" t="str">
        <f>""</f>
        <v/>
      </c>
      <c r="DD249" t="str">
        <f>""</f>
        <v/>
      </c>
      <c r="DE249" t="str">
        <f>""</f>
        <v/>
      </c>
      <c r="DF249" t="str">
        <f>""</f>
        <v/>
      </c>
      <c r="DG249" t="str">
        <f>""</f>
        <v/>
      </c>
      <c r="DH249" t="str">
        <f>""</f>
        <v/>
      </c>
      <c r="DI249" t="str">
        <f>""</f>
        <v/>
      </c>
      <c r="DJ249" t="str">
        <f>""</f>
        <v/>
      </c>
      <c r="DK249" t="str">
        <f>""</f>
        <v/>
      </c>
      <c r="DL249" t="str">
        <f>""</f>
        <v/>
      </c>
      <c r="DM249" t="str">
        <f>""</f>
        <v/>
      </c>
      <c r="DN249" t="str">
        <f>""</f>
        <v/>
      </c>
      <c r="DO249" t="str">
        <f>""</f>
        <v/>
      </c>
      <c r="DP249" t="str">
        <f>""</f>
        <v/>
      </c>
      <c r="DQ249" t="str">
        <f>""</f>
        <v/>
      </c>
      <c r="DR249" t="str">
        <f>""</f>
        <v/>
      </c>
      <c r="DS249" t="str">
        <f>""</f>
        <v/>
      </c>
      <c r="DT249" t="str">
        <f>""</f>
        <v/>
      </c>
      <c r="DU249" t="str">
        <f>""</f>
        <v/>
      </c>
    </row>
    <row r="250" spans="1:125">
      <c r="A250" t="str">
        <f>$A$17</f>
        <v xml:space="preserve">    Data Center REITs</v>
      </c>
      <c r="B250" t="str">
        <f>$B$17</f>
        <v>RECFSSDC Index</v>
      </c>
      <c r="C250" t="str">
        <f>$C$17</f>
        <v>PR005</v>
      </c>
      <c r="D250" t="str">
        <f>$D$17</f>
        <v>PX_LAST</v>
      </c>
      <c r="E250" t="str">
        <f>$E$17</f>
        <v>动态</v>
      </c>
      <c r="F250" t="str">
        <f ca="1">BDH($B$17,$C$17,$B$181,$B$182,CONCATENATE("Per=",$B$179),"Dts=H","Dir=H",CONCATENATE("Points=",$B$180),"Sort=R","Days=A","Fill=B",CONCATENATE("FX=", $B$178) )</f>
        <v>#N/A Authorization</v>
      </c>
      <c r="BN250" t="str">
        <f>""</f>
        <v/>
      </c>
      <c r="BO250" t="str">
        <f>""</f>
        <v/>
      </c>
      <c r="BP250" t="str">
        <f>""</f>
        <v/>
      </c>
      <c r="BQ250" t="str">
        <f>""</f>
        <v/>
      </c>
      <c r="BR250" t="str">
        <f>""</f>
        <v/>
      </c>
      <c r="BS250" t="str">
        <f>""</f>
        <v/>
      </c>
      <c r="BT250" t="str">
        <f>""</f>
        <v/>
      </c>
      <c r="BU250" t="str">
        <f>""</f>
        <v/>
      </c>
      <c r="BV250" t="str">
        <f>""</f>
        <v/>
      </c>
      <c r="BW250" t="str">
        <f>""</f>
        <v/>
      </c>
      <c r="BX250" t="str">
        <f>""</f>
        <v/>
      </c>
      <c r="BY250" t="str">
        <f>""</f>
        <v/>
      </c>
      <c r="BZ250" t="str">
        <f>""</f>
        <v/>
      </c>
      <c r="CA250" t="str">
        <f>""</f>
        <v/>
      </c>
      <c r="CB250" t="str">
        <f>""</f>
        <v/>
      </c>
      <c r="CC250" t="str">
        <f>""</f>
        <v/>
      </c>
      <c r="CD250" t="str">
        <f>""</f>
        <v/>
      </c>
      <c r="CE250" t="str">
        <f>""</f>
        <v/>
      </c>
      <c r="CF250" t="str">
        <f>""</f>
        <v/>
      </c>
      <c r="CG250" t="str">
        <f>""</f>
        <v/>
      </c>
      <c r="CH250" t="str">
        <f>""</f>
        <v/>
      </c>
      <c r="CI250" t="str">
        <f>""</f>
        <v/>
      </c>
      <c r="CJ250" t="str">
        <f>""</f>
        <v/>
      </c>
      <c r="CK250" t="str">
        <f>""</f>
        <v/>
      </c>
      <c r="CL250" t="str">
        <f>""</f>
        <v/>
      </c>
      <c r="CM250" t="str">
        <f>""</f>
        <v/>
      </c>
      <c r="CN250" t="str">
        <f>""</f>
        <v/>
      </c>
      <c r="CO250" t="str">
        <f>""</f>
        <v/>
      </c>
      <c r="CP250" t="str">
        <f>""</f>
        <v/>
      </c>
      <c r="CQ250" t="str">
        <f>""</f>
        <v/>
      </c>
      <c r="CR250" t="str">
        <f>""</f>
        <v/>
      </c>
      <c r="CS250" t="str">
        <f>""</f>
        <v/>
      </c>
      <c r="CT250" t="str">
        <f>""</f>
        <v/>
      </c>
      <c r="CU250" t="str">
        <f>""</f>
        <v/>
      </c>
      <c r="CV250" t="str">
        <f>""</f>
        <v/>
      </c>
      <c r="CW250" t="str">
        <f>""</f>
        <v/>
      </c>
      <c r="CX250" t="str">
        <f>""</f>
        <v/>
      </c>
      <c r="CY250" t="str">
        <f>""</f>
        <v/>
      </c>
      <c r="CZ250" t="str">
        <f>""</f>
        <v/>
      </c>
      <c r="DA250" t="str">
        <f>""</f>
        <v/>
      </c>
      <c r="DB250" t="str">
        <f>""</f>
        <v/>
      </c>
      <c r="DC250" t="str">
        <f>""</f>
        <v/>
      </c>
      <c r="DD250" t="str">
        <f>""</f>
        <v/>
      </c>
      <c r="DE250" t="str">
        <f>""</f>
        <v/>
      </c>
      <c r="DF250" t="str">
        <f>""</f>
        <v/>
      </c>
      <c r="DG250" t="str">
        <f>""</f>
        <v/>
      </c>
      <c r="DH250" t="str">
        <f>""</f>
        <v/>
      </c>
      <c r="DI250" t="str">
        <f>""</f>
        <v/>
      </c>
      <c r="DJ250" t="str">
        <f>""</f>
        <v/>
      </c>
      <c r="DK250" t="str">
        <f>""</f>
        <v/>
      </c>
      <c r="DL250" t="str">
        <f>""</f>
        <v/>
      </c>
      <c r="DM250" t="str">
        <f>""</f>
        <v/>
      </c>
      <c r="DN250" t="str">
        <f>""</f>
        <v/>
      </c>
      <c r="DO250" t="str">
        <f>""</f>
        <v/>
      </c>
      <c r="DP250" t="str">
        <f>""</f>
        <v/>
      </c>
      <c r="DQ250" t="str">
        <f>""</f>
        <v/>
      </c>
      <c r="DR250" t="str">
        <f>""</f>
        <v/>
      </c>
      <c r="DS250" t="str">
        <f>""</f>
        <v/>
      </c>
      <c r="DT250" t="str">
        <f>""</f>
        <v/>
      </c>
      <c r="DU250" t="str">
        <f>""</f>
        <v/>
      </c>
    </row>
    <row r="251" spans="1:125">
      <c r="A251" t="str">
        <f>$A$18</f>
        <v>总营运现金流-所有房地产投资信托</v>
      </c>
      <c r="B251" t="str">
        <f>$B$18</f>
        <v>RECFFOEQ Index</v>
      </c>
      <c r="C251" t="str">
        <f>$C$18</f>
        <v>PR005</v>
      </c>
      <c r="D251" t="str">
        <f>$D$18</f>
        <v>PX_LAST</v>
      </c>
      <c r="E251" t="str">
        <f>$E$18</f>
        <v>动态</v>
      </c>
      <c r="F251" t="str">
        <f ca="1">BDH($B$18,$C$18,$B$181,$B$182,CONCATENATE("Per=",$B$179),"Dts=H","Dir=H",CONCATENATE("Points=",$B$180),"Sort=R","Days=A","Fill=B",CONCATENATE("FX=", $B$178) )</f>
        <v>#N/A Authorization</v>
      </c>
      <c r="BN251" t="str">
        <f>""</f>
        <v/>
      </c>
      <c r="BO251" t="str">
        <f>""</f>
        <v/>
      </c>
      <c r="BP251" t="str">
        <f>""</f>
        <v/>
      </c>
      <c r="BQ251" t="str">
        <f>""</f>
        <v/>
      </c>
      <c r="BR251" t="str">
        <f>""</f>
        <v/>
      </c>
      <c r="BS251" t="str">
        <f>""</f>
        <v/>
      </c>
      <c r="BT251" t="str">
        <f>""</f>
        <v/>
      </c>
      <c r="BU251" t="str">
        <f>""</f>
        <v/>
      </c>
      <c r="BV251" t="str">
        <f>""</f>
        <v/>
      </c>
      <c r="BW251" t="str">
        <f>""</f>
        <v/>
      </c>
      <c r="BX251" t="str">
        <f>""</f>
        <v/>
      </c>
      <c r="BY251" t="str">
        <f>""</f>
        <v/>
      </c>
      <c r="BZ251" t="str">
        <f>""</f>
        <v/>
      </c>
      <c r="CA251" t="str">
        <f>""</f>
        <v/>
      </c>
      <c r="CB251" t="str">
        <f>""</f>
        <v/>
      </c>
      <c r="CC251" t="str">
        <f>""</f>
        <v/>
      </c>
      <c r="CD251" t="str">
        <f>""</f>
        <v/>
      </c>
      <c r="CE251" t="str">
        <f>""</f>
        <v/>
      </c>
      <c r="CF251" t="str">
        <f>""</f>
        <v/>
      </c>
      <c r="CG251" t="str">
        <f>""</f>
        <v/>
      </c>
      <c r="CH251" t="str">
        <f>""</f>
        <v/>
      </c>
      <c r="CI251" t="str">
        <f>""</f>
        <v/>
      </c>
      <c r="CJ251" t="str">
        <f>""</f>
        <v/>
      </c>
      <c r="CK251" t="str">
        <f>""</f>
        <v/>
      </c>
      <c r="CL251" t="str">
        <f>""</f>
        <v/>
      </c>
      <c r="CM251" t="str">
        <f>""</f>
        <v/>
      </c>
      <c r="CN251" t="str">
        <f>""</f>
        <v/>
      </c>
      <c r="CO251" t="str">
        <f>""</f>
        <v/>
      </c>
      <c r="CP251" t="str">
        <f>""</f>
        <v/>
      </c>
      <c r="CQ251" t="str">
        <f>""</f>
        <v/>
      </c>
      <c r="CR251" t="str">
        <f>""</f>
        <v/>
      </c>
      <c r="CS251" t="str">
        <f>""</f>
        <v/>
      </c>
      <c r="CT251" t="str">
        <f>""</f>
        <v/>
      </c>
      <c r="CU251" t="str">
        <f>""</f>
        <v/>
      </c>
      <c r="CV251" t="str">
        <f>""</f>
        <v/>
      </c>
      <c r="CW251" t="str">
        <f>""</f>
        <v/>
      </c>
      <c r="CX251" t="str">
        <f>""</f>
        <v/>
      </c>
      <c r="CY251" t="str">
        <f>""</f>
        <v/>
      </c>
      <c r="CZ251" t="str">
        <f>""</f>
        <v/>
      </c>
      <c r="DA251" t="str">
        <f>""</f>
        <v/>
      </c>
      <c r="DB251" t="str">
        <f>""</f>
        <v/>
      </c>
      <c r="DC251" t="str">
        <f>""</f>
        <v/>
      </c>
      <c r="DD251" t="str">
        <f>""</f>
        <v/>
      </c>
      <c r="DE251" t="str">
        <f>""</f>
        <v/>
      </c>
      <c r="DF251" t="str">
        <f>""</f>
        <v/>
      </c>
      <c r="DG251" t="str">
        <f>""</f>
        <v/>
      </c>
      <c r="DH251" t="str">
        <f>""</f>
        <v/>
      </c>
      <c r="DI251" t="str">
        <f>""</f>
        <v/>
      </c>
      <c r="DJ251" t="str">
        <f>""</f>
        <v/>
      </c>
      <c r="DK251" t="str">
        <f>""</f>
        <v/>
      </c>
      <c r="DL251" t="str">
        <f>""</f>
        <v/>
      </c>
      <c r="DM251" t="str">
        <f>""</f>
        <v/>
      </c>
      <c r="DN251" t="str">
        <f>""</f>
        <v/>
      </c>
      <c r="DO251" t="str">
        <f>""</f>
        <v/>
      </c>
      <c r="DP251" t="str">
        <f>""</f>
        <v/>
      </c>
      <c r="DQ251" t="str">
        <f>""</f>
        <v/>
      </c>
      <c r="DR251" t="str">
        <f>""</f>
        <v/>
      </c>
      <c r="DS251" t="str">
        <f>""</f>
        <v/>
      </c>
      <c r="DT251" t="str">
        <f>""</f>
        <v/>
      </c>
      <c r="DU251" t="str">
        <f>""</f>
        <v/>
      </c>
    </row>
    <row r="252" spans="1:125">
      <c r="A252" t="str">
        <f>$A$19</f>
        <v xml:space="preserve">    Office REITs</v>
      </c>
      <c r="B252" t="str">
        <f>$B$19</f>
        <v>RECFFOOF Index</v>
      </c>
      <c r="C252" t="str">
        <f>$C$19</f>
        <v>PR005</v>
      </c>
      <c r="D252" t="str">
        <f>$D$19</f>
        <v>PX_LAST</v>
      </c>
      <c r="E252" t="str">
        <f>$E$19</f>
        <v>动态</v>
      </c>
      <c r="F252" t="str">
        <f ca="1">BDH($B$19,$C$19,$B$181,$B$182,CONCATENATE("Per=",$B$179),"Dts=H","Dir=H",CONCATENATE("Points=",$B$180),"Sort=R","Days=A","Fill=B",CONCATENATE("FX=", $B$178) )</f>
        <v>#N/A Authorization</v>
      </c>
      <c r="BN252" t="str">
        <f>""</f>
        <v/>
      </c>
      <c r="BO252" t="str">
        <f>""</f>
        <v/>
      </c>
      <c r="BP252" t="str">
        <f>""</f>
        <v/>
      </c>
      <c r="BQ252" t="str">
        <f>""</f>
        <v/>
      </c>
      <c r="BR252" t="str">
        <f>""</f>
        <v/>
      </c>
      <c r="BS252" t="str">
        <f>""</f>
        <v/>
      </c>
      <c r="BT252" t="str">
        <f>""</f>
        <v/>
      </c>
      <c r="BU252" t="str">
        <f>""</f>
        <v/>
      </c>
      <c r="BV252" t="str">
        <f>""</f>
        <v/>
      </c>
      <c r="BW252" t="str">
        <f>""</f>
        <v/>
      </c>
      <c r="BX252" t="str">
        <f>""</f>
        <v/>
      </c>
      <c r="BY252" t="str">
        <f>""</f>
        <v/>
      </c>
      <c r="BZ252" t="str">
        <f>""</f>
        <v/>
      </c>
      <c r="CA252" t="str">
        <f>""</f>
        <v/>
      </c>
      <c r="CB252" t="str">
        <f>""</f>
        <v/>
      </c>
      <c r="CC252" t="str">
        <f>""</f>
        <v/>
      </c>
      <c r="CD252" t="str">
        <f>""</f>
        <v/>
      </c>
      <c r="CE252" t="str">
        <f>""</f>
        <v/>
      </c>
      <c r="CF252" t="str">
        <f>""</f>
        <v/>
      </c>
      <c r="CG252" t="str">
        <f>""</f>
        <v/>
      </c>
      <c r="CH252" t="str">
        <f>""</f>
        <v/>
      </c>
      <c r="CI252" t="str">
        <f>""</f>
        <v/>
      </c>
      <c r="CJ252" t="str">
        <f>""</f>
        <v/>
      </c>
      <c r="CK252" t="str">
        <f>""</f>
        <v/>
      </c>
      <c r="CL252" t="str">
        <f>""</f>
        <v/>
      </c>
      <c r="CM252" t="str">
        <f>""</f>
        <v/>
      </c>
      <c r="CN252" t="str">
        <f>""</f>
        <v/>
      </c>
      <c r="CO252" t="str">
        <f>""</f>
        <v/>
      </c>
      <c r="CP252" t="str">
        <f>""</f>
        <v/>
      </c>
      <c r="CQ252" t="str">
        <f>""</f>
        <v/>
      </c>
      <c r="CR252" t="str">
        <f>""</f>
        <v/>
      </c>
      <c r="CS252" t="str">
        <f>""</f>
        <v/>
      </c>
      <c r="CT252" t="str">
        <f>""</f>
        <v/>
      </c>
      <c r="CU252" t="str">
        <f>""</f>
        <v/>
      </c>
      <c r="CV252" t="str">
        <f>""</f>
        <v/>
      </c>
      <c r="CW252" t="str">
        <f>""</f>
        <v/>
      </c>
      <c r="CX252" t="str">
        <f>""</f>
        <v/>
      </c>
      <c r="CY252" t="str">
        <f>""</f>
        <v/>
      </c>
      <c r="CZ252" t="str">
        <f>""</f>
        <v/>
      </c>
      <c r="DA252" t="str">
        <f>""</f>
        <v/>
      </c>
      <c r="DB252" t="str">
        <f>""</f>
        <v/>
      </c>
      <c r="DC252" t="str">
        <f>""</f>
        <v/>
      </c>
      <c r="DD252" t="str">
        <f>""</f>
        <v/>
      </c>
      <c r="DE252" t="str">
        <f>""</f>
        <v/>
      </c>
      <c r="DF252" t="str">
        <f>""</f>
        <v/>
      </c>
      <c r="DG252" t="str">
        <f>""</f>
        <v/>
      </c>
      <c r="DH252" t="str">
        <f>""</f>
        <v/>
      </c>
      <c r="DI252" t="str">
        <f>""</f>
        <v/>
      </c>
      <c r="DJ252" t="str">
        <f>""</f>
        <v/>
      </c>
      <c r="DK252" t="str">
        <f>""</f>
        <v/>
      </c>
      <c r="DL252" t="str">
        <f>""</f>
        <v/>
      </c>
      <c r="DM252" t="str">
        <f>""</f>
        <v/>
      </c>
      <c r="DN252" t="str">
        <f>""</f>
        <v/>
      </c>
      <c r="DO252" t="str">
        <f>""</f>
        <v/>
      </c>
      <c r="DP252" t="str">
        <f>""</f>
        <v/>
      </c>
      <c r="DQ252" t="str">
        <f>""</f>
        <v/>
      </c>
      <c r="DR252" t="str">
        <f>""</f>
        <v/>
      </c>
      <c r="DS252" t="str">
        <f>""</f>
        <v/>
      </c>
      <c r="DT252" t="str">
        <f>""</f>
        <v/>
      </c>
      <c r="DU252" t="str">
        <f>""</f>
        <v/>
      </c>
    </row>
    <row r="253" spans="1:125">
      <c r="A253" t="str">
        <f>$A$20</f>
        <v xml:space="preserve">    Industrial REITs</v>
      </c>
      <c r="B253" t="str">
        <f>$B$20</f>
        <v>RECFFOIN Index</v>
      </c>
      <c r="C253" t="str">
        <f>$C$20</f>
        <v>PR005</v>
      </c>
      <c r="D253" t="str">
        <f>$D$20</f>
        <v>PX_LAST</v>
      </c>
      <c r="E253" t="str">
        <f>$E$20</f>
        <v>动态</v>
      </c>
      <c r="F253" t="str">
        <f ca="1">BDH($B$20,$C$20,$B$181,$B$182,CONCATENATE("Per=",$B$179),"Dts=H","Dir=H",CONCATENATE("Points=",$B$180),"Sort=R","Days=A","Fill=B",CONCATENATE("FX=", $B$178) )</f>
        <v>#N/A Authorization</v>
      </c>
      <c r="BN253" t="str">
        <f>""</f>
        <v/>
      </c>
      <c r="BO253" t="str">
        <f>""</f>
        <v/>
      </c>
      <c r="BP253" t="str">
        <f>""</f>
        <v/>
      </c>
      <c r="BQ253" t="str">
        <f>""</f>
        <v/>
      </c>
      <c r="BR253" t="str">
        <f>""</f>
        <v/>
      </c>
      <c r="BS253" t="str">
        <f>""</f>
        <v/>
      </c>
      <c r="BT253" t="str">
        <f>""</f>
        <v/>
      </c>
      <c r="BU253" t="str">
        <f>""</f>
        <v/>
      </c>
      <c r="BV253" t="str">
        <f>""</f>
        <v/>
      </c>
      <c r="BW253" t="str">
        <f>""</f>
        <v/>
      </c>
      <c r="BX253" t="str">
        <f>""</f>
        <v/>
      </c>
      <c r="BY253" t="str">
        <f>""</f>
        <v/>
      </c>
      <c r="BZ253" t="str">
        <f>""</f>
        <v/>
      </c>
      <c r="CA253" t="str">
        <f>""</f>
        <v/>
      </c>
      <c r="CB253" t="str">
        <f>""</f>
        <v/>
      </c>
      <c r="CC253" t="str">
        <f>""</f>
        <v/>
      </c>
      <c r="CD253" t="str">
        <f>""</f>
        <v/>
      </c>
      <c r="CE253" t="str">
        <f>""</f>
        <v/>
      </c>
      <c r="CF253" t="str">
        <f>""</f>
        <v/>
      </c>
      <c r="CG253" t="str">
        <f>""</f>
        <v/>
      </c>
      <c r="CH253" t="str">
        <f>""</f>
        <v/>
      </c>
      <c r="CI253" t="str">
        <f>""</f>
        <v/>
      </c>
      <c r="CJ253" t="str">
        <f>""</f>
        <v/>
      </c>
      <c r="CK253" t="str">
        <f>""</f>
        <v/>
      </c>
      <c r="CL253" t="str">
        <f>""</f>
        <v/>
      </c>
      <c r="CM253" t="str">
        <f>""</f>
        <v/>
      </c>
      <c r="CN253" t="str">
        <f>""</f>
        <v/>
      </c>
      <c r="CO253" t="str">
        <f>""</f>
        <v/>
      </c>
      <c r="CP253" t="str">
        <f>""</f>
        <v/>
      </c>
      <c r="CQ253" t="str">
        <f>""</f>
        <v/>
      </c>
      <c r="CR253" t="str">
        <f>""</f>
        <v/>
      </c>
      <c r="CS253" t="str">
        <f>""</f>
        <v/>
      </c>
      <c r="CT253" t="str">
        <f>""</f>
        <v/>
      </c>
      <c r="CU253" t="str">
        <f>""</f>
        <v/>
      </c>
      <c r="CV253" t="str">
        <f>""</f>
        <v/>
      </c>
      <c r="CW253" t="str">
        <f>""</f>
        <v/>
      </c>
      <c r="CX253" t="str">
        <f>""</f>
        <v/>
      </c>
      <c r="CY253" t="str">
        <f>""</f>
        <v/>
      </c>
      <c r="CZ253" t="str">
        <f>""</f>
        <v/>
      </c>
      <c r="DA253" t="str">
        <f>""</f>
        <v/>
      </c>
      <c r="DB253" t="str">
        <f>""</f>
        <v/>
      </c>
      <c r="DC253" t="str">
        <f>""</f>
        <v/>
      </c>
      <c r="DD253" t="str">
        <f>""</f>
        <v/>
      </c>
      <c r="DE253" t="str">
        <f>""</f>
        <v/>
      </c>
      <c r="DF253" t="str">
        <f>""</f>
        <v/>
      </c>
      <c r="DG253" t="str">
        <f>""</f>
        <v/>
      </c>
      <c r="DH253" t="str">
        <f>""</f>
        <v/>
      </c>
      <c r="DI253" t="str">
        <f>""</f>
        <v/>
      </c>
      <c r="DJ253" t="str">
        <f>""</f>
        <v/>
      </c>
      <c r="DK253" t="str">
        <f>""</f>
        <v/>
      </c>
      <c r="DL253" t="str">
        <f>""</f>
        <v/>
      </c>
      <c r="DM253" t="str">
        <f>""</f>
        <v/>
      </c>
      <c r="DN253" t="str">
        <f>""</f>
        <v/>
      </c>
      <c r="DO253" t="str">
        <f>""</f>
        <v/>
      </c>
      <c r="DP253" t="str">
        <f>""</f>
        <v/>
      </c>
      <c r="DQ253" t="str">
        <f>""</f>
        <v/>
      </c>
      <c r="DR253" t="str">
        <f>""</f>
        <v/>
      </c>
      <c r="DS253" t="str">
        <f>""</f>
        <v/>
      </c>
      <c r="DT253" t="str">
        <f>""</f>
        <v/>
      </c>
      <c r="DU253" t="str">
        <f>""</f>
        <v/>
      </c>
    </row>
    <row r="254" spans="1:125">
      <c r="A254" t="str">
        <f>$A$21</f>
        <v xml:space="preserve">    Retail REITs</v>
      </c>
      <c r="B254" t="str">
        <f>$B$21</f>
        <v>RECFFORT Index</v>
      </c>
      <c r="C254" t="str">
        <f>$C$21</f>
        <v>PR005</v>
      </c>
      <c r="D254" t="str">
        <f>$D$21</f>
        <v>PX_LAST</v>
      </c>
      <c r="E254" t="str">
        <f>$E$21</f>
        <v>动态</v>
      </c>
      <c r="F254" t="str">
        <f ca="1">BDH($B$21,$C$21,$B$181,$B$182,CONCATENATE("Per=",$B$179),"Dts=H","Dir=H",CONCATENATE("Points=",$B$180),"Sort=R","Days=A","Fill=B",CONCATENATE("FX=", $B$178) )</f>
        <v>#N/A Authorization</v>
      </c>
      <c r="BN254" t="str">
        <f>""</f>
        <v/>
      </c>
      <c r="BO254" t="str">
        <f>""</f>
        <v/>
      </c>
      <c r="BP254" t="str">
        <f>""</f>
        <v/>
      </c>
      <c r="BQ254" t="str">
        <f>""</f>
        <v/>
      </c>
      <c r="BR254" t="str">
        <f>""</f>
        <v/>
      </c>
      <c r="BS254" t="str">
        <f>""</f>
        <v/>
      </c>
      <c r="BT254" t="str">
        <f>""</f>
        <v/>
      </c>
      <c r="BU254" t="str">
        <f>""</f>
        <v/>
      </c>
      <c r="BV254" t="str">
        <f>""</f>
        <v/>
      </c>
      <c r="BW254" t="str">
        <f>""</f>
        <v/>
      </c>
      <c r="BX254" t="str">
        <f>""</f>
        <v/>
      </c>
      <c r="BY254" t="str">
        <f>""</f>
        <v/>
      </c>
      <c r="BZ254" t="str">
        <f>""</f>
        <v/>
      </c>
      <c r="CA254" t="str">
        <f>""</f>
        <v/>
      </c>
      <c r="CB254" t="str">
        <f>""</f>
        <v/>
      </c>
      <c r="CC254" t="str">
        <f>""</f>
        <v/>
      </c>
      <c r="CD254" t="str">
        <f>""</f>
        <v/>
      </c>
      <c r="CE254" t="str">
        <f>""</f>
        <v/>
      </c>
      <c r="CF254" t="str">
        <f>""</f>
        <v/>
      </c>
      <c r="CG254" t="str">
        <f>""</f>
        <v/>
      </c>
      <c r="CH254" t="str">
        <f>""</f>
        <v/>
      </c>
      <c r="CI254" t="str">
        <f>""</f>
        <v/>
      </c>
      <c r="CJ254" t="str">
        <f>""</f>
        <v/>
      </c>
      <c r="CK254" t="str">
        <f>""</f>
        <v/>
      </c>
      <c r="CL254" t="str">
        <f>""</f>
        <v/>
      </c>
      <c r="CM254" t="str">
        <f>""</f>
        <v/>
      </c>
      <c r="CN254" t="str">
        <f>""</f>
        <v/>
      </c>
      <c r="CO254" t="str">
        <f>""</f>
        <v/>
      </c>
      <c r="CP254" t="str">
        <f>""</f>
        <v/>
      </c>
      <c r="CQ254" t="str">
        <f>""</f>
        <v/>
      </c>
      <c r="CR254" t="str">
        <f>""</f>
        <v/>
      </c>
      <c r="CS254" t="str">
        <f>""</f>
        <v/>
      </c>
      <c r="CT254" t="str">
        <f>""</f>
        <v/>
      </c>
      <c r="CU254" t="str">
        <f>""</f>
        <v/>
      </c>
      <c r="CV254" t="str">
        <f>""</f>
        <v/>
      </c>
      <c r="CW254" t="str">
        <f>""</f>
        <v/>
      </c>
      <c r="CX254" t="str">
        <f>""</f>
        <v/>
      </c>
      <c r="CY254" t="str">
        <f>""</f>
        <v/>
      </c>
      <c r="CZ254" t="str">
        <f>""</f>
        <v/>
      </c>
      <c r="DA254" t="str">
        <f>""</f>
        <v/>
      </c>
      <c r="DB254" t="str">
        <f>""</f>
        <v/>
      </c>
      <c r="DC254" t="str">
        <f>""</f>
        <v/>
      </c>
      <c r="DD254" t="str">
        <f>""</f>
        <v/>
      </c>
      <c r="DE254" t="str">
        <f>""</f>
        <v/>
      </c>
      <c r="DF254" t="str">
        <f>""</f>
        <v/>
      </c>
      <c r="DG254" t="str">
        <f>""</f>
        <v/>
      </c>
      <c r="DH254" t="str">
        <f>""</f>
        <v/>
      </c>
      <c r="DI254" t="str">
        <f>""</f>
        <v/>
      </c>
      <c r="DJ254" t="str">
        <f>""</f>
        <v/>
      </c>
      <c r="DK254" t="str">
        <f>""</f>
        <v/>
      </c>
      <c r="DL254" t="str">
        <f>""</f>
        <v/>
      </c>
      <c r="DM254" t="str">
        <f>""</f>
        <v/>
      </c>
      <c r="DN254" t="str">
        <f>""</f>
        <v/>
      </c>
      <c r="DO254" t="str">
        <f>""</f>
        <v/>
      </c>
      <c r="DP254" t="str">
        <f>""</f>
        <v/>
      </c>
      <c r="DQ254" t="str">
        <f>""</f>
        <v/>
      </c>
      <c r="DR254" t="str">
        <f>""</f>
        <v/>
      </c>
      <c r="DS254" t="str">
        <f>""</f>
        <v/>
      </c>
      <c r="DT254" t="str">
        <f>""</f>
        <v/>
      </c>
      <c r="DU254" t="str">
        <f>""</f>
        <v/>
      </c>
    </row>
    <row r="255" spans="1:125">
      <c r="A255" t="str">
        <f>$A$22</f>
        <v xml:space="preserve">    Shopping Center REITs</v>
      </c>
      <c r="B255" t="str">
        <f>$B$22</f>
        <v>RECFFOSC Index</v>
      </c>
      <c r="C255" t="str">
        <f>$C$22</f>
        <v>PR005</v>
      </c>
      <c r="D255" t="str">
        <f>$D$22</f>
        <v>PX_LAST</v>
      </c>
      <c r="E255" t="str">
        <f>$E$22</f>
        <v>动态</v>
      </c>
      <c r="F255" t="str">
        <f ca="1">BDH($B$22,$C$22,$B$181,$B$182,CONCATENATE("Per=",$B$179),"Dts=H","Dir=H",CONCATENATE("Points=",$B$180),"Sort=R","Days=A","Fill=B",CONCATENATE("FX=", $B$178) )</f>
        <v>#N/A Authorization</v>
      </c>
      <c r="BN255" t="str">
        <f>""</f>
        <v/>
      </c>
      <c r="BO255" t="str">
        <f>""</f>
        <v/>
      </c>
      <c r="BP255" t="str">
        <f>""</f>
        <v/>
      </c>
      <c r="BQ255" t="str">
        <f>""</f>
        <v/>
      </c>
      <c r="BR255" t="str">
        <f>""</f>
        <v/>
      </c>
      <c r="BS255" t="str">
        <f>""</f>
        <v/>
      </c>
      <c r="BT255" t="str">
        <f>""</f>
        <v/>
      </c>
      <c r="BU255" t="str">
        <f>""</f>
        <v/>
      </c>
      <c r="BV255" t="str">
        <f>""</f>
        <v/>
      </c>
      <c r="BW255" t="str">
        <f>""</f>
        <v/>
      </c>
      <c r="BX255" t="str">
        <f>""</f>
        <v/>
      </c>
      <c r="BY255" t="str">
        <f>""</f>
        <v/>
      </c>
      <c r="BZ255" t="str">
        <f>""</f>
        <v/>
      </c>
      <c r="CA255" t="str">
        <f>""</f>
        <v/>
      </c>
      <c r="CB255" t="str">
        <f>""</f>
        <v/>
      </c>
      <c r="CC255" t="str">
        <f>""</f>
        <v/>
      </c>
      <c r="CD255" t="str">
        <f>""</f>
        <v/>
      </c>
      <c r="CE255" t="str">
        <f>""</f>
        <v/>
      </c>
      <c r="CF255" t="str">
        <f>""</f>
        <v/>
      </c>
      <c r="CG255" t="str">
        <f>""</f>
        <v/>
      </c>
      <c r="CH255" t="str">
        <f>""</f>
        <v/>
      </c>
      <c r="CI255" t="str">
        <f>""</f>
        <v/>
      </c>
      <c r="CJ255" t="str">
        <f>""</f>
        <v/>
      </c>
      <c r="CK255" t="str">
        <f>""</f>
        <v/>
      </c>
      <c r="CL255" t="str">
        <f>""</f>
        <v/>
      </c>
      <c r="CM255" t="str">
        <f>""</f>
        <v/>
      </c>
      <c r="CN255" t="str">
        <f>""</f>
        <v/>
      </c>
      <c r="CO255" t="str">
        <f>""</f>
        <v/>
      </c>
      <c r="CP255" t="str">
        <f>""</f>
        <v/>
      </c>
      <c r="CQ255" t="str">
        <f>""</f>
        <v/>
      </c>
      <c r="CR255" t="str">
        <f>""</f>
        <v/>
      </c>
      <c r="CS255" t="str">
        <f>""</f>
        <v/>
      </c>
      <c r="CT255" t="str">
        <f>""</f>
        <v/>
      </c>
      <c r="CU255" t="str">
        <f>""</f>
        <v/>
      </c>
      <c r="CV255" t="str">
        <f>""</f>
        <v/>
      </c>
      <c r="CW255" t="str">
        <f>""</f>
        <v/>
      </c>
      <c r="CX255" t="str">
        <f>""</f>
        <v/>
      </c>
      <c r="CY255" t="str">
        <f>""</f>
        <v/>
      </c>
      <c r="CZ255" t="str">
        <f>""</f>
        <v/>
      </c>
      <c r="DA255" t="str">
        <f>""</f>
        <v/>
      </c>
      <c r="DB255" t="str">
        <f>""</f>
        <v/>
      </c>
      <c r="DC255" t="str">
        <f>""</f>
        <v/>
      </c>
      <c r="DD255" t="str">
        <f>""</f>
        <v/>
      </c>
      <c r="DE255" t="str">
        <f>""</f>
        <v/>
      </c>
      <c r="DF255" t="str">
        <f>""</f>
        <v/>
      </c>
      <c r="DG255" t="str">
        <f>""</f>
        <v/>
      </c>
      <c r="DH255" t="str">
        <f>""</f>
        <v/>
      </c>
      <c r="DI255" t="str">
        <f>""</f>
        <v/>
      </c>
      <c r="DJ255" t="str">
        <f>""</f>
        <v/>
      </c>
      <c r="DK255" t="str">
        <f>""</f>
        <v/>
      </c>
      <c r="DL255" t="str">
        <f>""</f>
        <v/>
      </c>
      <c r="DM255" t="str">
        <f>""</f>
        <v/>
      </c>
      <c r="DN255" t="str">
        <f>""</f>
        <v/>
      </c>
      <c r="DO255" t="str">
        <f>""</f>
        <v/>
      </c>
      <c r="DP255" t="str">
        <f>""</f>
        <v/>
      </c>
      <c r="DQ255" t="str">
        <f>""</f>
        <v/>
      </c>
      <c r="DR255" t="str">
        <f>""</f>
        <v/>
      </c>
      <c r="DS255" t="str">
        <f>""</f>
        <v/>
      </c>
      <c r="DT255" t="str">
        <f>""</f>
        <v/>
      </c>
      <c r="DU255" t="str">
        <f>""</f>
        <v/>
      </c>
    </row>
    <row r="256" spans="1:125">
      <c r="A256" t="str">
        <f>$A$23</f>
        <v xml:space="preserve">    Regional Mall REITs</v>
      </c>
      <c r="B256" t="str">
        <f>$B$23</f>
        <v>RECFFORM Index</v>
      </c>
      <c r="C256" t="str">
        <f>$C$23</f>
        <v>PR005</v>
      </c>
      <c r="D256" t="str">
        <f>$D$23</f>
        <v>PX_LAST</v>
      </c>
      <c r="E256" t="str">
        <f>$E$23</f>
        <v>动态</v>
      </c>
      <c r="F256" t="str">
        <f ca="1">BDH($B$23,$C$23,$B$181,$B$182,CONCATENATE("Per=",$B$179),"Dts=H","Dir=H",CONCATENATE("Points=",$B$180),"Sort=R","Days=A","Fill=B",CONCATENATE("FX=", $B$178) )</f>
        <v>#N/A Authorization</v>
      </c>
      <c r="BN256" t="str">
        <f>""</f>
        <v/>
      </c>
      <c r="BO256" t="str">
        <f>""</f>
        <v/>
      </c>
      <c r="BP256" t="str">
        <f>""</f>
        <v/>
      </c>
      <c r="BQ256" t="str">
        <f>""</f>
        <v/>
      </c>
      <c r="BR256" t="str">
        <f>""</f>
        <v/>
      </c>
      <c r="BS256" t="str">
        <f>""</f>
        <v/>
      </c>
      <c r="BT256" t="str">
        <f>""</f>
        <v/>
      </c>
      <c r="BU256" t="str">
        <f>""</f>
        <v/>
      </c>
      <c r="BV256" t="str">
        <f>""</f>
        <v/>
      </c>
      <c r="BW256" t="str">
        <f>""</f>
        <v/>
      </c>
      <c r="BX256" t="str">
        <f>""</f>
        <v/>
      </c>
      <c r="BY256" t="str">
        <f>""</f>
        <v/>
      </c>
      <c r="BZ256" t="str">
        <f>""</f>
        <v/>
      </c>
      <c r="CA256" t="str">
        <f>""</f>
        <v/>
      </c>
      <c r="CB256" t="str">
        <f>""</f>
        <v/>
      </c>
      <c r="CC256" t="str">
        <f>""</f>
        <v/>
      </c>
      <c r="CD256" t="str">
        <f>""</f>
        <v/>
      </c>
      <c r="CE256" t="str">
        <f>""</f>
        <v/>
      </c>
      <c r="CF256" t="str">
        <f>""</f>
        <v/>
      </c>
      <c r="CG256" t="str">
        <f>""</f>
        <v/>
      </c>
      <c r="CH256" t="str">
        <f>""</f>
        <v/>
      </c>
      <c r="CI256" t="str">
        <f>""</f>
        <v/>
      </c>
      <c r="CJ256" t="str">
        <f>""</f>
        <v/>
      </c>
      <c r="CK256" t="str">
        <f>""</f>
        <v/>
      </c>
      <c r="CL256" t="str">
        <f>""</f>
        <v/>
      </c>
      <c r="CM256" t="str">
        <f>""</f>
        <v/>
      </c>
      <c r="CN256" t="str">
        <f>""</f>
        <v/>
      </c>
      <c r="CO256" t="str">
        <f>""</f>
        <v/>
      </c>
      <c r="CP256" t="str">
        <f>""</f>
        <v/>
      </c>
      <c r="CQ256" t="str">
        <f>""</f>
        <v/>
      </c>
      <c r="CR256" t="str">
        <f>""</f>
        <v/>
      </c>
      <c r="CS256" t="str">
        <f>""</f>
        <v/>
      </c>
      <c r="CT256" t="str">
        <f>""</f>
        <v/>
      </c>
      <c r="CU256" t="str">
        <f>""</f>
        <v/>
      </c>
      <c r="CV256" t="str">
        <f>""</f>
        <v/>
      </c>
      <c r="CW256" t="str">
        <f>""</f>
        <v/>
      </c>
      <c r="CX256" t="str">
        <f>""</f>
        <v/>
      </c>
      <c r="CY256" t="str">
        <f>""</f>
        <v/>
      </c>
      <c r="CZ256" t="str">
        <f>""</f>
        <v/>
      </c>
      <c r="DA256" t="str">
        <f>""</f>
        <v/>
      </c>
      <c r="DB256" t="str">
        <f>""</f>
        <v/>
      </c>
      <c r="DC256" t="str">
        <f>""</f>
        <v/>
      </c>
      <c r="DD256" t="str">
        <f>""</f>
        <v/>
      </c>
      <c r="DE256" t="str">
        <f>""</f>
        <v/>
      </c>
      <c r="DF256" t="str">
        <f>""</f>
        <v/>
      </c>
      <c r="DG256" t="str">
        <f>""</f>
        <v/>
      </c>
      <c r="DH256" t="str">
        <f>""</f>
        <v/>
      </c>
      <c r="DI256" t="str">
        <f>""</f>
        <v/>
      </c>
      <c r="DJ256" t="str">
        <f>""</f>
        <v/>
      </c>
      <c r="DK256" t="str">
        <f>""</f>
        <v/>
      </c>
      <c r="DL256" t="str">
        <f>""</f>
        <v/>
      </c>
      <c r="DM256" t="str">
        <f>""</f>
        <v/>
      </c>
      <c r="DN256" t="str">
        <f>""</f>
        <v/>
      </c>
      <c r="DO256" t="str">
        <f>""</f>
        <v/>
      </c>
      <c r="DP256" t="str">
        <f>""</f>
        <v/>
      </c>
      <c r="DQ256" t="str">
        <f>""</f>
        <v/>
      </c>
      <c r="DR256" t="str">
        <f>""</f>
        <v/>
      </c>
      <c r="DS256" t="str">
        <f>""</f>
        <v/>
      </c>
      <c r="DT256" t="str">
        <f>""</f>
        <v/>
      </c>
      <c r="DU256" t="str">
        <f>""</f>
        <v/>
      </c>
    </row>
    <row r="257" spans="1:125">
      <c r="A257" t="str">
        <f>$A$24</f>
        <v xml:space="preserve">    Free Standing Retail REITs</v>
      </c>
      <c r="B257" t="str">
        <f>$B$24</f>
        <v>RECFFOFS Index</v>
      </c>
      <c r="C257" t="str">
        <f>$C$24</f>
        <v>PR005</v>
      </c>
      <c r="D257" t="str">
        <f>$D$24</f>
        <v>PX_LAST</v>
      </c>
      <c r="E257" t="str">
        <f>$E$24</f>
        <v>动态</v>
      </c>
      <c r="F257" t="str">
        <f ca="1">BDH($B$24,$C$24,$B$181,$B$182,CONCATENATE("Per=",$B$179),"Dts=H","Dir=H",CONCATENATE("Points=",$B$180),"Sort=R","Days=A","Fill=B",CONCATENATE("FX=", $B$178) )</f>
        <v>#N/A Authorization</v>
      </c>
      <c r="BN257" t="str">
        <f>""</f>
        <v/>
      </c>
      <c r="BO257" t="str">
        <f>""</f>
        <v/>
      </c>
      <c r="BP257" t="str">
        <f>""</f>
        <v/>
      </c>
      <c r="BQ257" t="str">
        <f>""</f>
        <v/>
      </c>
      <c r="BR257" t="str">
        <f>""</f>
        <v/>
      </c>
      <c r="BS257" t="str">
        <f>""</f>
        <v/>
      </c>
      <c r="BT257" t="str">
        <f>""</f>
        <v/>
      </c>
      <c r="BU257" t="str">
        <f>""</f>
        <v/>
      </c>
      <c r="BV257" t="str">
        <f>""</f>
        <v/>
      </c>
      <c r="BW257" t="str">
        <f>""</f>
        <v/>
      </c>
      <c r="BX257" t="str">
        <f>""</f>
        <v/>
      </c>
      <c r="BY257" t="str">
        <f>""</f>
        <v/>
      </c>
      <c r="BZ257" t="str">
        <f>""</f>
        <v/>
      </c>
      <c r="CA257" t="str">
        <f>""</f>
        <v/>
      </c>
      <c r="CB257" t="str">
        <f>""</f>
        <v/>
      </c>
      <c r="CC257" t="str">
        <f>""</f>
        <v/>
      </c>
      <c r="CD257" t="str">
        <f>""</f>
        <v/>
      </c>
      <c r="CE257" t="str">
        <f>""</f>
        <v/>
      </c>
      <c r="CF257" t="str">
        <f>""</f>
        <v/>
      </c>
      <c r="CG257" t="str">
        <f>""</f>
        <v/>
      </c>
      <c r="CH257" t="str">
        <f>""</f>
        <v/>
      </c>
      <c r="CI257" t="str">
        <f>""</f>
        <v/>
      </c>
      <c r="CJ257" t="str">
        <f>""</f>
        <v/>
      </c>
      <c r="CK257" t="str">
        <f>""</f>
        <v/>
      </c>
      <c r="CL257" t="str">
        <f>""</f>
        <v/>
      </c>
      <c r="CM257" t="str">
        <f>""</f>
        <v/>
      </c>
      <c r="CN257" t="str">
        <f>""</f>
        <v/>
      </c>
      <c r="CO257" t="str">
        <f>""</f>
        <v/>
      </c>
      <c r="CP257" t="str">
        <f>""</f>
        <v/>
      </c>
      <c r="CQ257" t="str">
        <f>""</f>
        <v/>
      </c>
      <c r="CR257" t="str">
        <f>""</f>
        <v/>
      </c>
      <c r="CS257" t="str">
        <f>""</f>
        <v/>
      </c>
      <c r="CT257" t="str">
        <f>""</f>
        <v/>
      </c>
      <c r="CU257" t="str">
        <f>""</f>
        <v/>
      </c>
      <c r="CV257" t="str">
        <f>""</f>
        <v/>
      </c>
      <c r="CW257" t="str">
        <f>""</f>
        <v/>
      </c>
      <c r="CX257" t="str">
        <f>""</f>
        <v/>
      </c>
      <c r="CY257" t="str">
        <f>""</f>
        <v/>
      </c>
      <c r="CZ257" t="str">
        <f>""</f>
        <v/>
      </c>
      <c r="DA257" t="str">
        <f>""</f>
        <v/>
      </c>
      <c r="DB257" t="str">
        <f>""</f>
        <v/>
      </c>
      <c r="DC257" t="str">
        <f>""</f>
        <v/>
      </c>
      <c r="DD257" t="str">
        <f>""</f>
        <v/>
      </c>
      <c r="DE257" t="str">
        <f>""</f>
        <v/>
      </c>
      <c r="DF257" t="str">
        <f>""</f>
        <v/>
      </c>
      <c r="DG257" t="str">
        <f>""</f>
        <v/>
      </c>
      <c r="DH257" t="str">
        <f>""</f>
        <v/>
      </c>
      <c r="DI257" t="str">
        <f>""</f>
        <v/>
      </c>
      <c r="DJ257" t="str">
        <f>""</f>
        <v/>
      </c>
      <c r="DK257" t="str">
        <f>""</f>
        <v/>
      </c>
      <c r="DL257" t="str">
        <f>""</f>
        <v/>
      </c>
      <c r="DM257" t="str">
        <f>""</f>
        <v/>
      </c>
      <c r="DN257" t="str">
        <f>""</f>
        <v/>
      </c>
      <c r="DO257" t="str">
        <f>""</f>
        <v/>
      </c>
      <c r="DP257" t="str">
        <f>""</f>
        <v/>
      </c>
      <c r="DQ257" t="str">
        <f>""</f>
        <v/>
      </c>
      <c r="DR257" t="str">
        <f>""</f>
        <v/>
      </c>
      <c r="DS257" t="str">
        <f>""</f>
        <v/>
      </c>
      <c r="DT257" t="str">
        <f>""</f>
        <v/>
      </c>
      <c r="DU257" t="str">
        <f>""</f>
        <v/>
      </c>
    </row>
    <row r="258" spans="1:125">
      <c r="A258" t="str">
        <f>$A$25</f>
        <v xml:space="preserve">    Residential REITs</v>
      </c>
      <c r="B258" t="str">
        <f>$B$25</f>
        <v>RECFFORS Index</v>
      </c>
      <c r="C258" t="str">
        <f>$C$25</f>
        <v>PR005</v>
      </c>
      <c r="D258" t="str">
        <f>$D$25</f>
        <v>PX_LAST</v>
      </c>
      <c r="E258" t="str">
        <f>$E$25</f>
        <v>动态</v>
      </c>
      <c r="F258" t="str">
        <f ca="1">BDH($B$25,$C$25,$B$181,$B$182,CONCATENATE("Per=",$B$179),"Dts=H","Dir=H",CONCATENATE("Points=",$B$180),"Sort=R","Days=A","Fill=B",CONCATENATE("FX=", $B$178) )</f>
        <v>#N/A Authorization</v>
      </c>
      <c r="BN258" t="str">
        <f>""</f>
        <v/>
      </c>
      <c r="BO258" t="str">
        <f>""</f>
        <v/>
      </c>
      <c r="BP258" t="str">
        <f>""</f>
        <v/>
      </c>
      <c r="BQ258" t="str">
        <f>""</f>
        <v/>
      </c>
      <c r="BR258" t="str">
        <f>""</f>
        <v/>
      </c>
      <c r="BS258" t="str">
        <f>""</f>
        <v/>
      </c>
      <c r="BT258" t="str">
        <f>""</f>
        <v/>
      </c>
      <c r="BU258" t="str">
        <f>""</f>
        <v/>
      </c>
      <c r="BV258" t="str">
        <f>""</f>
        <v/>
      </c>
      <c r="BW258" t="str">
        <f>""</f>
        <v/>
      </c>
      <c r="BX258" t="str">
        <f>""</f>
        <v/>
      </c>
      <c r="BY258" t="str">
        <f>""</f>
        <v/>
      </c>
      <c r="BZ258" t="str">
        <f>""</f>
        <v/>
      </c>
      <c r="CA258" t="str">
        <f>""</f>
        <v/>
      </c>
      <c r="CB258" t="str">
        <f>""</f>
        <v/>
      </c>
      <c r="CC258" t="str">
        <f>""</f>
        <v/>
      </c>
      <c r="CD258" t="str">
        <f>""</f>
        <v/>
      </c>
      <c r="CE258" t="str">
        <f>""</f>
        <v/>
      </c>
      <c r="CF258" t="str">
        <f>""</f>
        <v/>
      </c>
      <c r="CG258" t="str">
        <f>""</f>
        <v/>
      </c>
      <c r="CH258" t="str">
        <f>""</f>
        <v/>
      </c>
      <c r="CI258" t="str">
        <f>""</f>
        <v/>
      </c>
      <c r="CJ258" t="str">
        <f>""</f>
        <v/>
      </c>
      <c r="CK258" t="str">
        <f>""</f>
        <v/>
      </c>
      <c r="CL258" t="str">
        <f>""</f>
        <v/>
      </c>
      <c r="CM258" t="str">
        <f>""</f>
        <v/>
      </c>
      <c r="CN258" t="str">
        <f>""</f>
        <v/>
      </c>
      <c r="CO258" t="str">
        <f>""</f>
        <v/>
      </c>
      <c r="CP258" t="str">
        <f>""</f>
        <v/>
      </c>
      <c r="CQ258" t="str">
        <f>""</f>
        <v/>
      </c>
      <c r="CR258" t="str">
        <f>""</f>
        <v/>
      </c>
      <c r="CS258" t="str">
        <f>""</f>
        <v/>
      </c>
      <c r="CT258" t="str">
        <f>""</f>
        <v/>
      </c>
      <c r="CU258" t="str">
        <f>""</f>
        <v/>
      </c>
      <c r="CV258" t="str">
        <f>""</f>
        <v/>
      </c>
      <c r="CW258" t="str">
        <f>""</f>
        <v/>
      </c>
      <c r="CX258" t="str">
        <f>""</f>
        <v/>
      </c>
      <c r="CY258" t="str">
        <f>""</f>
        <v/>
      </c>
      <c r="CZ258" t="str">
        <f>""</f>
        <v/>
      </c>
      <c r="DA258" t="str">
        <f>""</f>
        <v/>
      </c>
      <c r="DB258" t="str">
        <f>""</f>
        <v/>
      </c>
      <c r="DC258" t="str">
        <f>""</f>
        <v/>
      </c>
      <c r="DD258" t="str">
        <f>""</f>
        <v/>
      </c>
      <c r="DE258" t="str">
        <f>""</f>
        <v/>
      </c>
      <c r="DF258" t="str">
        <f>""</f>
        <v/>
      </c>
      <c r="DG258" t="str">
        <f>""</f>
        <v/>
      </c>
      <c r="DH258" t="str">
        <f>""</f>
        <v/>
      </c>
      <c r="DI258" t="str">
        <f>""</f>
        <v/>
      </c>
      <c r="DJ258" t="str">
        <f>""</f>
        <v/>
      </c>
      <c r="DK258" t="str">
        <f>""</f>
        <v/>
      </c>
      <c r="DL258" t="str">
        <f>""</f>
        <v/>
      </c>
      <c r="DM258" t="str">
        <f>""</f>
        <v/>
      </c>
      <c r="DN258" t="str">
        <f>""</f>
        <v/>
      </c>
      <c r="DO258" t="str">
        <f>""</f>
        <v/>
      </c>
      <c r="DP258" t="str">
        <f>""</f>
        <v/>
      </c>
      <c r="DQ258" t="str">
        <f>""</f>
        <v/>
      </c>
      <c r="DR258" t="str">
        <f>""</f>
        <v/>
      </c>
      <c r="DS258" t="str">
        <f>""</f>
        <v/>
      </c>
      <c r="DT258" t="str">
        <f>""</f>
        <v/>
      </c>
      <c r="DU258" t="str">
        <f>""</f>
        <v/>
      </c>
    </row>
    <row r="259" spans="1:125">
      <c r="A259" t="str">
        <f>$A$26</f>
        <v xml:space="preserve">    Apartment REITs</v>
      </c>
      <c r="B259" t="str">
        <f>$B$26</f>
        <v>RECFFOAP Index</v>
      </c>
      <c r="C259" t="str">
        <f>$C$26</f>
        <v>PR005</v>
      </c>
      <c r="D259" t="str">
        <f>$D$26</f>
        <v>PX_LAST</v>
      </c>
      <c r="E259" t="str">
        <f>$E$26</f>
        <v>动态</v>
      </c>
      <c r="F259" t="str">
        <f ca="1">BDH($B$26,$C$26,$B$181,$B$182,CONCATENATE("Per=",$B$179),"Dts=H","Dir=H",CONCATENATE("Points=",$B$180),"Sort=R","Days=A","Fill=B",CONCATENATE("FX=", $B$178) )</f>
        <v>#N/A Authorization</v>
      </c>
      <c r="BN259" t="str">
        <f>""</f>
        <v/>
      </c>
      <c r="BO259" t="str">
        <f>""</f>
        <v/>
      </c>
      <c r="BP259" t="str">
        <f>""</f>
        <v/>
      </c>
      <c r="BQ259" t="str">
        <f>""</f>
        <v/>
      </c>
      <c r="BR259" t="str">
        <f>""</f>
        <v/>
      </c>
      <c r="BS259" t="str">
        <f>""</f>
        <v/>
      </c>
      <c r="BT259" t="str">
        <f>""</f>
        <v/>
      </c>
      <c r="BU259" t="str">
        <f>""</f>
        <v/>
      </c>
      <c r="BV259" t="str">
        <f>""</f>
        <v/>
      </c>
      <c r="BW259" t="str">
        <f>""</f>
        <v/>
      </c>
      <c r="BX259" t="str">
        <f>""</f>
        <v/>
      </c>
      <c r="BY259" t="str">
        <f>""</f>
        <v/>
      </c>
      <c r="BZ259" t="str">
        <f>""</f>
        <v/>
      </c>
      <c r="CA259" t="str">
        <f>""</f>
        <v/>
      </c>
      <c r="CB259" t="str">
        <f>""</f>
        <v/>
      </c>
      <c r="CC259" t="str">
        <f>""</f>
        <v/>
      </c>
      <c r="CD259" t="str">
        <f>""</f>
        <v/>
      </c>
      <c r="CE259" t="str">
        <f>""</f>
        <v/>
      </c>
      <c r="CF259" t="str">
        <f>""</f>
        <v/>
      </c>
      <c r="CG259" t="str">
        <f>""</f>
        <v/>
      </c>
      <c r="CH259" t="str">
        <f>""</f>
        <v/>
      </c>
      <c r="CI259" t="str">
        <f>""</f>
        <v/>
      </c>
      <c r="CJ259" t="str">
        <f>""</f>
        <v/>
      </c>
      <c r="CK259" t="str">
        <f>""</f>
        <v/>
      </c>
      <c r="CL259" t="str">
        <f>""</f>
        <v/>
      </c>
      <c r="CM259" t="str">
        <f>""</f>
        <v/>
      </c>
      <c r="CN259" t="str">
        <f>""</f>
        <v/>
      </c>
      <c r="CO259" t="str">
        <f>""</f>
        <v/>
      </c>
      <c r="CP259" t="str">
        <f>""</f>
        <v/>
      </c>
      <c r="CQ259" t="str">
        <f>""</f>
        <v/>
      </c>
      <c r="CR259" t="str">
        <f>""</f>
        <v/>
      </c>
      <c r="CS259" t="str">
        <f>""</f>
        <v/>
      </c>
      <c r="CT259" t="str">
        <f>""</f>
        <v/>
      </c>
      <c r="CU259" t="str">
        <f>""</f>
        <v/>
      </c>
      <c r="CV259" t="str">
        <f>""</f>
        <v/>
      </c>
      <c r="CW259" t="str">
        <f>""</f>
        <v/>
      </c>
      <c r="CX259" t="str">
        <f>""</f>
        <v/>
      </c>
      <c r="CY259" t="str">
        <f>""</f>
        <v/>
      </c>
      <c r="CZ259" t="str">
        <f>""</f>
        <v/>
      </c>
      <c r="DA259" t="str">
        <f>""</f>
        <v/>
      </c>
      <c r="DB259" t="str">
        <f>""</f>
        <v/>
      </c>
      <c r="DC259" t="str">
        <f>""</f>
        <v/>
      </c>
      <c r="DD259" t="str">
        <f>""</f>
        <v/>
      </c>
      <c r="DE259" t="str">
        <f>""</f>
        <v/>
      </c>
      <c r="DF259" t="str">
        <f>""</f>
        <v/>
      </c>
      <c r="DG259" t="str">
        <f>""</f>
        <v/>
      </c>
      <c r="DH259" t="str">
        <f>""</f>
        <v/>
      </c>
      <c r="DI259" t="str">
        <f>""</f>
        <v/>
      </c>
      <c r="DJ259" t="str">
        <f>""</f>
        <v/>
      </c>
      <c r="DK259" t="str">
        <f>""</f>
        <v/>
      </c>
      <c r="DL259" t="str">
        <f>""</f>
        <v/>
      </c>
      <c r="DM259" t="str">
        <f>""</f>
        <v/>
      </c>
      <c r="DN259" t="str">
        <f>""</f>
        <v/>
      </c>
      <c r="DO259" t="str">
        <f>""</f>
        <v/>
      </c>
      <c r="DP259" t="str">
        <f>""</f>
        <v/>
      </c>
      <c r="DQ259" t="str">
        <f>""</f>
        <v/>
      </c>
      <c r="DR259" t="str">
        <f>""</f>
        <v/>
      </c>
      <c r="DS259" t="str">
        <f>""</f>
        <v/>
      </c>
      <c r="DT259" t="str">
        <f>""</f>
        <v/>
      </c>
      <c r="DU259" t="str">
        <f>""</f>
        <v/>
      </c>
    </row>
    <row r="260" spans="1:125">
      <c r="A260" t="str">
        <f>$A$27</f>
        <v xml:space="preserve">    Manufactured Home REITs</v>
      </c>
      <c r="B260" t="str">
        <f>$B$27</f>
        <v>RECFFOMH Index</v>
      </c>
      <c r="C260" t="str">
        <f>$C$27</f>
        <v>PR005</v>
      </c>
      <c r="D260" t="str">
        <f>$D$27</f>
        <v>PX_LAST</v>
      </c>
      <c r="E260" t="str">
        <f>$E$27</f>
        <v>动态</v>
      </c>
      <c r="F260" t="str">
        <f ca="1">BDH($B$27,$C$27,$B$181,$B$182,CONCATENATE("Per=",$B$179),"Dts=H","Dir=H",CONCATENATE("Points=",$B$180),"Sort=R","Days=A","Fill=B",CONCATENATE("FX=", $B$178) )</f>
        <v>#N/A Authorization</v>
      </c>
      <c r="BN260" t="str">
        <f>""</f>
        <v/>
      </c>
      <c r="BO260" t="str">
        <f>""</f>
        <v/>
      </c>
      <c r="BP260" t="str">
        <f>""</f>
        <v/>
      </c>
      <c r="BQ260" t="str">
        <f>""</f>
        <v/>
      </c>
      <c r="BR260" t="str">
        <f>""</f>
        <v/>
      </c>
      <c r="BS260" t="str">
        <f>""</f>
        <v/>
      </c>
      <c r="BT260" t="str">
        <f>""</f>
        <v/>
      </c>
      <c r="BU260" t="str">
        <f>""</f>
        <v/>
      </c>
      <c r="BV260" t="str">
        <f>""</f>
        <v/>
      </c>
      <c r="BW260" t="str">
        <f>""</f>
        <v/>
      </c>
      <c r="BX260" t="str">
        <f>""</f>
        <v/>
      </c>
      <c r="BY260" t="str">
        <f>""</f>
        <v/>
      </c>
      <c r="BZ260" t="str">
        <f>""</f>
        <v/>
      </c>
      <c r="CA260" t="str">
        <f>""</f>
        <v/>
      </c>
      <c r="CB260" t="str">
        <f>""</f>
        <v/>
      </c>
      <c r="CC260" t="str">
        <f>""</f>
        <v/>
      </c>
      <c r="CD260" t="str">
        <f>""</f>
        <v/>
      </c>
      <c r="CE260" t="str">
        <f>""</f>
        <v/>
      </c>
      <c r="CF260" t="str">
        <f>""</f>
        <v/>
      </c>
      <c r="CG260" t="str">
        <f>""</f>
        <v/>
      </c>
      <c r="CH260" t="str">
        <f>""</f>
        <v/>
      </c>
      <c r="CI260" t="str">
        <f>""</f>
        <v/>
      </c>
      <c r="CJ260" t="str">
        <f>""</f>
        <v/>
      </c>
      <c r="CK260" t="str">
        <f>""</f>
        <v/>
      </c>
      <c r="CL260" t="str">
        <f>""</f>
        <v/>
      </c>
      <c r="CM260" t="str">
        <f>""</f>
        <v/>
      </c>
      <c r="CN260" t="str">
        <f>""</f>
        <v/>
      </c>
      <c r="CO260" t="str">
        <f>""</f>
        <v/>
      </c>
      <c r="CP260" t="str">
        <f>""</f>
        <v/>
      </c>
      <c r="CQ260" t="str">
        <f>""</f>
        <v/>
      </c>
      <c r="CR260" t="str">
        <f>""</f>
        <v/>
      </c>
      <c r="CS260" t="str">
        <f>""</f>
        <v/>
      </c>
      <c r="CT260" t="str">
        <f>""</f>
        <v/>
      </c>
      <c r="CU260" t="str">
        <f>""</f>
        <v/>
      </c>
      <c r="CV260" t="str">
        <f>""</f>
        <v/>
      </c>
      <c r="CW260" t="str">
        <f>""</f>
        <v/>
      </c>
      <c r="CX260" t="str">
        <f>""</f>
        <v/>
      </c>
      <c r="CY260" t="str">
        <f>""</f>
        <v/>
      </c>
      <c r="CZ260" t="str">
        <f>""</f>
        <v/>
      </c>
      <c r="DA260" t="str">
        <f>""</f>
        <v/>
      </c>
      <c r="DB260" t="str">
        <f>""</f>
        <v/>
      </c>
      <c r="DC260" t="str">
        <f>""</f>
        <v/>
      </c>
      <c r="DD260" t="str">
        <f>""</f>
        <v/>
      </c>
      <c r="DE260" t="str">
        <f>""</f>
        <v/>
      </c>
      <c r="DF260" t="str">
        <f>""</f>
        <v/>
      </c>
      <c r="DG260" t="str">
        <f>""</f>
        <v/>
      </c>
      <c r="DH260" t="str">
        <f>""</f>
        <v/>
      </c>
      <c r="DI260" t="str">
        <f>""</f>
        <v/>
      </c>
      <c r="DJ260" t="str">
        <f>""</f>
        <v/>
      </c>
      <c r="DK260" t="str">
        <f>""</f>
        <v/>
      </c>
      <c r="DL260" t="str">
        <f>""</f>
        <v/>
      </c>
      <c r="DM260" t="str">
        <f>""</f>
        <v/>
      </c>
      <c r="DN260" t="str">
        <f>""</f>
        <v/>
      </c>
      <c r="DO260" t="str">
        <f>""</f>
        <v/>
      </c>
      <c r="DP260" t="str">
        <f>""</f>
        <v/>
      </c>
      <c r="DQ260" t="str">
        <f>""</f>
        <v/>
      </c>
      <c r="DR260" t="str">
        <f>""</f>
        <v/>
      </c>
      <c r="DS260" t="str">
        <f>""</f>
        <v/>
      </c>
      <c r="DT260" t="str">
        <f>""</f>
        <v/>
      </c>
      <c r="DU260" t="str">
        <f>""</f>
        <v/>
      </c>
    </row>
    <row r="261" spans="1:125">
      <c r="A261" t="str">
        <f>$A$28</f>
        <v xml:space="preserve">    Single Family Rental REITs</v>
      </c>
      <c r="B261" t="str">
        <f>$B$28</f>
        <v>RECFFOSF Index</v>
      </c>
      <c r="C261" t="str">
        <f>$C$28</f>
        <v>PR005</v>
      </c>
      <c r="D261" t="str">
        <f>$D$28</f>
        <v>PX_LAST</v>
      </c>
      <c r="E261" t="str">
        <f>$E$28</f>
        <v>动态</v>
      </c>
      <c r="F261" t="str">
        <f ca="1">BDH($B$28,$C$28,$B$181,$B$182,CONCATENATE("Per=",$B$179),"Dts=H","Dir=H",CONCATENATE("Points=",$B$180),"Sort=R","Days=A","Fill=B",CONCATENATE("FX=", $B$178) )</f>
        <v>#N/A Authorization</v>
      </c>
      <c r="BN261" t="str">
        <f>""</f>
        <v/>
      </c>
      <c r="BO261" t="str">
        <f>""</f>
        <v/>
      </c>
      <c r="BP261" t="str">
        <f>""</f>
        <v/>
      </c>
      <c r="BQ261" t="str">
        <f>""</f>
        <v/>
      </c>
      <c r="BR261" t="str">
        <f>""</f>
        <v/>
      </c>
      <c r="BS261" t="str">
        <f>""</f>
        <v/>
      </c>
      <c r="BT261" t="str">
        <f>""</f>
        <v/>
      </c>
      <c r="BU261" t="str">
        <f>""</f>
        <v/>
      </c>
      <c r="BV261" t="str">
        <f>""</f>
        <v/>
      </c>
      <c r="BW261" t="str">
        <f>""</f>
        <v/>
      </c>
      <c r="BX261" t="str">
        <f>""</f>
        <v/>
      </c>
      <c r="BY261" t="str">
        <f>""</f>
        <v/>
      </c>
      <c r="BZ261" t="str">
        <f>""</f>
        <v/>
      </c>
      <c r="CA261" t="str">
        <f>""</f>
        <v/>
      </c>
      <c r="CB261" t="str">
        <f>""</f>
        <v/>
      </c>
      <c r="CC261" t="str">
        <f>""</f>
        <v/>
      </c>
      <c r="CD261" t="str">
        <f>""</f>
        <v/>
      </c>
      <c r="CE261" t="str">
        <f>""</f>
        <v/>
      </c>
      <c r="CF261" t="str">
        <f>""</f>
        <v/>
      </c>
      <c r="CG261" t="str">
        <f>""</f>
        <v/>
      </c>
      <c r="CH261" t="str">
        <f>""</f>
        <v/>
      </c>
      <c r="CI261" t="str">
        <f>""</f>
        <v/>
      </c>
      <c r="CJ261" t="str">
        <f>""</f>
        <v/>
      </c>
      <c r="CK261" t="str">
        <f>""</f>
        <v/>
      </c>
      <c r="CL261" t="str">
        <f>""</f>
        <v/>
      </c>
      <c r="CM261" t="str">
        <f>""</f>
        <v/>
      </c>
      <c r="CN261" t="str">
        <f>""</f>
        <v/>
      </c>
      <c r="CO261" t="str">
        <f>""</f>
        <v/>
      </c>
      <c r="CP261" t="str">
        <f>""</f>
        <v/>
      </c>
      <c r="CQ261" t="str">
        <f>""</f>
        <v/>
      </c>
      <c r="CR261" t="str">
        <f>""</f>
        <v/>
      </c>
      <c r="CS261" t="str">
        <f>""</f>
        <v/>
      </c>
      <c r="CT261" t="str">
        <f>""</f>
        <v/>
      </c>
      <c r="CU261" t="str">
        <f>""</f>
        <v/>
      </c>
      <c r="CV261" t="str">
        <f>""</f>
        <v/>
      </c>
      <c r="CW261" t="str">
        <f>""</f>
        <v/>
      </c>
      <c r="CX261" t="str">
        <f>""</f>
        <v/>
      </c>
      <c r="CY261" t="str">
        <f>""</f>
        <v/>
      </c>
      <c r="CZ261" t="str">
        <f>""</f>
        <v/>
      </c>
      <c r="DA261" t="str">
        <f>""</f>
        <v/>
      </c>
      <c r="DB261" t="str">
        <f>""</f>
        <v/>
      </c>
      <c r="DC261" t="str">
        <f>""</f>
        <v/>
      </c>
      <c r="DD261" t="str">
        <f>""</f>
        <v/>
      </c>
      <c r="DE261" t="str">
        <f>""</f>
        <v/>
      </c>
      <c r="DF261" t="str">
        <f>""</f>
        <v/>
      </c>
      <c r="DG261" t="str">
        <f>""</f>
        <v/>
      </c>
      <c r="DH261" t="str">
        <f>""</f>
        <v/>
      </c>
      <c r="DI261" t="str">
        <f>""</f>
        <v/>
      </c>
      <c r="DJ261" t="str">
        <f>""</f>
        <v/>
      </c>
      <c r="DK261" t="str">
        <f>""</f>
        <v/>
      </c>
      <c r="DL261" t="str">
        <f>""</f>
        <v/>
      </c>
      <c r="DM261" t="str">
        <f>""</f>
        <v/>
      </c>
      <c r="DN261" t="str">
        <f>""</f>
        <v/>
      </c>
      <c r="DO261" t="str">
        <f>""</f>
        <v/>
      </c>
      <c r="DP261" t="str">
        <f>""</f>
        <v/>
      </c>
      <c r="DQ261" t="str">
        <f>""</f>
        <v/>
      </c>
      <c r="DR261" t="str">
        <f>""</f>
        <v/>
      </c>
      <c r="DS261" t="str">
        <f>""</f>
        <v/>
      </c>
      <c r="DT261" t="str">
        <f>""</f>
        <v/>
      </c>
      <c r="DU261" t="str">
        <f>""</f>
        <v/>
      </c>
    </row>
    <row r="262" spans="1:125">
      <c r="A262" t="str">
        <f>$A$29</f>
        <v xml:space="preserve">    Diversified REITs</v>
      </c>
      <c r="B262" t="str">
        <f>$B$29</f>
        <v>RECFFODV Index</v>
      </c>
      <c r="C262" t="str">
        <f>$C$29</f>
        <v>PR005</v>
      </c>
      <c r="D262" t="str">
        <f>$D$29</f>
        <v>PX_LAST</v>
      </c>
      <c r="E262" t="str">
        <f>$E$29</f>
        <v>动态</v>
      </c>
      <c r="F262" t="str">
        <f ca="1">BDH($B$29,$C$29,$B$181,$B$182,CONCATENATE("Per=",$B$179),"Dts=H","Dir=H",CONCATENATE("Points=",$B$180),"Sort=R","Days=A","Fill=B",CONCATENATE("FX=", $B$178) )</f>
        <v>#N/A Authorization</v>
      </c>
      <c r="BN262" t="str">
        <f>""</f>
        <v/>
      </c>
      <c r="BO262" t="str">
        <f>""</f>
        <v/>
      </c>
      <c r="BP262" t="str">
        <f>""</f>
        <v/>
      </c>
      <c r="BQ262" t="str">
        <f>""</f>
        <v/>
      </c>
      <c r="BR262" t="str">
        <f>""</f>
        <v/>
      </c>
      <c r="BS262" t="str">
        <f>""</f>
        <v/>
      </c>
      <c r="BT262" t="str">
        <f>""</f>
        <v/>
      </c>
      <c r="BU262" t="str">
        <f>""</f>
        <v/>
      </c>
      <c r="BV262" t="str">
        <f>""</f>
        <v/>
      </c>
      <c r="BW262" t="str">
        <f>""</f>
        <v/>
      </c>
      <c r="BX262" t="str">
        <f>""</f>
        <v/>
      </c>
      <c r="BY262" t="str">
        <f>""</f>
        <v/>
      </c>
      <c r="BZ262" t="str">
        <f>""</f>
        <v/>
      </c>
      <c r="CA262" t="str">
        <f>""</f>
        <v/>
      </c>
      <c r="CB262" t="str">
        <f>""</f>
        <v/>
      </c>
      <c r="CC262" t="str">
        <f>""</f>
        <v/>
      </c>
      <c r="CD262" t="str">
        <f>""</f>
        <v/>
      </c>
      <c r="CE262" t="str">
        <f>""</f>
        <v/>
      </c>
      <c r="CF262" t="str">
        <f>""</f>
        <v/>
      </c>
      <c r="CG262" t="str">
        <f>""</f>
        <v/>
      </c>
      <c r="CH262" t="str">
        <f>""</f>
        <v/>
      </c>
      <c r="CI262" t="str">
        <f>""</f>
        <v/>
      </c>
      <c r="CJ262" t="str">
        <f>""</f>
        <v/>
      </c>
      <c r="CK262" t="str">
        <f>""</f>
        <v/>
      </c>
      <c r="CL262" t="str">
        <f>""</f>
        <v/>
      </c>
      <c r="CM262" t="str">
        <f>""</f>
        <v/>
      </c>
      <c r="CN262" t="str">
        <f>""</f>
        <v/>
      </c>
      <c r="CO262" t="str">
        <f>""</f>
        <v/>
      </c>
      <c r="CP262" t="str">
        <f>""</f>
        <v/>
      </c>
      <c r="CQ262" t="str">
        <f>""</f>
        <v/>
      </c>
      <c r="CR262" t="str">
        <f>""</f>
        <v/>
      </c>
      <c r="CS262" t="str">
        <f>""</f>
        <v/>
      </c>
      <c r="CT262" t="str">
        <f>""</f>
        <v/>
      </c>
      <c r="CU262" t="str">
        <f>""</f>
        <v/>
      </c>
      <c r="CV262" t="str">
        <f>""</f>
        <v/>
      </c>
      <c r="CW262" t="str">
        <f>""</f>
        <v/>
      </c>
      <c r="CX262" t="str">
        <f>""</f>
        <v/>
      </c>
      <c r="CY262" t="str">
        <f>""</f>
        <v/>
      </c>
      <c r="CZ262" t="str">
        <f>""</f>
        <v/>
      </c>
      <c r="DA262" t="str">
        <f>""</f>
        <v/>
      </c>
      <c r="DB262" t="str">
        <f>""</f>
        <v/>
      </c>
      <c r="DC262" t="str">
        <f>""</f>
        <v/>
      </c>
      <c r="DD262" t="str">
        <f>""</f>
        <v/>
      </c>
      <c r="DE262" t="str">
        <f>""</f>
        <v/>
      </c>
      <c r="DF262" t="str">
        <f>""</f>
        <v/>
      </c>
      <c r="DG262" t="str">
        <f>""</f>
        <v/>
      </c>
      <c r="DH262" t="str">
        <f>""</f>
        <v/>
      </c>
      <c r="DI262" t="str">
        <f>""</f>
        <v/>
      </c>
      <c r="DJ262" t="str">
        <f>""</f>
        <v/>
      </c>
      <c r="DK262" t="str">
        <f>""</f>
        <v/>
      </c>
      <c r="DL262" t="str">
        <f>""</f>
        <v/>
      </c>
      <c r="DM262" t="str">
        <f>""</f>
        <v/>
      </c>
      <c r="DN262" t="str">
        <f>""</f>
        <v/>
      </c>
      <c r="DO262" t="str">
        <f>""</f>
        <v/>
      </c>
      <c r="DP262" t="str">
        <f>""</f>
        <v/>
      </c>
      <c r="DQ262" t="str">
        <f>""</f>
        <v/>
      </c>
      <c r="DR262" t="str">
        <f>""</f>
        <v/>
      </c>
      <c r="DS262" t="str">
        <f>""</f>
        <v/>
      </c>
      <c r="DT262" t="str">
        <f>""</f>
        <v/>
      </c>
      <c r="DU262" t="str">
        <f>""</f>
        <v/>
      </c>
    </row>
    <row r="263" spans="1:125">
      <c r="A263" t="str">
        <f>$A$30</f>
        <v xml:space="preserve">    Lodging/Resort REITs</v>
      </c>
      <c r="B263" t="str">
        <f>$B$30</f>
        <v>RECFFOLR Index</v>
      </c>
      <c r="C263" t="str">
        <f>$C$30</f>
        <v>PR005</v>
      </c>
      <c r="D263" t="str">
        <f>$D$30</f>
        <v>PX_LAST</v>
      </c>
      <c r="E263" t="str">
        <f>$E$30</f>
        <v>动态</v>
      </c>
      <c r="F263" t="str">
        <f ca="1">BDH($B$30,$C$30,$B$181,$B$182,CONCATENATE("Per=",$B$179),"Dts=H","Dir=H",CONCATENATE("Points=",$B$180),"Sort=R","Days=A","Fill=B",CONCATENATE("FX=", $B$178) )</f>
        <v>#N/A Authorization</v>
      </c>
      <c r="BN263" t="str">
        <f>""</f>
        <v/>
      </c>
      <c r="BO263" t="str">
        <f>""</f>
        <v/>
      </c>
      <c r="BP263" t="str">
        <f>""</f>
        <v/>
      </c>
      <c r="BQ263" t="str">
        <f>""</f>
        <v/>
      </c>
      <c r="BR263" t="str">
        <f>""</f>
        <v/>
      </c>
      <c r="BS263" t="str">
        <f>""</f>
        <v/>
      </c>
      <c r="BT263" t="str">
        <f>""</f>
        <v/>
      </c>
      <c r="BU263" t="str">
        <f>""</f>
        <v/>
      </c>
      <c r="BV263" t="str">
        <f>""</f>
        <v/>
      </c>
      <c r="BW263" t="str">
        <f>""</f>
        <v/>
      </c>
      <c r="BX263" t="str">
        <f>""</f>
        <v/>
      </c>
      <c r="BY263" t="str">
        <f>""</f>
        <v/>
      </c>
      <c r="BZ263" t="str">
        <f>""</f>
        <v/>
      </c>
      <c r="CA263" t="str">
        <f>""</f>
        <v/>
      </c>
      <c r="CB263" t="str">
        <f>""</f>
        <v/>
      </c>
      <c r="CC263" t="str">
        <f>""</f>
        <v/>
      </c>
      <c r="CD263" t="str">
        <f>""</f>
        <v/>
      </c>
      <c r="CE263" t="str">
        <f>""</f>
        <v/>
      </c>
      <c r="CF263" t="str">
        <f>""</f>
        <v/>
      </c>
      <c r="CG263" t="str">
        <f>""</f>
        <v/>
      </c>
      <c r="CH263" t="str">
        <f>""</f>
        <v/>
      </c>
      <c r="CI263" t="str">
        <f>""</f>
        <v/>
      </c>
      <c r="CJ263" t="str">
        <f>""</f>
        <v/>
      </c>
      <c r="CK263" t="str">
        <f>""</f>
        <v/>
      </c>
      <c r="CL263" t="str">
        <f>""</f>
        <v/>
      </c>
      <c r="CM263" t="str">
        <f>""</f>
        <v/>
      </c>
      <c r="CN263" t="str">
        <f>""</f>
        <v/>
      </c>
      <c r="CO263" t="str">
        <f>""</f>
        <v/>
      </c>
      <c r="CP263" t="str">
        <f>""</f>
        <v/>
      </c>
      <c r="CQ263" t="str">
        <f>""</f>
        <v/>
      </c>
      <c r="CR263" t="str">
        <f>""</f>
        <v/>
      </c>
      <c r="CS263" t="str">
        <f>""</f>
        <v/>
      </c>
      <c r="CT263" t="str">
        <f>""</f>
        <v/>
      </c>
      <c r="CU263" t="str">
        <f>""</f>
        <v/>
      </c>
      <c r="CV263" t="str">
        <f>""</f>
        <v/>
      </c>
      <c r="CW263" t="str">
        <f>""</f>
        <v/>
      </c>
      <c r="CX263" t="str">
        <f>""</f>
        <v/>
      </c>
      <c r="CY263" t="str">
        <f>""</f>
        <v/>
      </c>
      <c r="CZ263" t="str">
        <f>""</f>
        <v/>
      </c>
      <c r="DA263" t="str">
        <f>""</f>
        <v/>
      </c>
      <c r="DB263" t="str">
        <f>""</f>
        <v/>
      </c>
      <c r="DC263" t="str">
        <f>""</f>
        <v/>
      </c>
      <c r="DD263" t="str">
        <f>""</f>
        <v/>
      </c>
      <c r="DE263" t="str">
        <f>""</f>
        <v/>
      </c>
      <c r="DF263" t="str">
        <f>""</f>
        <v/>
      </c>
      <c r="DG263" t="str">
        <f>""</f>
        <v/>
      </c>
      <c r="DH263" t="str">
        <f>""</f>
        <v/>
      </c>
      <c r="DI263" t="str">
        <f>""</f>
        <v/>
      </c>
      <c r="DJ263" t="str">
        <f>""</f>
        <v/>
      </c>
      <c r="DK263" t="str">
        <f>""</f>
        <v/>
      </c>
      <c r="DL263" t="str">
        <f>""</f>
        <v/>
      </c>
      <c r="DM263" t="str">
        <f>""</f>
        <v/>
      </c>
      <c r="DN263" t="str">
        <f>""</f>
        <v/>
      </c>
      <c r="DO263" t="str">
        <f>""</f>
        <v/>
      </c>
      <c r="DP263" t="str">
        <f>""</f>
        <v/>
      </c>
      <c r="DQ263" t="str">
        <f>""</f>
        <v/>
      </c>
      <c r="DR263" t="str">
        <f>""</f>
        <v/>
      </c>
      <c r="DS263" t="str">
        <f>""</f>
        <v/>
      </c>
      <c r="DT263" t="str">
        <f>""</f>
        <v/>
      </c>
      <c r="DU263" t="str">
        <f>""</f>
        <v/>
      </c>
    </row>
    <row r="264" spans="1:125">
      <c r="A264" t="str">
        <f>$A$31</f>
        <v xml:space="preserve">    Self Storage REITs</v>
      </c>
      <c r="B264" t="str">
        <f>$B$31</f>
        <v>RECFFOSS Index</v>
      </c>
      <c r="C264" t="str">
        <f>$C$31</f>
        <v>PR005</v>
      </c>
      <c r="D264" t="str">
        <f>$D$31</f>
        <v>PX_LAST</v>
      </c>
      <c r="E264" t="str">
        <f>$E$31</f>
        <v>动态</v>
      </c>
      <c r="F264" t="str">
        <f ca="1">BDH($B$31,$C$31,$B$181,$B$182,CONCATENATE("Per=",$B$179),"Dts=H","Dir=H",CONCATENATE("Points=",$B$180),"Sort=R","Days=A","Fill=B",CONCATENATE("FX=", $B$178) )</f>
        <v>#N/A Authorization</v>
      </c>
      <c r="BN264" t="str">
        <f>""</f>
        <v/>
      </c>
      <c r="BO264" t="str">
        <f>""</f>
        <v/>
      </c>
      <c r="BP264" t="str">
        <f>""</f>
        <v/>
      </c>
      <c r="BQ264" t="str">
        <f>""</f>
        <v/>
      </c>
      <c r="BR264" t="str">
        <f>""</f>
        <v/>
      </c>
      <c r="BS264" t="str">
        <f>""</f>
        <v/>
      </c>
      <c r="BT264" t="str">
        <f>""</f>
        <v/>
      </c>
      <c r="BU264" t="str">
        <f>""</f>
        <v/>
      </c>
      <c r="BV264" t="str">
        <f>""</f>
        <v/>
      </c>
      <c r="BW264" t="str">
        <f>""</f>
        <v/>
      </c>
      <c r="BX264" t="str">
        <f>""</f>
        <v/>
      </c>
      <c r="BY264" t="str">
        <f>""</f>
        <v/>
      </c>
      <c r="BZ264" t="str">
        <f>""</f>
        <v/>
      </c>
      <c r="CA264" t="str">
        <f>""</f>
        <v/>
      </c>
      <c r="CB264" t="str">
        <f>""</f>
        <v/>
      </c>
      <c r="CC264" t="str">
        <f>""</f>
        <v/>
      </c>
      <c r="CD264" t="str">
        <f>""</f>
        <v/>
      </c>
      <c r="CE264" t="str">
        <f>""</f>
        <v/>
      </c>
      <c r="CF264" t="str">
        <f>""</f>
        <v/>
      </c>
      <c r="CG264" t="str">
        <f>""</f>
        <v/>
      </c>
      <c r="CH264" t="str">
        <f>""</f>
        <v/>
      </c>
      <c r="CI264" t="str">
        <f>""</f>
        <v/>
      </c>
      <c r="CJ264" t="str">
        <f>""</f>
        <v/>
      </c>
      <c r="CK264" t="str">
        <f>""</f>
        <v/>
      </c>
      <c r="CL264" t="str">
        <f>""</f>
        <v/>
      </c>
      <c r="CM264" t="str">
        <f>""</f>
        <v/>
      </c>
      <c r="CN264" t="str">
        <f>""</f>
        <v/>
      </c>
      <c r="CO264" t="str">
        <f>""</f>
        <v/>
      </c>
      <c r="CP264" t="str">
        <f>""</f>
        <v/>
      </c>
      <c r="CQ264" t="str">
        <f>""</f>
        <v/>
      </c>
      <c r="CR264" t="str">
        <f>""</f>
        <v/>
      </c>
      <c r="CS264" t="str">
        <f>""</f>
        <v/>
      </c>
      <c r="CT264" t="str">
        <f>""</f>
        <v/>
      </c>
      <c r="CU264" t="str">
        <f>""</f>
        <v/>
      </c>
      <c r="CV264" t="str">
        <f>""</f>
        <v/>
      </c>
      <c r="CW264" t="str">
        <f>""</f>
        <v/>
      </c>
      <c r="CX264" t="str">
        <f>""</f>
        <v/>
      </c>
      <c r="CY264" t="str">
        <f>""</f>
        <v/>
      </c>
      <c r="CZ264" t="str">
        <f>""</f>
        <v/>
      </c>
      <c r="DA264" t="str">
        <f>""</f>
        <v/>
      </c>
      <c r="DB264" t="str">
        <f>""</f>
        <v/>
      </c>
      <c r="DC264" t="str">
        <f>""</f>
        <v/>
      </c>
      <c r="DD264" t="str">
        <f>""</f>
        <v/>
      </c>
      <c r="DE264" t="str">
        <f>""</f>
        <v/>
      </c>
      <c r="DF264" t="str">
        <f>""</f>
        <v/>
      </c>
      <c r="DG264" t="str">
        <f>""</f>
        <v/>
      </c>
      <c r="DH264" t="str">
        <f>""</f>
        <v/>
      </c>
      <c r="DI264" t="str">
        <f>""</f>
        <v/>
      </c>
      <c r="DJ264" t="str">
        <f>""</f>
        <v/>
      </c>
      <c r="DK264" t="str">
        <f>""</f>
        <v/>
      </c>
      <c r="DL264" t="str">
        <f>""</f>
        <v/>
      </c>
      <c r="DM264" t="str">
        <f>""</f>
        <v/>
      </c>
      <c r="DN264" t="str">
        <f>""</f>
        <v/>
      </c>
      <c r="DO264" t="str">
        <f>""</f>
        <v/>
      </c>
      <c r="DP264" t="str">
        <f>""</f>
        <v/>
      </c>
      <c r="DQ264" t="str">
        <f>""</f>
        <v/>
      </c>
      <c r="DR264" t="str">
        <f>""</f>
        <v/>
      </c>
      <c r="DS264" t="str">
        <f>""</f>
        <v/>
      </c>
      <c r="DT264" t="str">
        <f>""</f>
        <v/>
      </c>
      <c r="DU264" t="str">
        <f>""</f>
        <v/>
      </c>
    </row>
    <row r="265" spans="1:125">
      <c r="A265" t="str">
        <f>$A$32</f>
        <v xml:space="preserve">    Health Care REITs</v>
      </c>
      <c r="B265" t="str">
        <f>$B$32</f>
        <v>RECFFOHC Index</v>
      </c>
      <c r="C265" t="str">
        <f>$C$32</f>
        <v>PR005</v>
      </c>
      <c r="D265" t="str">
        <f>$D$32</f>
        <v>PX_LAST</v>
      </c>
      <c r="E265" t="str">
        <f>$E$32</f>
        <v>动态</v>
      </c>
      <c r="F265" t="str">
        <f ca="1">BDH($B$32,$C$32,$B$181,$B$182,CONCATENATE("Per=",$B$179),"Dts=H","Dir=H",CONCATENATE("Points=",$B$180),"Sort=R","Days=A","Fill=B",CONCATENATE("FX=", $B$178) )</f>
        <v>#N/A Authorization</v>
      </c>
      <c r="BN265" t="str">
        <f>""</f>
        <v/>
      </c>
      <c r="BO265" t="str">
        <f>""</f>
        <v/>
      </c>
      <c r="BP265" t="str">
        <f>""</f>
        <v/>
      </c>
      <c r="BQ265" t="str">
        <f>""</f>
        <v/>
      </c>
      <c r="BR265" t="str">
        <f>""</f>
        <v/>
      </c>
      <c r="BS265" t="str">
        <f>""</f>
        <v/>
      </c>
      <c r="BT265" t="str">
        <f>""</f>
        <v/>
      </c>
      <c r="BU265" t="str">
        <f>""</f>
        <v/>
      </c>
      <c r="BV265" t="str">
        <f>""</f>
        <v/>
      </c>
      <c r="BW265" t="str">
        <f>""</f>
        <v/>
      </c>
      <c r="BX265" t="str">
        <f>""</f>
        <v/>
      </c>
      <c r="BY265" t="str">
        <f>""</f>
        <v/>
      </c>
      <c r="BZ265" t="str">
        <f>""</f>
        <v/>
      </c>
      <c r="CA265" t="str">
        <f>""</f>
        <v/>
      </c>
      <c r="CB265" t="str">
        <f>""</f>
        <v/>
      </c>
      <c r="CC265" t="str">
        <f>""</f>
        <v/>
      </c>
      <c r="CD265" t="str">
        <f>""</f>
        <v/>
      </c>
      <c r="CE265" t="str">
        <f>""</f>
        <v/>
      </c>
      <c r="CF265" t="str">
        <f>""</f>
        <v/>
      </c>
      <c r="CG265" t="str">
        <f>""</f>
        <v/>
      </c>
      <c r="CH265" t="str">
        <f>""</f>
        <v/>
      </c>
      <c r="CI265" t="str">
        <f>""</f>
        <v/>
      </c>
      <c r="CJ265" t="str">
        <f>""</f>
        <v/>
      </c>
      <c r="CK265" t="str">
        <f>""</f>
        <v/>
      </c>
      <c r="CL265" t="str">
        <f>""</f>
        <v/>
      </c>
      <c r="CM265" t="str">
        <f>""</f>
        <v/>
      </c>
      <c r="CN265" t="str">
        <f>""</f>
        <v/>
      </c>
      <c r="CO265" t="str">
        <f>""</f>
        <v/>
      </c>
      <c r="CP265" t="str">
        <f>""</f>
        <v/>
      </c>
      <c r="CQ265" t="str">
        <f>""</f>
        <v/>
      </c>
      <c r="CR265" t="str">
        <f>""</f>
        <v/>
      </c>
      <c r="CS265" t="str">
        <f>""</f>
        <v/>
      </c>
      <c r="CT265" t="str">
        <f>""</f>
        <v/>
      </c>
      <c r="CU265" t="str">
        <f>""</f>
        <v/>
      </c>
      <c r="CV265" t="str">
        <f>""</f>
        <v/>
      </c>
      <c r="CW265" t="str">
        <f>""</f>
        <v/>
      </c>
      <c r="CX265" t="str">
        <f>""</f>
        <v/>
      </c>
      <c r="CY265" t="str">
        <f>""</f>
        <v/>
      </c>
      <c r="CZ265" t="str">
        <f>""</f>
        <v/>
      </c>
      <c r="DA265" t="str">
        <f>""</f>
        <v/>
      </c>
      <c r="DB265" t="str">
        <f>""</f>
        <v/>
      </c>
      <c r="DC265" t="str">
        <f>""</f>
        <v/>
      </c>
      <c r="DD265" t="str">
        <f>""</f>
        <v/>
      </c>
      <c r="DE265" t="str">
        <f>""</f>
        <v/>
      </c>
      <c r="DF265" t="str">
        <f>""</f>
        <v/>
      </c>
      <c r="DG265" t="str">
        <f>""</f>
        <v/>
      </c>
      <c r="DH265" t="str">
        <f>""</f>
        <v/>
      </c>
      <c r="DI265" t="str">
        <f>""</f>
        <v/>
      </c>
      <c r="DJ265" t="str">
        <f>""</f>
        <v/>
      </c>
      <c r="DK265" t="str">
        <f>""</f>
        <v/>
      </c>
      <c r="DL265" t="str">
        <f>""</f>
        <v/>
      </c>
      <c r="DM265" t="str">
        <f>""</f>
        <v/>
      </c>
      <c r="DN265" t="str">
        <f>""</f>
        <v/>
      </c>
      <c r="DO265" t="str">
        <f>""</f>
        <v/>
      </c>
      <c r="DP265" t="str">
        <f>""</f>
        <v/>
      </c>
      <c r="DQ265" t="str">
        <f>""</f>
        <v/>
      </c>
      <c r="DR265" t="str">
        <f>""</f>
        <v/>
      </c>
      <c r="DS265" t="str">
        <f>""</f>
        <v/>
      </c>
      <c r="DT265" t="str">
        <f>""</f>
        <v/>
      </c>
      <c r="DU265" t="str">
        <f>""</f>
        <v/>
      </c>
    </row>
    <row r="266" spans="1:125">
      <c r="A266" t="str">
        <f>$A$33</f>
        <v xml:space="preserve">    Data Center REITs</v>
      </c>
      <c r="B266" t="str">
        <f>$B$33</f>
        <v>RECFFODC Index</v>
      </c>
      <c r="C266" t="str">
        <f>$C$33</f>
        <v>PR005</v>
      </c>
      <c r="D266" t="str">
        <f>$D$33</f>
        <v>PX_LAST</v>
      </c>
      <c r="E266" t="str">
        <f>$E$33</f>
        <v>动态</v>
      </c>
      <c r="F266" t="str">
        <f ca="1">BDH($B$33,$C$33,$B$181,$B$182,CONCATENATE("Per=",$B$179),"Dts=H","Dir=H",CONCATENATE("Points=",$B$180),"Sort=R","Days=A","Fill=B",CONCATENATE("FX=", $B$178) )</f>
        <v>#N/A Authorization</v>
      </c>
      <c r="BN266" t="str">
        <f>""</f>
        <v/>
      </c>
      <c r="BO266" t="str">
        <f>""</f>
        <v/>
      </c>
      <c r="BP266" t="str">
        <f>""</f>
        <v/>
      </c>
      <c r="BQ266" t="str">
        <f>""</f>
        <v/>
      </c>
      <c r="BR266" t="str">
        <f>""</f>
        <v/>
      </c>
      <c r="BS266" t="str">
        <f>""</f>
        <v/>
      </c>
      <c r="BT266" t="str">
        <f>""</f>
        <v/>
      </c>
      <c r="BU266" t="str">
        <f>""</f>
        <v/>
      </c>
      <c r="BV266" t="str">
        <f>""</f>
        <v/>
      </c>
      <c r="BW266" t="str">
        <f>""</f>
        <v/>
      </c>
      <c r="BX266" t="str">
        <f>""</f>
        <v/>
      </c>
      <c r="BY266" t="str">
        <f>""</f>
        <v/>
      </c>
      <c r="BZ266" t="str">
        <f>""</f>
        <v/>
      </c>
      <c r="CA266" t="str">
        <f>""</f>
        <v/>
      </c>
      <c r="CB266" t="str">
        <f>""</f>
        <v/>
      </c>
      <c r="CC266" t="str">
        <f>""</f>
        <v/>
      </c>
      <c r="CD266" t="str">
        <f>""</f>
        <v/>
      </c>
      <c r="CE266" t="str">
        <f>""</f>
        <v/>
      </c>
      <c r="CF266" t="str">
        <f>""</f>
        <v/>
      </c>
      <c r="CG266" t="str">
        <f>""</f>
        <v/>
      </c>
      <c r="CH266" t="str">
        <f>""</f>
        <v/>
      </c>
      <c r="CI266" t="str">
        <f>""</f>
        <v/>
      </c>
      <c r="CJ266" t="str">
        <f>""</f>
        <v/>
      </c>
      <c r="CK266" t="str">
        <f>""</f>
        <v/>
      </c>
      <c r="CL266" t="str">
        <f>""</f>
        <v/>
      </c>
      <c r="CM266" t="str">
        <f>""</f>
        <v/>
      </c>
      <c r="CN266" t="str">
        <f>""</f>
        <v/>
      </c>
      <c r="CO266" t="str">
        <f>""</f>
        <v/>
      </c>
      <c r="CP266" t="str">
        <f>""</f>
        <v/>
      </c>
      <c r="CQ266" t="str">
        <f>""</f>
        <v/>
      </c>
      <c r="CR266" t="str">
        <f>""</f>
        <v/>
      </c>
      <c r="CS266" t="str">
        <f>""</f>
        <v/>
      </c>
      <c r="CT266" t="str">
        <f>""</f>
        <v/>
      </c>
      <c r="CU266" t="str">
        <f>""</f>
        <v/>
      </c>
      <c r="CV266" t="str">
        <f>""</f>
        <v/>
      </c>
      <c r="CW266" t="str">
        <f>""</f>
        <v/>
      </c>
      <c r="CX266" t="str">
        <f>""</f>
        <v/>
      </c>
      <c r="CY266" t="str">
        <f>""</f>
        <v/>
      </c>
      <c r="CZ266" t="str">
        <f>""</f>
        <v/>
      </c>
      <c r="DA266" t="str">
        <f>""</f>
        <v/>
      </c>
      <c r="DB266" t="str">
        <f>""</f>
        <v/>
      </c>
      <c r="DC266" t="str">
        <f>""</f>
        <v/>
      </c>
      <c r="DD266" t="str">
        <f>""</f>
        <v/>
      </c>
      <c r="DE266" t="str">
        <f>""</f>
        <v/>
      </c>
      <c r="DF266" t="str">
        <f>""</f>
        <v/>
      </c>
      <c r="DG266" t="str">
        <f>""</f>
        <v/>
      </c>
      <c r="DH266" t="str">
        <f>""</f>
        <v/>
      </c>
      <c r="DI266" t="str">
        <f>""</f>
        <v/>
      </c>
      <c r="DJ266" t="str">
        <f>""</f>
        <v/>
      </c>
      <c r="DK266" t="str">
        <f>""</f>
        <v/>
      </c>
      <c r="DL266" t="str">
        <f>""</f>
        <v/>
      </c>
      <c r="DM266" t="str">
        <f>""</f>
        <v/>
      </c>
      <c r="DN266" t="str">
        <f>""</f>
        <v/>
      </c>
      <c r="DO266" t="str">
        <f>""</f>
        <v/>
      </c>
      <c r="DP266" t="str">
        <f>""</f>
        <v/>
      </c>
      <c r="DQ266" t="str">
        <f>""</f>
        <v/>
      </c>
      <c r="DR266" t="str">
        <f>""</f>
        <v/>
      </c>
      <c r="DS266" t="str">
        <f>""</f>
        <v/>
      </c>
      <c r="DT266" t="str">
        <f>""</f>
        <v/>
      </c>
      <c r="DU266" t="str">
        <f>""</f>
        <v/>
      </c>
    </row>
    <row r="267" spans="1:125">
      <c r="A267" t="str">
        <f>$A$34</f>
        <v xml:space="preserve">    Specialty REITs</v>
      </c>
      <c r="B267" t="str">
        <f>$B$34</f>
        <v>RECFFOSP Index</v>
      </c>
      <c r="C267" t="str">
        <f>$C$34</f>
        <v>PR005</v>
      </c>
      <c r="D267" t="str">
        <f>$D$34</f>
        <v>PX_LAST</v>
      </c>
      <c r="E267" t="str">
        <f>$E$34</f>
        <v>动态</v>
      </c>
      <c r="F267" t="str">
        <f ca="1">BDH($B$34,$C$34,$B$181,$B$182,CONCATENATE("Per=",$B$179),"Dts=H","Dir=H",CONCATENATE("Points=",$B$180),"Sort=R","Days=A","Fill=B",CONCATENATE("FX=", $B$178) )</f>
        <v>#N/A Authorization</v>
      </c>
      <c r="BN267" t="str">
        <f>""</f>
        <v/>
      </c>
      <c r="BO267" t="str">
        <f>""</f>
        <v/>
      </c>
      <c r="BP267" t="str">
        <f>""</f>
        <v/>
      </c>
      <c r="BQ267" t="str">
        <f>""</f>
        <v/>
      </c>
      <c r="BR267" t="str">
        <f>""</f>
        <v/>
      </c>
      <c r="BS267" t="str">
        <f>""</f>
        <v/>
      </c>
      <c r="BT267" t="str">
        <f>""</f>
        <v/>
      </c>
      <c r="BU267" t="str">
        <f>""</f>
        <v/>
      </c>
      <c r="BV267" t="str">
        <f>""</f>
        <v/>
      </c>
      <c r="BW267" t="str">
        <f>""</f>
        <v/>
      </c>
      <c r="BX267" t="str">
        <f>""</f>
        <v/>
      </c>
      <c r="BY267" t="str">
        <f>""</f>
        <v/>
      </c>
      <c r="BZ267" t="str">
        <f>""</f>
        <v/>
      </c>
      <c r="CA267" t="str">
        <f>""</f>
        <v/>
      </c>
      <c r="CB267" t="str">
        <f>""</f>
        <v/>
      </c>
      <c r="CC267" t="str">
        <f>""</f>
        <v/>
      </c>
      <c r="CD267" t="str">
        <f>""</f>
        <v/>
      </c>
      <c r="CE267" t="str">
        <f>""</f>
        <v/>
      </c>
      <c r="CF267" t="str">
        <f>""</f>
        <v/>
      </c>
      <c r="CG267" t="str">
        <f>""</f>
        <v/>
      </c>
      <c r="CH267" t="str">
        <f>""</f>
        <v/>
      </c>
      <c r="CI267" t="str">
        <f>""</f>
        <v/>
      </c>
      <c r="CJ267" t="str">
        <f>""</f>
        <v/>
      </c>
      <c r="CK267" t="str">
        <f>""</f>
        <v/>
      </c>
      <c r="CL267" t="str">
        <f>""</f>
        <v/>
      </c>
      <c r="CM267" t="str">
        <f>""</f>
        <v/>
      </c>
      <c r="CN267" t="str">
        <f>""</f>
        <v/>
      </c>
      <c r="CO267" t="str">
        <f>""</f>
        <v/>
      </c>
      <c r="CP267" t="str">
        <f>""</f>
        <v/>
      </c>
      <c r="CQ267" t="str">
        <f>""</f>
        <v/>
      </c>
      <c r="CR267" t="str">
        <f>""</f>
        <v/>
      </c>
      <c r="CS267" t="str">
        <f>""</f>
        <v/>
      </c>
      <c r="CT267" t="str">
        <f>""</f>
        <v/>
      </c>
      <c r="CU267" t="str">
        <f>""</f>
        <v/>
      </c>
      <c r="CV267" t="str">
        <f>""</f>
        <v/>
      </c>
      <c r="CW267" t="str">
        <f>""</f>
        <v/>
      </c>
      <c r="CX267" t="str">
        <f>""</f>
        <v/>
      </c>
      <c r="CY267" t="str">
        <f>""</f>
        <v/>
      </c>
      <c r="CZ267" t="str">
        <f>""</f>
        <v/>
      </c>
      <c r="DA267" t="str">
        <f>""</f>
        <v/>
      </c>
      <c r="DB267" t="str">
        <f>""</f>
        <v/>
      </c>
      <c r="DC267" t="str">
        <f>""</f>
        <v/>
      </c>
      <c r="DD267" t="str">
        <f>""</f>
        <v/>
      </c>
      <c r="DE267" t="str">
        <f>""</f>
        <v/>
      </c>
      <c r="DF267" t="str">
        <f>""</f>
        <v/>
      </c>
      <c r="DG267" t="str">
        <f>""</f>
        <v/>
      </c>
      <c r="DH267" t="str">
        <f>""</f>
        <v/>
      </c>
      <c r="DI267" t="str">
        <f>""</f>
        <v/>
      </c>
      <c r="DJ267" t="str">
        <f>""</f>
        <v/>
      </c>
      <c r="DK267" t="str">
        <f>""</f>
        <v/>
      </c>
      <c r="DL267" t="str">
        <f>""</f>
        <v/>
      </c>
      <c r="DM267" t="str">
        <f>""</f>
        <v/>
      </c>
      <c r="DN267" t="str">
        <f>""</f>
        <v/>
      </c>
      <c r="DO267" t="str">
        <f>""</f>
        <v/>
      </c>
      <c r="DP267" t="str">
        <f>""</f>
        <v/>
      </c>
      <c r="DQ267" t="str">
        <f>""</f>
        <v/>
      </c>
      <c r="DR267" t="str">
        <f>""</f>
        <v/>
      </c>
      <c r="DS267" t="str">
        <f>""</f>
        <v/>
      </c>
      <c r="DT267" t="str">
        <f>""</f>
        <v/>
      </c>
      <c r="DU267" t="str">
        <f>""</f>
        <v/>
      </c>
    </row>
    <row r="268" spans="1:125">
      <c r="A268" t="str">
        <f>$A$36</f>
        <v xml:space="preserve">    Sequential % Change in FFO for All Equity REITs</v>
      </c>
      <c r="B268" t="str">
        <f>$B$36</f>
        <v>RECFFOQQ Index</v>
      </c>
      <c r="C268" t="str">
        <f>$C$36</f>
        <v>PR005</v>
      </c>
      <c r="D268" t="str">
        <f>$D$36</f>
        <v>PX_LAST</v>
      </c>
      <c r="E268" t="str">
        <f>$E$36</f>
        <v>动态</v>
      </c>
      <c r="F268" t="str">
        <f ca="1">BDH($B$36,$C$36,$B$181,$B$182,CONCATENATE("Per=",$B$179),"Dts=H","Dir=H",CONCATENATE("Points=",$B$180),"Sort=R","Days=A","Fill=B",CONCATENATE("FX=", $B$178) )</f>
        <v>#N/A Authorization</v>
      </c>
      <c r="BN268" t="str">
        <f>""</f>
        <v/>
      </c>
      <c r="BO268" t="str">
        <f>""</f>
        <v/>
      </c>
      <c r="BP268" t="str">
        <f>""</f>
        <v/>
      </c>
      <c r="BQ268" t="str">
        <f>""</f>
        <v/>
      </c>
      <c r="BR268" t="str">
        <f>""</f>
        <v/>
      </c>
      <c r="BS268" t="str">
        <f>""</f>
        <v/>
      </c>
      <c r="BT268" t="str">
        <f>""</f>
        <v/>
      </c>
      <c r="BU268" t="str">
        <f>""</f>
        <v/>
      </c>
      <c r="BV268" t="str">
        <f>""</f>
        <v/>
      </c>
      <c r="BW268" t="str">
        <f>""</f>
        <v/>
      </c>
      <c r="BX268" t="str">
        <f>""</f>
        <v/>
      </c>
      <c r="BY268" t="str">
        <f>""</f>
        <v/>
      </c>
      <c r="BZ268" t="str">
        <f>""</f>
        <v/>
      </c>
      <c r="CA268" t="str">
        <f>""</f>
        <v/>
      </c>
      <c r="CB268" t="str">
        <f>""</f>
        <v/>
      </c>
      <c r="CC268" t="str">
        <f>""</f>
        <v/>
      </c>
      <c r="CD268" t="str">
        <f>""</f>
        <v/>
      </c>
      <c r="CE268" t="str">
        <f>""</f>
        <v/>
      </c>
      <c r="CF268" t="str">
        <f>""</f>
        <v/>
      </c>
      <c r="CG268" t="str">
        <f>""</f>
        <v/>
      </c>
      <c r="CH268" t="str">
        <f>""</f>
        <v/>
      </c>
      <c r="CI268" t="str">
        <f>""</f>
        <v/>
      </c>
      <c r="CJ268" t="str">
        <f>""</f>
        <v/>
      </c>
      <c r="CK268" t="str">
        <f>""</f>
        <v/>
      </c>
      <c r="CL268" t="str">
        <f>""</f>
        <v/>
      </c>
      <c r="CM268" t="str">
        <f>""</f>
        <v/>
      </c>
      <c r="CN268" t="str">
        <f>""</f>
        <v/>
      </c>
      <c r="CO268" t="str">
        <f>""</f>
        <v/>
      </c>
      <c r="CP268" t="str">
        <f>""</f>
        <v/>
      </c>
      <c r="CQ268" t="str">
        <f>""</f>
        <v/>
      </c>
      <c r="CR268" t="str">
        <f>""</f>
        <v/>
      </c>
      <c r="CS268" t="str">
        <f>""</f>
        <v/>
      </c>
      <c r="CT268" t="str">
        <f>""</f>
        <v/>
      </c>
      <c r="CU268" t="str">
        <f>""</f>
        <v/>
      </c>
      <c r="CV268" t="str">
        <f>""</f>
        <v/>
      </c>
      <c r="CW268" t="str">
        <f>""</f>
        <v/>
      </c>
      <c r="CX268" t="str">
        <f>""</f>
        <v/>
      </c>
      <c r="CY268" t="str">
        <f>""</f>
        <v/>
      </c>
      <c r="CZ268" t="str">
        <f>""</f>
        <v/>
      </c>
      <c r="DA268" t="str">
        <f>""</f>
        <v/>
      </c>
      <c r="DB268" t="str">
        <f>""</f>
        <v/>
      </c>
      <c r="DC268" t="str">
        <f>""</f>
        <v/>
      </c>
      <c r="DD268" t="str">
        <f>""</f>
        <v/>
      </c>
      <c r="DE268" t="str">
        <f>""</f>
        <v/>
      </c>
      <c r="DF268" t="str">
        <f>""</f>
        <v/>
      </c>
      <c r="DG268" t="str">
        <f>""</f>
        <v/>
      </c>
      <c r="DH268" t="str">
        <f>""</f>
        <v/>
      </c>
      <c r="DI268" t="str">
        <f>""</f>
        <v/>
      </c>
      <c r="DJ268" t="str">
        <f>""</f>
        <v/>
      </c>
      <c r="DK268" t="str">
        <f>""</f>
        <v/>
      </c>
      <c r="DL268" t="str">
        <f>""</f>
        <v/>
      </c>
      <c r="DM268" t="str">
        <f>""</f>
        <v/>
      </c>
      <c r="DN268" t="str">
        <f>""</f>
        <v/>
      </c>
      <c r="DO268" t="str">
        <f>""</f>
        <v/>
      </c>
      <c r="DP268" t="str">
        <f>""</f>
        <v/>
      </c>
      <c r="DQ268" t="str">
        <f>""</f>
        <v/>
      </c>
      <c r="DR268" t="str">
        <f>""</f>
        <v/>
      </c>
      <c r="DS268" t="str">
        <f>""</f>
        <v/>
      </c>
      <c r="DT268" t="str">
        <f>""</f>
        <v/>
      </c>
      <c r="DU268" t="str">
        <f>""</f>
        <v/>
      </c>
    </row>
    <row r="269" spans="1:125">
      <c r="A269" t="str">
        <f>$A$37</f>
        <v xml:space="preserve">    YoY % Change in FFO for All Equity REITs</v>
      </c>
      <c r="B269" t="str">
        <f>$B$37</f>
        <v>RECFFOYY Index</v>
      </c>
      <c r="C269" t="str">
        <f>$C$37</f>
        <v>PR005</v>
      </c>
      <c r="D269" t="str">
        <f>$D$37</f>
        <v>PX_LAST</v>
      </c>
      <c r="E269" t="str">
        <f>$E$37</f>
        <v>动态</v>
      </c>
      <c r="F269" t="str">
        <f ca="1">BDH($B$37,$C$37,$B$181,$B$182,CONCATENATE("Per=",$B$179),"Dts=H","Dir=H",CONCATENATE("Points=",$B$180),"Sort=R","Days=A","Fill=B",CONCATENATE("FX=", $B$178) )</f>
        <v>#N/A Authorization</v>
      </c>
      <c r="BN269" t="str">
        <f>""</f>
        <v/>
      </c>
      <c r="BO269" t="str">
        <f>""</f>
        <v/>
      </c>
      <c r="BP269" t="str">
        <f>""</f>
        <v/>
      </c>
      <c r="BQ269" t="str">
        <f>""</f>
        <v/>
      </c>
      <c r="BR269" t="str">
        <f>""</f>
        <v/>
      </c>
      <c r="BS269" t="str">
        <f>""</f>
        <v/>
      </c>
      <c r="BT269" t="str">
        <f>""</f>
        <v/>
      </c>
      <c r="BU269" t="str">
        <f>""</f>
        <v/>
      </c>
      <c r="BV269" t="str">
        <f>""</f>
        <v/>
      </c>
      <c r="BW269" t="str">
        <f>""</f>
        <v/>
      </c>
      <c r="BX269" t="str">
        <f>""</f>
        <v/>
      </c>
      <c r="BY269" t="str">
        <f>""</f>
        <v/>
      </c>
      <c r="BZ269" t="str">
        <f>""</f>
        <v/>
      </c>
      <c r="CA269" t="str">
        <f>""</f>
        <v/>
      </c>
      <c r="CB269" t="str">
        <f>""</f>
        <v/>
      </c>
      <c r="CC269" t="str">
        <f>""</f>
        <v/>
      </c>
      <c r="CD269" t="str">
        <f>""</f>
        <v/>
      </c>
      <c r="CE269" t="str">
        <f>""</f>
        <v/>
      </c>
      <c r="CF269" t="str">
        <f>""</f>
        <v/>
      </c>
      <c r="CG269" t="str">
        <f>""</f>
        <v/>
      </c>
      <c r="CH269" t="str">
        <f>""</f>
        <v/>
      </c>
      <c r="CI269" t="str">
        <f>""</f>
        <v/>
      </c>
      <c r="CJ269" t="str">
        <f>""</f>
        <v/>
      </c>
      <c r="CK269" t="str">
        <f>""</f>
        <v/>
      </c>
      <c r="CL269" t="str">
        <f>""</f>
        <v/>
      </c>
      <c r="CM269" t="str">
        <f>""</f>
        <v/>
      </c>
      <c r="CN269" t="str">
        <f>""</f>
        <v/>
      </c>
      <c r="CO269" t="str">
        <f>""</f>
        <v/>
      </c>
      <c r="CP269" t="str">
        <f>""</f>
        <v/>
      </c>
      <c r="CQ269" t="str">
        <f>""</f>
        <v/>
      </c>
      <c r="CR269" t="str">
        <f>""</f>
        <v/>
      </c>
      <c r="CS269" t="str">
        <f>""</f>
        <v/>
      </c>
      <c r="CT269" t="str">
        <f>""</f>
        <v/>
      </c>
      <c r="CU269" t="str">
        <f>""</f>
        <v/>
      </c>
      <c r="CV269" t="str">
        <f>""</f>
        <v/>
      </c>
      <c r="CW269" t="str">
        <f>""</f>
        <v/>
      </c>
      <c r="CX269" t="str">
        <f>""</f>
        <v/>
      </c>
      <c r="CY269" t="str">
        <f>""</f>
        <v/>
      </c>
      <c r="CZ269" t="str">
        <f>""</f>
        <v/>
      </c>
      <c r="DA269" t="str">
        <f>""</f>
        <v/>
      </c>
      <c r="DB269" t="str">
        <f>""</f>
        <v/>
      </c>
      <c r="DC269" t="str">
        <f>""</f>
        <v/>
      </c>
      <c r="DD269" t="str">
        <f>""</f>
        <v/>
      </c>
      <c r="DE269" t="str">
        <f>""</f>
        <v/>
      </c>
      <c r="DF269" t="str">
        <f>""</f>
        <v/>
      </c>
      <c r="DG269" t="str">
        <f>""</f>
        <v/>
      </c>
      <c r="DH269" t="str">
        <f>""</f>
        <v/>
      </c>
      <c r="DI269" t="str">
        <f>""</f>
        <v/>
      </c>
      <c r="DJ269" t="str">
        <f>""</f>
        <v/>
      </c>
      <c r="DK269" t="str">
        <f>""</f>
        <v/>
      </c>
      <c r="DL269" t="str">
        <f>""</f>
        <v/>
      </c>
      <c r="DM269" t="str">
        <f>""</f>
        <v/>
      </c>
      <c r="DN269" t="str">
        <f>""</f>
        <v/>
      </c>
      <c r="DO269" t="str">
        <f>""</f>
        <v/>
      </c>
      <c r="DP269" t="str">
        <f>""</f>
        <v/>
      </c>
      <c r="DQ269" t="str">
        <f>""</f>
        <v/>
      </c>
      <c r="DR269" t="str">
        <f>""</f>
        <v/>
      </c>
      <c r="DS269" t="str">
        <f>""</f>
        <v/>
      </c>
      <c r="DT269" t="str">
        <f>""</f>
        <v/>
      </c>
      <c r="DU269" t="str">
        <f>""</f>
        <v/>
      </c>
    </row>
    <row r="270" spans="1:125">
      <c r="A270" t="str">
        <f>$A$39</f>
        <v>净营业利润总额-所有房地产投资信托</v>
      </c>
      <c r="B270" t="str">
        <f>$B$39</f>
        <v>RECFNOEQ Index</v>
      </c>
      <c r="C270" t="str">
        <f>$C$39</f>
        <v>PR005</v>
      </c>
      <c r="D270" t="str">
        <f>$D$39</f>
        <v>PX_LAST</v>
      </c>
      <c r="E270" t="str">
        <f>$E$39</f>
        <v>动态</v>
      </c>
      <c r="F270" t="str">
        <f ca="1">BDH($B$39,$C$39,$B$181,$B$182,CONCATENATE("Per=",$B$179),"Dts=H","Dir=H",CONCATENATE("Points=",$B$180),"Sort=R","Days=A","Fill=B",CONCATENATE("FX=", $B$178) )</f>
        <v>#N/A Authorization</v>
      </c>
      <c r="BN270" t="str">
        <f>""</f>
        <v/>
      </c>
      <c r="BO270" t="str">
        <f>""</f>
        <v/>
      </c>
      <c r="BP270" t="str">
        <f>""</f>
        <v/>
      </c>
      <c r="BQ270" t="str">
        <f>""</f>
        <v/>
      </c>
      <c r="BR270" t="str">
        <f>""</f>
        <v/>
      </c>
      <c r="BS270" t="str">
        <f>""</f>
        <v/>
      </c>
      <c r="BT270" t="str">
        <f>""</f>
        <v/>
      </c>
      <c r="BU270" t="str">
        <f>""</f>
        <v/>
      </c>
      <c r="BV270" t="str">
        <f>""</f>
        <v/>
      </c>
      <c r="BW270" t="str">
        <f>""</f>
        <v/>
      </c>
      <c r="BX270" t="str">
        <f>""</f>
        <v/>
      </c>
      <c r="BY270" t="str">
        <f>""</f>
        <v/>
      </c>
      <c r="BZ270" t="str">
        <f>""</f>
        <v/>
      </c>
      <c r="CA270" t="str">
        <f>""</f>
        <v/>
      </c>
      <c r="CB270" t="str">
        <f>""</f>
        <v/>
      </c>
      <c r="CC270" t="str">
        <f>""</f>
        <v/>
      </c>
      <c r="CD270" t="str">
        <f>""</f>
        <v/>
      </c>
      <c r="CE270" t="str">
        <f>""</f>
        <v/>
      </c>
      <c r="CF270" t="str">
        <f>""</f>
        <v/>
      </c>
      <c r="CG270" t="str">
        <f>""</f>
        <v/>
      </c>
      <c r="CH270" t="str">
        <f>""</f>
        <v/>
      </c>
      <c r="CI270" t="str">
        <f>""</f>
        <v/>
      </c>
      <c r="CJ270" t="str">
        <f>""</f>
        <v/>
      </c>
      <c r="CK270" t="str">
        <f>""</f>
        <v/>
      </c>
      <c r="CL270" t="str">
        <f>""</f>
        <v/>
      </c>
      <c r="CM270" t="str">
        <f>""</f>
        <v/>
      </c>
      <c r="CN270" t="str">
        <f>""</f>
        <v/>
      </c>
      <c r="CO270" t="str">
        <f>""</f>
        <v/>
      </c>
      <c r="CP270" t="str">
        <f>""</f>
        <v/>
      </c>
      <c r="CQ270" t="str">
        <f>""</f>
        <v/>
      </c>
      <c r="CR270" t="str">
        <f>""</f>
        <v/>
      </c>
      <c r="CS270" t="str">
        <f>""</f>
        <v/>
      </c>
      <c r="CT270" t="str">
        <f>""</f>
        <v/>
      </c>
      <c r="CU270" t="str">
        <f>""</f>
        <v/>
      </c>
      <c r="CV270" t="str">
        <f>""</f>
        <v/>
      </c>
      <c r="CW270" t="str">
        <f>""</f>
        <v/>
      </c>
      <c r="CX270" t="str">
        <f>""</f>
        <v/>
      </c>
      <c r="CY270" t="str">
        <f>""</f>
        <v/>
      </c>
      <c r="CZ270" t="str">
        <f>""</f>
        <v/>
      </c>
      <c r="DA270" t="str">
        <f>""</f>
        <v/>
      </c>
      <c r="DB270" t="str">
        <f>""</f>
        <v/>
      </c>
      <c r="DC270" t="str">
        <f>""</f>
        <v/>
      </c>
      <c r="DD270" t="str">
        <f>""</f>
        <v/>
      </c>
      <c r="DE270" t="str">
        <f>""</f>
        <v/>
      </c>
      <c r="DF270" t="str">
        <f>""</f>
        <v/>
      </c>
      <c r="DG270" t="str">
        <f>""</f>
        <v/>
      </c>
      <c r="DH270" t="str">
        <f>""</f>
        <v/>
      </c>
      <c r="DI270" t="str">
        <f>""</f>
        <v/>
      </c>
      <c r="DJ270" t="str">
        <f>""</f>
        <v/>
      </c>
      <c r="DK270" t="str">
        <f>""</f>
        <v/>
      </c>
      <c r="DL270" t="str">
        <f>""</f>
        <v/>
      </c>
      <c r="DM270" t="str">
        <f>""</f>
        <v/>
      </c>
      <c r="DN270" t="str">
        <f>""</f>
        <v/>
      </c>
      <c r="DO270" t="str">
        <f>""</f>
        <v/>
      </c>
      <c r="DP270" t="str">
        <f>""</f>
        <v/>
      </c>
      <c r="DQ270" t="str">
        <f>""</f>
        <v/>
      </c>
      <c r="DR270" t="str">
        <f>""</f>
        <v/>
      </c>
      <c r="DS270" t="str">
        <f>""</f>
        <v/>
      </c>
      <c r="DT270" t="str">
        <f>""</f>
        <v/>
      </c>
      <c r="DU270" t="str">
        <f>""</f>
        <v/>
      </c>
    </row>
    <row r="271" spans="1:125">
      <c r="A271" t="str">
        <f>$A$40</f>
        <v xml:space="preserve">    Office REITs</v>
      </c>
      <c r="B271" t="str">
        <f>$B$40</f>
        <v>RECFNOOF Index</v>
      </c>
      <c r="C271" t="str">
        <f>$C$40</f>
        <v>PR005</v>
      </c>
      <c r="D271" t="str">
        <f>$D$40</f>
        <v>PX_LAST</v>
      </c>
      <c r="E271" t="str">
        <f>$E$40</f>
        <v>动态</v>
      </c>
      <c r="F271" t="str">
        <f ca="1">BDH($B$40,$C$40,$B$181,$B$182,CONCATENATE("Per=",$B$179),"Dts=H","Dir=H",CONCATENATE("Points=",$B$180),"Sort=R","Days=A","Fill=B",CONCATENATE("FX=", $B$178) )</f>
        <v>#N/A Authorization</v>
      </c>
      <c r="BN271" t="str">
        <f>""</f>
        <v/>
      </c>
      <c r="BO271" t="str">
        <f>""</f>
        <v/>
      </c>
      <c r="BP271" t="str">
        <f>""</f>
        <v/>
      </c>
      <c r="BQ271" t="str">
        <f>""</f>
        <v/>
      </c>
      <c r="BR271" t="str">
        <f>""</f>
        <v/>
      </c>
      <c r="BS271" t="str">
        <f>""</f>
        <v/>
      </c>
      <c r="BT271" t="str">
        <f>""</f>
        <v/>
      </c>
      <c r="BU271" t="str">
        <f>""</f>
        <v/>
      </c>
      <c r="BV271" t="str">
        <f>""</f>
        <v/>
      </c>
      <c r="BW271" t="str">
        <f>""</f>
        <v/>
      </c>
      <c r="BX271" t="str">
        <f>""</f>
        <v/>
      </c>
      <c r="BY271" t="str">
        <f>""</f>
        <v/>
      </c>
      <c r="BZ271" t="str">
        <f>""</f>
        <v/>
      </c>
      <c r="CA271" t="str">
        <f>""</f>
        <v/>
      </c>
      <c r="CB271" t="str">
        <f>""</f>
        <v/>
      </c>
      <c r="CC271" t="str">
        <f>""</f>
        <v/>
      </c>
      <c r="CD271" t="str">
        <f>""</f>
        <v/>
      </c>
      <c r="CE271" t="str">
        <f>""</f>
        <v/>
      </c>
      <c r="CF271" t="str">
        <f>""</f>
        <v/>
      </c>
      <c r="CG271" t="str">
        <f>""</f>
        <v/>
      </c>
      <c r="CH271" t="str">
        <f>""</f>
        <v/>
      </c>
      <c r="CI271" t="str">
        <f>""</f>
        <v/>
      </c>
      <c r="CJ271" t="str">
        <f>""</f>
        <v/>
      </c>
      <c r="CK271" t="str">
        <f>""</f>
        <v/>
      </c>
      <c r="CL271" t="str">
        <f>""</f>
        <v/>
      </c>
      <c r="CM271" t="str">
        <f>""</f>
        <v/>
      </c>
      <c r="CN271" t="str">
        <f>""</f>
        <v/>
      </c>
      <c r="CO271" t="str">
        <f>""</f>
        <v/>
      </c>
      <c r="CP271" t="str">
        <f>""</f>
        <v/>
      </c>
      <c r="CQ271" t="str">
        <f>""</f>
        <v/>
      </c>
      <c r="CR271" t="str">
        <f>""</f>
        <v/>
      </c>
      <c r="CS271" t="str">
        <f>""</f>
        <v/>
      </c>
      <c r="CT271" t="str">
        <f>""</f>
        <v/>
      </c>
      <c r="CU271" t="str">
        <f>""</f>
        <v/>
      </c>
      <c r="CV271" t="str">
        <f>""</f>
        <v/>
      </c>
      <c r="CW271" t="str">
        <f>""</f>
        <v/>
      </c>
      <c r="CX271" t="str">
        <f>""</f>
        <v/>
      </c>
      <c r="CY271" t="str">
        <f>""</f>
        <v/>
      </c>
      <c r="CZ271" t="str">
        <f>""</f>
        <v/>
      </c>
      <c r="DA271" t="str">
        <f>""</f>
        <v/>
      </c>
      <c r="DB271" t="str">
        <f>""</f>
        <v/>
      </c>
      <c r="DC271" t="str">
        <f>""</f>
        <v/>
      </c>
      <c r="DD271" t="str">
        <f>""</f>
        <v/>
      </c>
      <c r="DE271" t="str">
        <f>""</f>
        <v/>
      </c>
      <c r="DF271" t="str">
        <f>""</f>
        <v/>
      </c>
      <c r="DG271" t="str">
        <f>""</f>
        <v/>
      </c>
      <c r="DH271" t="str">
        <f>""</f>
        <v/>
      </c>
      <c r="DI271" t="str">
        <f>""</f>
        <v/>
      </c>
      <c r="DJ271" t="str">
        <f>""</f>
        <v/>
      </c>
      <c r="DK271" t="str">
        <f>""</f>
        <v/>
      </c>
      <c r="DL271" t="str">
        <f>""</f>
        <v/>
      </c>
      <c r="DM271" t="str">
        <f>""</f>
        <v/>
      </c>
      <c r="DN271" t="str">
        <f>""</f>
        <v/>
      </c>
      <c r="DO271" t="str">
        <f>""</f>
        <v/>
      </c>
      <c r="DP271" t="str">
        <f>""</f>
        <v/>
      </c>
      <c r="DQ271" t="str">
        <f>""</f>
        <v/>
      </c>
      <c r="DR271" t="str">
        <f>""</f>
        <v/>
      </c>
      <c r="DS271" t="str">
        <f>""</f>
        <v/>
      </c>
      <c r="DT271" t="str">
        <f>""</f>
        <v/>
      </c>
      <c r="DU271" t="str">
        <f>""</f>
        <v/>
      </c>
    </row>
    <row r="272" spans="1:125">
      <c r="A272" t="str">
        <f>$A$41</f>
        <v xml:space="preserve">    Industrial REITs</v>
      </c>
      <c r="B272" t="str">
        <f>$B$41</f>
        <v>RECFNOIN Index</v>
      </c>
      <c r="C272" t="str">
        <f>$C$41</f>
        <v>PR005</v>
      </c>
      <c r="D272" t="str">
        <f>$D$41</f>
        <v>PX_LAST</v>
      </c>
      <c r="E272" t="str">
        <f>$E$41</f>
        <v>动态</v>
      </c>
      <c r="F272" t="str">
        <f ca="1">BDH($B$41,$C$41,$B$181,$B$182,CONCATENATE("Per=",$B$179),"Dts=H","Dir=H",CONCATENATE("Points=",$B$180),"Sort=R","Days=A","Fill=B",CONCATENATE("FX=", $B$178) )</f>
        <v>#N/A Authorization</v>
      </c>
      <c r="BN272" t="str">
        <f>""</f>
        <v/>
      </c>
      <c r="BO272" t="str">
        <f>""</f>
        <v/>
      </c>
      <c r="BP272" t="str">
        <f>""</f>
        <v/>
      </c>
      <c r="BQ272" t="str">
        <f>""</f>
        <v/>
      </c>
      <c r="BR272" t="str">
        <f>""</f>
        <v/>
      </c>
      <c r="BS272" t="str">
        <f>""</f>
        <v/>
      </c>
      <c r="BT272" t="str">
        <f>""</f>
        <v/>
      </c>
      <c r="BU272" t="str">
        <f>""</f>
        <v/>
      </c>
      <c r="BV272" t="str">
        <f>""</f>
        <v/>
      </c>
      <c r="BW272" t="str">
        <f>""</f>
        <v/>
      </c>
      <c r="BX272" t="str">
        <f>""</f>
        <v/>
      </c>
      <c r="BY272" t="str">
        <f>""</f>
        <v/>
      </c>
      <c r="BZ272" t="str">
        <f>""</f>
        <v/>
      </c>
      <c r="CA272" t="str">
        <f>""</f>
        <v/>
      </c>
      <c r="CB272" t="str">
        <f>""</f>
        <v/>
      </c>
      <c r="CC272" t="str">
        <f>""</f>
        <v/>
      </c>
      <c r="CD272" t="str">
        <f>""</f>
        <v/>
      </c>
      <c r="CE272" t="str">
        <f>""</f>
        <v/>
      </c>
      <c r="CF272" t="str">
        <f>""</f>
        <v/>
      </c>
      <c r="CG272" t="str">
        <f>""</f>
        <v/>
      </c>
      <c r="CH272" t="str">
        <f>""</f>
        <v/>
      </c>
      <c r="CI272" t="str">
        <f>""</f>
        <v/>
      </c>
      <c r="CJ272" t="str">
        <f>""</f>
        <v/>
      </c>
      <c r="CK272" t="str">
        <f>""</f>
        <v/>
      </c>
      <c r="CL272" t="str">
        <f>""</f>
        <v/>
      </c>
      <c r="CM272" t="str">
        <f>""</f>
        <v/>
      </c>
      <c r="CN272" t="str">
        <f>""</f>
        <v/>
      </c>
      <c r="CO272" t="str">
        <f>""</f>
        <v/>
      </c>
      <c r="CP272" t="str">
        <f>""</f>
        <v/>
      </c>
      <c r="CQ272" t="str">
        <f>""</f>
        <v/>
      </c>
      <c r="CR272" t="str">
        <f>""</f>
        <v/>
      </c>
      <c r="CS272" t="str">
        <f>""</f>
        <v/>
      </c>
      <c r="CT272" t="str">
        <f>""</f>
        <v/>
      </c>
      <c r="CU272" t="str">
        <f>""</f>
        <v/>
      </c>
      <c r="CV272" t="str">
        <f>""</f>
        <v/>
      </c>
      <c r="CW272" t="str">
        <f>""</f>
        <v/>
      </c>
      <c r="CX272" t="str">
        <f>""</f>
        <v/>
      </c>
      <c r="CY272" t="str">
        <f>""</f>
        <v/>
      </c>
      <c r="CZ272" t="str">
        <f>""</f>
        <v/>
      </c>
      <c r="DA272" t="str">
        <f>""</f>
        <v/>
      </c>
      <c r="DB272" t="str">
        <f>""</f>
        <v/>
      </c>
      <c r="DC272" t="str">
        <f>""</f>
        <v/>
      </c>
      <c r="DD272" t="str">
        <f>""</f>
        <v/>
      </c>
      <c r="DE272" t="str">
        <f>""</f>
        <v/>
      </c>
      <c r="DF272" t="str">
        <f>""</f>
        <v/>
      </c>
      <c r="DG272" t="str">
        <f>""</f>
        <v/>
      </c>
      <c r="DH272" t="str">
        <f>""</f>
        <v/>
      </c>
      <c r="DI272" t="str">
        <f>""</f>
        <v/>
      </c>
      <c r="DJ272" t="str">
        <f>""</f>
        <v/>
      </c>
      <c r="DK272" t="str">
        <f>""</f>
        <v/>
      </c>
      <c r="DL272" t="str">
        <f>""</f>
        <v/>
      </c>
      <c r="DM272" t="str">
        <f>""</f>
        <v/>
      </c>
      <c r="DN272" t="str">
        <f>""</f>
        <v/>
      </c>
      <c r="DO272" t="str">
        <f>""</f>
        <v/>
      </c>
      <c r="DP272" t="str">
        <f>""</f>
        <v/>
      </c>
      <c r="DQ272" t="str">
        <f>""</f>
        <v/>
      </c>
      <c r="DR272" t="str">
        <f>""</f>
        <v/>
      </c>
      <c r="DS272" t="str">
        <f>""</f>
        <v/>
      </c>
      <c r="DT272" t="str">
        <f>""</f>
        <v/>
      </c>
      <c r="DU272" t="str">
        <f>""</f>
        <v/>
      </c>
    </row>
    <row r="273" spans="1:125">
      <c r="A273" t="str">
        <f>$A$42</f>
        <v xml:space="preserve">    Retail REITs</v>
      </c>
      <c r="B273" t="str">
        <f>$B$42</f>
        <v>RECFNORT Index</v>
      </c>
      <c r="C273" t="str">
        <f>$C$42</f>
        <v>PR005</v>
      </c>
      <c r="D273" t="str">
        <f>$D$42</f>
        <v>PX_LAST</v>
      </c>
      <c r="E273" t="str">
        <f>$E$42</f>
        <v>动态</v>
      </c>
      <c r="F273" t="str">
        <f ca="1">BDH($B$42,$C$42,$B$181,$B$182,CONCATENATE("Per=",$B$179),"Dts=H","Dir=H",CONCATENATE("Points=",$B$180),"Sort=R","Days=A","Fill=B",CONCATENATE("FX=", $B$178) )</f>
        <v>#N/A Authorization</v>
      </c>
      <c r="BN273" t="str">
        <f>""</f>
        <v/>
      </c>
      <c r="BO273" t="str">
        <f>""</f>
        <v/>
      </c>
      <c r="BP273" t="str">
        <f>""</f>
        <v/>
      </c>
      <c r="BQ273" t="str">
        <f>""</f>
        <v/>
      </c>
      <c r="BR273" t="str">
        <f>""</f>
        <v/>
      </c>
      <c r="BS273" t="str">
        <f>""</f>
        <v/>
      </c>
      <c r="BT273" t="str">
        <f>""</f>
        <v/>
      </c>
      <c r="BU273" t="str">
        <f>""</f>
        <v/>
      </c>
      <c r="BV273" t="str">
        <f>""</f>
        <v/>
      </c>
      <c r="BW273" t="str">
        <f>""</f>
        <v/>
      </c>
      <c r="BX273" t="str">
        <f>""</f>
        <v/>
      </c>
      <c r="BY273" t="str">
        <f>""</f>
        <v/>
      </c>
      <c r="BZ273" t="str">
        <f>""</f>
        <v/>
      </c>
      <c r="CA273" t="str">
        <f>""</f>
        <v/>
      </c>
      <c r="CB273" t="str">
        <f>""</f>
        <v/>
      </c>
      <c r="CC273" t="str">
        <f>""</f>
        <v/>
      </c>
      <c r="CD273" t="str">
        <f>""</f>
        <v/>
      </c>
      <c r="CE273" t="str">
        <f>""</f>
        <v/>
      </c>
      <c r="CF273" t="str">
        <f>""</f>
        <v/>
      </c>
      <c r="CG273" t="str">
        <f>""</f>
        <v/>
      </c>
      <c r="CH273" t="str">
        <f>""</f>
        <v/>
      </c>
      <c r="CI273" t="str">
        <f>""</f>
        <v/>
      </c>
      <c r="CJ273" t="str">
        <f>""</f>
        <v/>
      </c>
      <c r="CK273" t="str">
        <f>""</f>
        <v/>
      </c>
      <c r="CL273" t="str">
        <f>""</f>
        <v/>
      </c>
      <c r="CM273" t="str">
        <f>""</f>
        <v/>
      </c>
      <c r="CN273" t="str">
        <f>""</f>
        <v/>
      </c>
      <c r="CO273" t="str">
        <f>""</f>
        <v/>
      </c>
      <c r="CP273" t="str">
        <f>""</f>
        <v/>
      </c>
      <c r="CQ273" t="str">
        <f>""</f>
        <v/>
      </c>
      <c r="CR273" t="str">
        <f>""</f>
        <v/>
      </c>
      <c r="CS273" t="str">
        <f>""</f>
        <v/>
      </c>
      <c r="CT273" t="str">
        <f>""</f>
        <v/>
      </c>
      <c r="CU273" t="str">
        <f>""</f>
        <v/>
      </c>
      <c r="CV273" t="str">
        <f>""</f>
        <v/>
      </c>
      <c r="CW273" t="str">
        <f>""</f>
        <v/>
      </c>
      <c r="CX273" t="str">
        <f>""</f>
        <v/>
      </c>
      <c r="CY273" t="str">
        <f>""</f>
        <v/>
      </c>
      <c r="CZ273" t="str">
        <f>""</f>
        <v/>
      </c>
      <c r="DA273" t="str">
        <f>""</f>
        <v/>
      </c>
      <c r="DB273" t="str">
        <f>""</f>
        <v/>
      </c>
      <c r="DC273" t="str">
        <f>""</f>
        <v/>
      </c>
      <c r="DD273" t="str">
        <f>""</f>
        <v/>
      </c>
      <c r="DE273" t="str">
        <f>""</f>
        <v/>
      </c>
      <c r="DF273" t="str">
        <f>""</f>
        <v/>
      </c>
      <c r="DG273" t="str">
        <f>""</f>
        <v/>
      </c>
      <c r="DH273" t="str">
        <f>""</f>
        <v/>
      </c>
      <c r="DI273" t="str">
        <f>""</f>
        <v/>
      </c>
      <c r="DJ273" t="str">
        <f>""</f>
        <v/>
      </c>
      <c r="DK273" t="str">
        <f>""</f>
        <v/>
      </c>
      <c r="DL273" t="str">
        <f>""</f>
        <v/>
      </c>
      <c r="DM273" t="str">
        <f>""</f>
        <v/>
      </c>
      <c r="DN273" t="str">
        <f>""</f>
        <v/>
      </c>
      <c r="DO273" t="str">
        <f>""</f>
        <v/>
      </c>
      <c r="DP273" t="str">
        <f>""</f>
        <v/>
      </c>
      <c r="DQ273" t="str">
        <f>""</f>
        <v/>
      </c>
      <c r="DR273" t="str">
        <f>""</f>
        <v/>
      </c>
      <c r="DS273" t="str">
        <f>""</f>
        <v/>
      </c>
      <c r="DT273" t="str">
        <f>""</f>
        <v/>
      </c>
      <c r="DU273" t="str">
        <f>""</f>
        <v/>
      </c>
    </row>
    <row r="274" spans="1:125">
      <c r="A274" t="str">
        <f>$A$43</f>
        <v xml:space="preserve">    Shopping Center REITs</v>
      </c>
      <c r="B274" t="str">
        <f>$B$43</f>
        <v>RECFNOSC Index</v>
      </c>
      <c r="C274" t="str">
        <f>$C$43</f>
        <v>PR005</v>
      </c>
      <c r="D274" t="str">
        <f>$D$43</f>
        <v>PX_LAST</v>
      </c>
      <c r="E274" t="str">
        <f>$E$43</f>
        <v>动态</v>
      </c>
      <c r="F274" t="str">
        <f ca="1">BDH($B$43,$C$43,$B$181,$B$182,CONCATENATE("Per=",$B$179),"Dts=H","Dir=H",CONCATENATE("Points=",$B$180),"Sort=R","Days=A","Fill=B",CONCATENATE("FX=", $B$178) )</f>
        <v>#N/A Authorization</v>
      </c>
      <c r="BN274" t="str">
        <f>""</f>
        <v/>
      </c>
      <c r="BO274" t="str">
        <f>""</f>
        <v/>
      </c>
      <c r="BP274" t="str">
        <f>""</f>
        <v/>
      </c>
      <c r="BQ274" t="str">
        <f>""</f>
        <v/>
      </c>
      <c r="BR274" t="str">
        <f>""</f>
        <v/>
      </c>
      <c r="BS274" t="str">
        <f>""</f>
        <v/>
      </c>
      <c r="BT274" t="str">
        <f>""</f>
        <v/>
      </c>
      <c r="BU274" t="str">
        <f>""</f>
        <v/>
      </c>
      <c r="BV274" t="str">
        <f>""</f>
        <v/>
      </c>
      <c r="BW274" t="str">
        <f>""</f>
        <v/>
      </c>
      <c r="BX274" t="str">
        <f>""</f>
        <v/>
      </c>
      <c r="BY274" t="str">
        <f>""</f>
        <v/>
      </c>
      <c r="BZ274" t="str">
        <f>""</f>
        <v/>
      </c>
      <c r="CA274" t="str">
        <f>""</f>
        <v/>
      </c>
      <c r="CB274" t="str">
        <f>""</f>
        <v/>
      </c>
      <c r="CC274" t="str">
        <f>""</f>
        <v/>
      </c>
      <c r="CD274" t="str">
        <f>""</f>
        <v/>
      </c>
      <c r="CE274" t="str">
        <f>""</f>
        <v/>
      </c>
      <c r="CF274" t="str">
        <f>""</f>
        <v/>
      </c>
      <c r="CG274" t="str">
        <f>""</f>
        <v/>
      </c>
      <c r="CH274" t="str">
        <f>""</f>
        <v/>
      </c>
      <c r="CI274" t="str">
        <f>""</f>
        <v/>
      </c>
      <c r="CJ274" t="str">
        <f>""</f>
        <v/>
      </c>
      <c r="CK274" t="str">
        <f>""</f>
        <v/>
      </c>
      <c r="CL274" t="str">
        <f>""</f>
        <v/>
      </c>
      <c r="CM274" t="str">
        <f>""</f>
        <v/>
      </c>
      <c r="CN274" t="str">
        <f>""</f>
        <v/>
      </c>
      <c r="CO274" t="str">
        <f>""</f>
        <v/>
      </c>
      <c r="CP274" t="str">
        <f>""</f>
        <v/>
      </c>
      <c r="CQ274" t="str">
        <f>""</f>
        <v/>
      </c>
      <c r="CR274" t="str">
        <f>""</f>
        <v/>
      </c>
      <c r="CS274" t="str">
        <f>""</f>
        <v/>
      </c>
      <c r="CT274" t="str">
        <f>""</f>
        <v/>
      </c>
      <c r="CU274" t="str">
        <f>""</f>
        <v/>
      </c>
      <c r="CV274" t="str">
        <f>""</f>
        <v/>
      </c>
      <c r="CW274" t="str">
        <f>""</f>
        <v/>
      </c>
      <c r="CX274" t="str">
        <f>""</f>
        <v/>
      </c>
      <c r="CY274" t="str">
        <f>""</f>
        <v/>
      </c>
      <c r="CZ274" t="str">
        <f>""</f>
        <v/>
      </c>
      <c r="DA274" t="str">
        <f>""</f>
        <v/>
      </c>
      <c r="DB274" t="str">
        <f>""</f>
        <v/>
      </c>
      <c r="DC274" t="str">
        <f>""</f>
        <v/>
      </c>
      <c r="DD274" t="str">
        <f>""</f>
        <v/>
      </c>
      <c r="DE274" t="str">
        <f>""</f>
        <v/>
      </c>
      <c r="DF274" t="str">
        <f>""</f>
        <v/>
      </c>
      <c r="DG274" t="str">
        <f>""</f>
        <v/>
      </c>
      <c r="DH274" t="str">
        <f>""</f>
        <v/>
      </c>
      <c r="DI274" t="str">
        <f>""</f>
        <v/>
      </c>
      <c r="DJ274" t="str">
        <f>""</f>
        <v/>
      </c>
      <c r="DK274" t="str">
        <f>""</f>
        <v/>
      </c>
      <c r="DL274" t="str">
        <f>""</f>
        <v/>
      </c>
      <c r="DM274" t="str">
        <f>""</f>
        <v/>
      </c>
      <c r="DN274" t="str">
        <f>""</f>
        <v/>
      </c>
      <c r="DO274" t="str">
        <f>""</f>
        <v/>
      </c>
      <c r="DP274" t="str">
        <f>""</f>
        <v/>
      </c>
      <c r="DQ274" t="str">
        <f>""</f>
        <v/>
      </c>
      <c r="DR274" t="str">
        <f>""</f>
        <v/>
      </c>
      <c r="DS274" t="str">
        <f>""</f>
        <v/>
      </c>
      <c r="DT274" t="str">
        <f>""</f>
        <v/>
      </c>
      <c r="DU274" t="str">
        <f>""</f>
        <v/>
      </c>
    </row>
    <row r="275" spans="1:125">
      <c r="A275" t="str">
        <f>$A$44</f>
        <v xml:space="preserve">    Regional Mall REITs</v>
      </c>
      <c r="B275" t="str">
        <f>$B$44</f>
        <v>RECFNORM Index</v>
      </c>
      <c r="C275" t="str">
        <f>$C$44</f>
        <v>PR005</v>
      </c>
      <c r="D275" t="str">
        <f>$D$44</f>
        <v>PX_LAST</v>
      </c>
      <c r="E275" t="str">
        <f>$E$44</f>
        <v>动态</v>
      </c>
      <c r="F275" t="str">
        <f ca="1">BDH($B$44,$C$44,$B$181,$B$182,CONCATENATE("Per=",$B$179),"Dts=H","Dir=H",CONCATENATE("Points=",$B$180),"Sort=R","Days=A","Fill=B",CONCATENATE("FX=", $B$178) )</f>
        <v>#N/A Authorization</v>
      </c>
      <c r="BN275" t="str">
        <f>""</f>
        <v/>
      </c>
      <c r="BO275" t="str">
        <f>""</f>
        <v/>
      </c>
      <c r="BP275" t="str">
        <f>""</f>
        <v/>
      </c>
      <c r="BQ275" t="str">
        <f>""</f>
        <v/>
      </c>
      <c r="BR275" t="str">
        <f>""</f>
        <v/>
      </c>
      <c r="BS275" t="str">
        <f>""</f>
        <v/>
      </c>
      <c r="BT275" t="str">
        <f>""</f>
        <v/>
      </c>
      <c r="BU275" t="str">
        <f>""</f>
        <v/>
      </c>
      <c r="BV275" t="str">
        <f>""</f>
        <v/>
      </c>
      <c r="BW275" t="str">
        <f>""</f>
        <v/>
      </c>
      <c r="BX275" t="str">
        <f>""</f>
        <v/>
      </c>
      <c r="BY275" t="str">
        <f>""</f>
        <v/>
      </c>
      <c r="BZ275" t="str">
        <f>""</f>
        <v/>
      </c>
      <c r="CA275" t="str">
        <f>""</f>
        <v/>
      </c>
      <c r="CB275" t="str">
        <f>""</f>
        <v/>
      </c>
      <c r="CC275" t="str">
        <f>""</f>
        <v/>
      </c>
      <c r="CD275" t="str">
        <f>""</f>
        <v/>
      </c>
      <c r="CE275" t="str">
        <f>""</f>
        <v/>
      </c>
      <c r="CF275" t="str">
        <f>""</f>
        <v/>
      </c>
      <c r="CG275" t="str">
        <f>""</f>
        <v/>
      </c>
      <c r="CH275" t="str">
        <f>""</f>
        <v/>
      </c>
      <c r="CI275" t="str">
        <f>""</f>
        <v/>
      </c>
      <c r="CJ275" t="str">
        <f>""</f>
        <v/>
      </c>
      <c r="CK275" t="str">
        <f>""</f>
        <v/>
      </c>
      <c r="CL275" t="str">
        <f>""</f>
        <v/>
      </c>
      <c r="CM275" t="str">
        <f>""</f>
        <v/>
      </c>
      <c r="CN275" t="str">
        <f>""</f>
        <v/>
      </c>
      <c r="CO275" t="str">
        <f>""</f>
        <v/>
      </c>
      <c r="CP275" t="str">
        <f>""</f>
        <v/>
      </c>
      <c r="CQ275" t="str">
        <f>""</f>
        <v/>
      </c>
      <c r="CR275" t="str">
        <f>""</f>
        <v/>
      </c>
      <c r="CS275" t="str">
        <f>""</f>
        <v/>
      </c>
      <c r="CT275" t="str">
        <f>""</f>
        <v/>
      </c>
      <c r="CU275" t="str">
        <f>""</f>
        <v/>
      </c>
      <c r="CV275" t="str">
        <f>""</f>
        <v/>
      </c>
      <c r="CW275" t="str">
        <f>""</f>
        <v/>
      </c>
      <c r="CX275" t="str">
        <f>""</f>
        <v/>
      </c>
      <c r="CY275" t="str">
        <f>""</f>
        <v/>
      </c>
      <c r="CZ275" t="str">
        <f>""</f>
        <v/>
      </c>
      <c r="DA275" t="str">
        <f>""</f>
        <v/>
      </c>
      <c r="DB275" t="str">
        <f>""</f>
        <v/>
      </c>
      <c r="DC275" t="str">
        <f>""</f>
        <v/>
      </c>
      <c r="DD275" t="str">
        <f>""</f>
        <v/>
      </c>
      <c r="DE275" t="str">
        <f>""</f>
        <v/>
      </c>
      <c r="DF275" t="str">
        <f>""</f>
        <v/>
      </c>
      <c r="DG275" t="str">
        <f>""</f>
        <v/>
      </c>
      <c r="DH275" t="str">
        <f>""</f>
        <v/>
      </c>
      <c r="DI275" t="str">
        <f>""</f>
        <v/>
      </c>
      <c r="DJ275" t="str">
        <f>""</f>
        <v/>
      </c>
      <c r="DK275" t="str">
        <f>""</f>
        <v/>
      </c>
      <c r="DL275" t="str">
        <f>""</f>
        <v/>
      </c>
      <c r="DM275" t="str">
        <f>""</f>
        <v/>
      </c>
      <c r="DN275" t="str">
        <f>""</f>
        <v/>
      </c>
      <c r="DO275" t="str">
        <f>""</f>
        <v/>
      </c>
      <c r="DP275" t="str">
        <f>""</f>
        <v/>
      </c>
      <c r="DQ275" t="str">
        <f>""</f>
        <v/>
      </c>
      <c r="DR275" t="str">
        <f>""</f>
        <v/>
      </c>
      <c r="DS275" t="str">
        <f>""</f>
        <v/>
      </c>
      <c r="DT275" t="str">
        <f>""</f>
        <v/>
      </c>
      <c r="DU275" t="str">
        <f>""</f>
        <v/>
      </c>
    </row>
    <row r="276" spans="1:125">
      <c r="A276" t="str">
        <f>$A$45</f>
        <v xml:space="preserve">    Free Standing Retail REITs</v>
      </c>
      <c r="B276" t="str">
        <f>$B$45</f>
        <v>RECFNOFS Index</v>
      </c>
      <c r="C276" t="str">
        <f>$C$45</f>
        <v>PR005</v>
      </c>
      <c r="D276" t="str">
        <f>$D$45</f>
        <v>PX_LAST</v>
      </c>
      <c r="E276" t="str">
        <f>$E$45</f>
        <v>动态</v>
      </c>
      <c r="F276" t="str">
        <f ca="1">BDH($B$45,$C$45,$B$181,$B$182,CONCATENATE("Per=",$B$179),"Dts=H","Dir=H",CONCATENATE("Points=",$B$180),"Sort=R","Days=A","Fill=B",CONCATENATE("FX=", $B$178) )</f>
        <v>#N/A Authorization</v>
      </c>
      <c r="BN276" t="str">
        <f>""</f>
        <v/>
      </c>
      <c r="BO276" t="str">
        <f>""</f>
        <v/>
      </c>
      <c r="BP276" t="str">
        <f>""</f>
        <v/>
      </c>
      <c r="BQ276" t="str">
        <f>""</f>
        <v/>
      </c>
      <c r="BR276" t="str">
        <f>""</f>
        <v/>
      </c>
      <c r="BS276" t="str">
        <f>""</f>
        <v/>
      </c>
      <c r="BT276" t="str">
        <f>""</f>
        <v/>
      </c>
      <c r="BU276" t="str">
        <f>""</f>
        <v/>
      </c>
      <c r="BV276" t="str">
        <f>""</f>
        <v/>
      </c>
      <c r="BW276" t="str">
        <f>""</f>
        <v/>
      </c>
      <c r="BX276" t="str">
        <f>""</f>
        <v/>
      </c>
      <c r="BY276" t="str">
        <f>""</f>
        <v/>
      </c>
      <c r="BZ276" t="str">
        <f>""</f>
        <v/>
      </c>
      <c r="CA276" t="str">
        <f>""</f>
        <v/>
      </c>
      <c r="CB276" t="str">
        <f>""</f>
        <v/>
      </c>
      <c r="CC276" t="str">
        <f>""</f>
        <v/>
      </c>
      <c r="CD276" t="str">
        <f>""</f>
        <v/>
      </c>
      <c r="CE276" t="str">
        <f>""</f>
        <v/>
      </c>
      <c r="CF276" t="str">
        <f>""</f>
        <v/>
      </c>
      <c r="CG276" t="str">
        <f>""</f>
        <v/>
      </c>
      <c r="CH276" t="str">
        <f>""</f>
        <v/>
      </c>
      <c r="CI276" t="str">
        <f>""</f>
        <v/>
      </c>
      <c r="CJ276" t="str">
        <f>""</f>
        <v/>
      </c>
      <c r="CK276" t="str">
        <f>""</f>
        <v/>
      </c>
      <c r="CL276" t="str">
        <f>""</f>
        <v/>
      </c>
      <c r="CM276" t="str">
        <f>""</f>
        <v/>
      </c>
      <c r="CN276" t="str">
        <f>""</f>
        <v/>
      </c>
      <c r="CO276" t="str">
        <f>""</f>
        <v/>
      </c>
      <c r="CP276" t="str">
        <f>""</f>
        <v/>
      </c>
      <c r="CQ276" t="str">
        <f>""</f>
        <v/>
      </c>
      <c r="CR276" t="str">
        <f>""</f>
        <v/>
      </c>
      <c r="CS276" t="str">
        <f>""</f>
        <v/>
      </c>
      <c r="CT276" t="str">
        <f>""</f>
        <v/>
      </c>
      <c r="CU276" t="str">
        <f>""</f>
        <v/>
      </c>
      <c r="CV276" t="str">
        <f>""</f>
        <v/>
      </c>
      <c r="CW276" t="str">
        <f>""</f>
        <v/>
      </c>
      <c r="CX276" t="str">
        <f>""</f>
        <v/>
      </c>
      <c r="CY276" t="str">
        <f>""</f>
        <v/>
      </c>
      <c r="CZ276" t="str">
        <f>""</f>
        <v/>
      </c>
      <c r="DA276" t="str">
        <f>""</f>
        <v/>
      </c>
      <c r="DB276" t="str">
        <f>""</f>
        <v/>
      </c>
      <c r="DC276" t="str">
        <f>""</f>
        <v/>
      </c>
      <c r="DD276" t="str">
        <f>""</f>
        <v/>
      </c>
      <c r="DE276" t="str">
        <f>""</f>
        <v/>
      </c>
      <c r="DF276" t="str">
        <f>""</f>
        <v/>
      </c>
      <c r="DG276" t="str">
        <f>""</f>
        <v/>
      </c>
      <c r="DH276" t="str">
        <f>""</f>
        <v/>
      </c>
      <c r="DI276" t="str">
        <f>""</f>
        <v/>
      </c>
      <c r="DJ276" t="str">
        <f>""</f>
        <v/>
      </c>
      <c r="DK276" t="str">
        <f>""</f>
        <v/>
      </c>
      <c r="DL276" t="str">
        <f>""</f>
        <v/>
      </c>
      <c r="DM276" t="str">
        <f>""</f>
        <v/>
      </c>
      <c r="DN276" t="str">
        <f>""</f>
        <v/>
      </c>
      <c r="DO276" t="str">
        <f>""</f>
        <v/>
      </c>
      <c r="DP276" t="str">
        <f>""</f>
        <v/>
      </c>
      <c r="DQ276" t="str">
        <f>""</f>
        <v/>
      </c>
      <c r="DR276" t="str">
        <f>""</f>
        <v/>
      </c>
      <c r="DS276" t="str">
        <f>""</f>
        <v/>
      </c>
      <c r="DT276" t="str">
        <f>""</f>
        <v/>
      </c>
      <c r="DU276" t="str">
        <f>""</f>
        <v/>
      </c>
    </row>
    <row r="277" spans="1:125">
      <c r="A277" t="str">
        <f>$A$46</f>
        <v xml:space="preserve">    Residential REITs</v>
      </c>
      <c r="B277" t="str">
        <f>$B$46</f>
        <v>RECFNORS Index</v>
      </c>
      <c r="C277" t="str">
        <f>$C$46</f>
        <v>PR005</v>
      </c>
      <c r="D277" t="str">
        <f>$D$46</f>
        <v>PX_LAST</v>
      </c>
      <c r="E277" t="str">
        <f>$E$46</f>
        <v>动态</v>
      </c>
      <c r="F277" t="str">
        <f ca="1">BDH($B$46,$C$46,$B$181,$B$182,CONCATENATE("Per=",$B$179),"Dts=H","Dir=H",CONCATENATE("Points=",$B$180),"Sort=R","Days=A","Fill=B",CONCATENATE("FX=", $B$178) )</f>
        <v>#N/A Authorization</v>
      </c>
      <c r="BN277" t="str">
        <f>""</f>
        <v/>
      </c>
      <c r="BO277" t="str">
        <f>""</f>
        <v/>
      </c>
      <c r="BP277" t="str">
        <f>""</f>
        <v/>
      </c>
      <c r="BQ277" t="str">
        <f>""</f>
        <v/>
      </c>
      <c r="BR277" t="str">
        <f>""</f>
        <v/>
      </c>
      <c r="BS277" t="str">
        <f>""</f>
        <v/>
      </c>
      <c r="BT277" t="str">
        <f>""</f>
        <v/>
      </c>
      <c r="BU277" t="str">
        <f>""</f>
        <v/>
      </c>
      <c r="BV277" t="str">
        <f>""</f>
        <v/>
      </c>
      <c r="BW277" t="str">
        <f>""</f>
        <v/>
      </c>
      <c r="BX277" t="str">
        <f>""</f>
        <v/>
      </c>
      <c r="BY277" t="str">
        <f>""</f>
        <v/>
      </c>
      <c r="BZ277" t="str">
        <f>""</f>
        <v/>
      </c>
      <c r="CA277" t="str">
        <f>""</f>
        <v/>
      </c>
      <c r="CB277" t="str">
        <f>""</f>
        <v/>
      </c>
      <c r="CC277" t="str">
        <f>""</f>
        <v/>
      </c>
      <c r="CD277" t="str">
        <f>""</f>
        <v/>
      </c>
      <c r="CE277" t="str">
        <f>""</f>
        <v/>
      </c>
      <c r="CF277" t="str">
        <f>""</f>
        <v/>
      </c>
      <c r="CG277" t="str">
        <f>""</f>
        <v/>
      </c>
      <c r="CH277" t="str">
        <f>""</f>
        <v/>
      </c>
      <c r="CI277" t="str">
        <f>""</f>
        <v/>
      </c>
      <c r="CJ277" t="str">
        <f>""</f>
        <v/>
      </c>
      <c r="CK277" t="str">
        <f>""</f>
        <v/>
      </c>
      <c r="CL277" t="str">
        <f>""</f>
        <v/>
      </c>
      <c r="CM277" t="str">
        <f>""</f>
        <v/>
      </c>
      <c r="CN277" t="str">
        <f>""</f>
        <v/>
      </c>
      <c r="CO277" t="str">
        <f>""</f>
        <v/>
      </c>
      <c r="CP277" t="str">
        <f>""</f>
        <v/>
      </c>
      <c r="CQ277" t="str">
        <f>""</f>
        <v/>
      </c>
      <c r="CR277" t="str">
        <f>""</f>
        <v/>
      </c>
      <c r="CS277" t="str">
        <f>""</f>
        <v/>
      </c>
      <c r="CT277" t="str">
        <f>""</f>
        <v/>
      </c>
      <c r="CU277" t="str">
        <f>""</f>
        <v/>
      </c>
      <c r="CV277" t="str">
        <f>""</f>
        <v/>
      </c>
      <c r="CW277" t="str">
        <f>""</f>
        <v/>
      </c>
      <c r="CX277" t="str">
        <f>""</f>
        <v/>
      </c>
      <c r="CY277" t="str">
        <f>""</f>
        <v/>
      </c>
      <c r="CZ277" t="str">
        <f>""</f>
        <v/>
      </c>
      <c r="DA277" t="str">
        <f>""</f>
        <v/>
      </c>
      <c r="DB277" t="str">
        <f>""</f>
        <v/>
      </c>
      <c r="DC277" t="str">
        <f>""</f>
        <v/>
      </c>
      <c r="DD277" t="str">
        <f>""</f>
        <v/>
      </c>
      <c r="DE277" t="str">
        <f>""</f>
        <v/>
      </c>
      <c r="DF277" t="str">
        <f>""</f>
        <v/>
      </c>
      <c r="DG277" t="str">
        <f>""</f>
        <v/>
      </c>
      <c r="DH277" t="str">
        <f>""</f>
        <v/>
      </c>
      <c r="DI277" t="str">
        <f>""</f>
        <v/>
      </c>
      <c r="DJ277" t="str">
        <f>""</f>
        <v/>
      </c>
      <c r="DK277" t="str">
        <f>""</f>
        <v/>
      </c>
      <c r="DL277" t="str">
        <f>""</f>
        <v/>
      </c>
      <c r="DM277" t="str">
        <f>""</f>
        <v/>
      </c>
      <c r="DN277" t="str">
        <f>""</f>
        <v/>
      </c>
      <c r="DO277" t="str">
        <f>""</f>
        <v/>
      </c>
      <c r="DP277" t="str">
        <f>""</f>
        <v/>
      </c>
      <c r="DQ277" t="str">
        <f>""</f>
        <v/>
      </c>
      <c r="DR277" t="str">
        <f>""</f>
        <v/>
      </c>
      <c r="DS277" t="str">
        <f>""</f>
        <v/>
      </c>
      <c r="DT277" t="str">
        <f>""</f>
        <v/>
      </c>
      <c r="DU277" t="str">
        <f>""</f>
        <v/>
      </c>
    </row>
    <row r="278" spans="1:125">
      <c r="A278" t="str">
        <f>$A$47</f>
        <v xml:space="preserve">    Apartment REITs</v>
      </c>
      <c r="B278" t="str">
        <f>$B$47</f>
        <v>RECFNOAP Index</v>
      </c>
      <c r="C278" t="str">
        <f>$C$47</f>
        <v>PR005</v>
      </c>
      <c r="D278" t="str">
        <f>$D$47</f>
        <v>PX_LAST</v>
      </c>
      <c r="E278" t="str">
        <f>$E$47</f>
        <v>动态</v>
      </c>
      <c r="F278" t="str">
        <f ca="1">BDH($B$47,$C$47,$B$181,$B$182,CONCATENATE("Per=",$B$179),"Dts=H","Dir=H",CONCATENATE("Points=",$B$180),"Sort=R","Days=A","Fill=B",CONCATENATE("FX=", $B$178) )</f>
        <v>#N/A Authorization</v>
      </c>
      <c r="BN278" t="str">
        <f>""</f>
        <v/>
      </c>
      <c r="BO278" t="str">
        <f>""</f>
        <v/>
      </c>
      <c r="BP278" t="str">
        <f>""</f>
        <v/>
      </c>
      <c r="BQ278" t="str">
        <f>""</f>
        <v/>
      </c>
      <c r="BR278" t="str">
        <f>""</f>
        <v/>
      </c>
      <c r="BS278" t="str">
        <f>""</f>
        <v/>
      </c>
      <c r="BT278" t="str">
        <f>""</f>
        <v/>
      </c>
      <c r="BU278" t="str">
        <f>""</f>
        <v/>
      </c>
      <c r="BV278" t="str">
        <f>""</f>
        <v/>
      </c>
      <c r="BW278" t="str">
        <f>""</f>
        <v/>
      </c>
      <c r="BX278" t="str">
        <f>""</f>
        <v/>
      </c>
      <c r="BY278" t="str">
        <f>""</f>
        <v/>
      </c>
      <c r="BZ278" t="str">
        <f>""</f>
        <v/>
      </c>
      <c r="CA278" t="str">
        <f>""</f>
        <v/>
      </c>
      <c r="CB278" t="str">
        <f>""</f>
        <v/>
      </c>
      <c r="CC278" t="str">
        <f>""</f>
        <v/>
      </c>
      <c r="CD278" t="str">
        <f>""</f>
        <v/>
      </c>
      <c r="CE278" t="str">
        <f>""</f>
        <v/>
      </c>
      <c r="CF278" t="str">
        <f>""</f>
        <v/>
      </c>
      <c r="CG278" t="str">
        <f>""</f>
        <v/>
      </c>
      <c r="CH278" t="str">
        <f>""</f>
        <v/>
      </c>
      <c r="CI278" t="str">
        <f>""</f>
        <v/>
      </c>
      <c r="CJ278" t="str">
        <f>""</f>
        <v/>
      </c>
      <c r="CK278" t="str">
        <f>""</f>
        <v/>
      </c>
      <c r="CL278" t="str">
        <f>""</f>
        <v/>
      </c>
      <c r="CM278" t="str">
        <f>""</f>
        <v/>
      </c>
      <c r="CN278" t="str">
        <f>""</f>
        <v/>
      </c>
      <c r="CO278" t="str">
        <f>""</f>
        <v/>
      </c>
      <c r="CP278" t="str">
        <f>""</f>
        <v/>
      </c>
      <c r="CQ278" t="str">
        <f>""</f>
        <v/>
      </c>
      <c r="CR278" t="str">
        <f>""</f>
        <v/>
      </c>
      <c r="CS278" t="str">
        <f>""</f>
        <v/>
      </c>
      <c r="CT278" t="str">
        <f>""</f>
        <v/>
      </c>
      <c r="CU278" t="str">
        <f>""</f>
        <v/>
      </c>
      <c r="CV278" t="str">
        <f>""</f>
        <v/>
      </c>
      <c r="CW278" t="str">
        <f>""</f>
        <v/>
      </c>
      <c r="CX278" t="str">
        <f>""</f>
        <v/>
      </c>
      <c r="CY278" t="str">
        <f>""</f>
        <v/>
      </c>
      <c r="CZ278" t="str">
        <f>""</f>
        <v/>
      </c>
      <c r="DA278" t="str">
        <f>""</f>
        <v/>
      </c>
      <c r="DB278" t="str">
        <f>""</f>
        <v/>
      </c>
      <c r="DC278" t="str">
        <f>""</f>
        <v/>
      </c>
      <c r="DD278" t="str">
        <f>""</f>
        <v/>
      </c>
      <c r="DE278" t="str">
        <f>""</f>
        <v/>
      </c>
      <c r="DF278" t="str">
        <f>""</f>
        <v/>
      </c>
      <c r="DG278" t="str">
        <f>""</f>
        <v/>
      </c>
      <c r="DH278" t="str">
        <f>""</f>
        <v/>
      </c>
      <c r="DI278" t="str">
        <f>""</f>
        <v/>
      </c>
      <c r="DJ278" t="str">
        <f>""</f>
        <v/>
      </c>
      <c r="DK278" t="str">
        <f>""</f>
        <v/>
      </c>
      <c r="DL278" t="str">
        <f>""</f>
        <v/>
      </c>
      <c r="DM278" t="str">
        <f>""</f>
        <v/>
      </c>
      <c r="DN278" t="str">
        <f>""</f>
        <v/>
      </c>
      <c r="DO278" t="str">
        <f>""</f>
        <v/>
      </c>
      <c r="DP278" t="str">
        <f>""</f>
        <v/>
      </c>
      <c r="DQ278" t="str">
        <f>""</f>
        <v/>
      </c>
      <c r="DR278" t="str">
        <f>""</f>
        <v/>
      </c>
      <c r="DS278" t="str">
        <f>""</f>
        <v/>
      </c>
      <c r="DT278" t="str">
        <f>""</f>
        <v/>
      </c>
      <c r="DU278" t="str">
        <f>""</f>
        <v/>
      </c>
    </row>
    <row r="279" spans="1:125">
      <c r="A279" t="str">
        <f>$A$48</f>
        <v xml:space="preserve">    Manufactured Home REITs</v>
      </c>
      <c r="B279" t="str">
        <f>$B$48</f>
        <v>RECFNOMH Index</v>
      </c>
      <c r="C279" t="str">
        <f>$C$48</f>
        <v>PR005</v>
      </c>
      <c r="D279" t="str">
        <f>$D$48</f>
        <v>PX_LAST</v>
      </c>
      <c r="E279" t="str">
        <f>$E$48</f>
        <v>动态</v>
      </c>
      <c r="F279" t="str">
        <f ca="1">BDH($B$48,$C$48,$B$181,$B$182,CONCATENATE("Per=",$B$179),"Dts=H","Dir=H",CONCATENATE("Points=",$B$180),"Sort=R","Days=A","Fill=B",CONCATENATE("FX=", $B$178) )</f>
        <v>#N/A Authorization</v>
      </c>
      <c r="BN279" t="str">
        <f>""</f>
        <v/>
      </c>
      <c r="BO279" t="str">
        <f>""</f>
        <v/>
      </c>
      <c r="BP279" t="str">
        <f>""</f>
        <v/>
      </c>
      <c r="BQ279" t="str">
        <f>""</f>
        <v/>
      </c>
      <c r="BR279" t="str">
        <f>""</f>
        <v/>
      </c>
      <c r="BS279" t="str">
        <f>""</f>
        <v/>
      </c>
      <c r="BT279" t="str">
        <f>""</f>
        <v/>
      </c>
      <c r="BU279" t="str">
        <f>""</f>
        <v/>
      </c>
      <c r="BV279" t="str">
        <f>""</f>
        <v/>
      </c>
      <c r="BW279" t="str">
        <f>""</f>
        <v/>
      </c>
      <c r="BX279" t="str">
        <f>""</f>
        <v/>
      </c>
      <c r="BY279" t="str">
        <f>""</f>
        <v/>
      </c>
      <c r="BZ279" t="str">
        <f>""</f>
        <v/>
      </c>
      <c r="CA279" t="str">
        <f>""</f>
        <v/>
      </c>
      <c r="CB279" t="str">
        <f>""</f>
        <v/>
      </c>
      <c r="CC279" t="str">
        <f>""</f>
        <v/>
      </c>
      <c r="CD279" t="str">
        <f>""</f>
        <v/>
      </c>
      <c r="CE279" t="str">
        <f>""</f>
        <v/>
      </c>
      <c r="CF279" t="str">
        <f>""</f>
        <v/>
      </c>
      <c r="CG279" t="str">
        <f>""</f>
        <v/>
      </c>
      <c r="CH279" t="str">
        <f>""</f>
        <v/>
      </c>
      <c r="CI279" t="str">
        <f>""</f>
        <v/>
      </c>
      <c r="CJ279" t="str">
        <f>""</f>
        <v/>
      </c>
      <c r="CK279" t="str">
        <f>""</f>
        <v/>
      </c>
      <c r="CL279" t="str">
        <f>""</f>
        <v/>
      </c>
      <c r="CM279" t="str">
        <f>""</f>
        <v/>
      </c>
      <c r="CN279" t="str">
        <f>""</f>
        <v/>
      </c>
      <c r="CO279" t="str">
        <f>""</f>
        <v/>
      </c>
      <c r="CP279" t="str">
        <f>""</f>
        <v/>
      </c>
      <c r="CQ279" t="str">
        <f>""</f>
        <v/>
      </c>
      <c r="CR279" t="str">
        <f>""</f>
        <v/>
      </c>
      <c r="CS279" t="str">
        <f>""</f>
        <v/>
      </c>
      <c r="CT279" t="str">
        <f>""</f>
        <v/>
      </c>
      <c r="CU279" t="str">
        <f>""</f>
        <v/>
      </c>
      <c r="CV279" t="str">
        <f>""</f>
        <v/>
      </c>
      <c r="CW279" t="str">
        <f>""</f>
        <v/>
      </c>
      <c r="CX279" t="str">
        <f>""</f>
        <v/>
      </c>
      <c r="CY279" t="str">
        <f>""</f>
        <v/>
      </c>
      <c r="CZ279" t="str">
        <f>""</f>
        <v/>
      </c>
      <c r="DA279" t="str">
        <f>""</f>
        <v/>
      </c>
      <c r="DB279" t="str">
        <f>""</f>
        <v/>
      </c>
      <c r="DC279" t="str">
        <f>""</f>
        <v/>
      </c>
      <c r="DD279" t="str">
        <f>""</f>
        <v/>
      </c>
      <c r="DE279" t="str">
        <f>""</f>
        <v/>
      </c>
      <c r="DF279" t="str">
        <f>""</f>
        <v/>
      </c>
      <c r="DG279" t="str">
        <f>""</f>
        <v/>
      </c>
      <c r="DH279" t="str">
        <f>""</f>
        <v/>
      </c>
      <c r="DI279" t="str">
        <f>""</f>
        <v/>
      </c>
      <c r="DJ279" t="str">
        <f>""</f>
        <v/>
      </c>
      <c r="DK279" t="str">
        <f>""</f>
        <v/>
      </c>
      <c r="DL279" t="str">
        <f>""</f>
        <v/>
      </c>
      <c r="DM279" t="str">
        <f>""</f>
        <v/>
      </c>
      <c r="DN279" t="str">
        <f>""</f>
        <v/>
      </c>
      <c r="DO279" t="str">
        <f>""</f>
        <v/>
      </c>
      <c r="DP279" t="str">
        <f>""</f>
        <v/>
      </c>
      <c r="DQ279" t="str">
        <f>""</f>
        <v/>
      </c>
      <c r="DR279" t="str">
        <f>""</f>
        <v/>
      </c>
      <c r="DS279" t="str">
        <f>""</f>
        <v/>
      </c>
      <c r="DT279" t="str">
        <f>""</f>
        <v/>
      </c>
      <c r="DU279" t="str">
        <f>""</f>
        <v/>
      </c>
    </row>
    <row r="280" spans="1:125">
      <c r="A280" t="str">
        <f>$A$49</f>
        <v xml:space="preserve">    Single Family Rental REITs</v>
      </c>
      <c r="B280" t="str">
        <f>$B$49</f>
        <v>RECFNOSF Index</v>
      </c>
      <c r="C280" t="str">
        <f>$C$49</f>
        <v>PR005</v>
      </c>
      <c r="D280" t="str">
        <f>$D$49</f>
        <v>PX_LAST</v>
      </c>
      <c r="E280" t="str">
        <f>$E$49</f>
        <v>动态</v>
      </c>
      <c r="F280" t="str">
        <f ca="1">BDH($B$49,$C$49,$B$181,$B$182,CONCATENATE("Per=",$B$179),"Dts=H","Dir=H",CONCATENATE("Points=",$B$180),"Sort=R","Days=A","Fill=B",CONCATENATE("FX=", $B$178) )</f>
        <v>#N/A Authorization</v>
      </c>
      <c r="BN280" t="str">
        <f>""</f>
        <v/>
      </c>
      <c r="BO280" t="str">
        <f>""</f>
        <v/>
      </c>
      <c r="BP280" t="str">
        <f>""</f>
        <v/>
      </c>
      <c r="BQ280" t="str">
        <f>""</f>
        <v/>
      </c>
      <c r="BR280" t="str">
        <f>""</f>
        <v/>
      </c>
      <c r="BS280" t="str">
        <f>""</f>
        <v/>
      </c>
      <c r="BT280" t="str">
        <f>""</f>
        <v/>
      </c>
      <c r="BU280" t="str">
        <f>""</f>
        <v/>
      </c>
      <c r="BV280" t="str">
        <f>""</f>
        <v/>
      </c>
      <c r="BW280" t="str">
        <f>""</f>
        <v/>
      </c>
      <c r="BX280" t="str">
        <f>""</f>
        <v/>
      </c>
      <c r="BY280" t="str">
        <f>""</f>
        <v/>
      </c>
      <c r="BZ280" t="str">
        <f>""</f>
        <v/>
      </c>
      <c r="CA280" t="str">
        <f>""</f>
        <v/>
      </c>
      <c r="CB280" t="str">
        <f>""</f>
        <v/>
      </c>
      <c r="CC280" t="str">
        <f>""</f>
        <v/>
      </c>
      <c r="CD280" t="str">
        <f>""</f>
        <v/>
      </c>
      <c r="CE280" t="str">
        <f>""</f>
        <v/>
      </c>
      <c r="CF280" t="str">
        <f>""</f>
        <v/>
      </c>
      <c r="CG280" t="str">
        <f>""</f>
        <v/>
      </c>
      <c r="CH280" t="str">
        <f>""</f>
        <v/>
      </c>
      <c r="CI280" t="str">
        <f>""</f>
        <v/>
      </c>
      <c r="CJ280" t="str">
        <f>""</f>
        <v/>
      </c>
      <c r="CK280" t="str">
        <f>""</f>
        <v/>
      </c>
      <c r="CL280" t="str">
        <f>""</f>
        <v/>
      </c>
      <c r="CM280" t="str">
        <f>""</f>
        <v/>
      </c>
      <c r="CN280" t="str">
        <f>""</f>
        <v/>
      </c>
      <c r="CO280" t="str">
        <f>""</f>
        <v/>
      </c>
      <c r="CP280" t="str">
        <f>""</f>
        <v/>
      </c>
      <c r="CQ280" t="str">
        <f>""</f>
        <v/>
      </c>
      <c r="CR280" t="str">
        <f>""</f>
        <v/>
      </c>
      <c r="CS280" t="str">
        <f>""</f>
        <v/>
      </c>
      <c r="CT280" t="str">
        <f>""</f>
        <v/>
      </c>
      <c r="CU280" t="str">
        <f>""</f>
        <v/>
      </c>
      <c r="CV280" t="str">
        <f>""</f>
        <v/>
      </c>
      <c r="CW280" t="str">
        <f>""</f>
        <v/>
      </c>
      <c r="CX280" t="str">
        <f>""</f>
        <v/>
      </c>
      <c r="CY280" t="str">
        <f>""</f>
        <v/>
      </c>
      <c r="CZ280" t="str">
        <f>""</f>
        <v/>
      </c>
      <c r="DA280" t="str">
        <f>""</f>
        <v/>
      </c>
      <c r="DB280" t="str">
        <f>""</f>
        <v/>
      </c>
      <c r="DC280" t="str">
        <f>""</f>
        <v/>
      </c>
      <c r="DD280" t="str">
        <f>""</f>
        <v/>
      </c>
      <c r="DE280" t="str">
        <f>""</f>
        <v/>
      </c>
      <c r="DF280" t="str">
        <f>""</f>
        <v/>
      </c>
      <c r="DG280" t="str">
        <f>""</f>
        <v/>
      </c>
      <c r="DH280" t="str">
        <f>""</f>
        <v/>
      </c>
      <c r="DI280" t="str">
        <f>""</f>
        <v/>
      </c>
      <c r="DJ280" t="str">
        <f>""</f>
        <v/>
      </c>
      <c r="DK280" t="str">
        <f>""</f>
        <v/>
      </c>
      <c r="DL280" t="str">
        <f>""</f>
        <v/>
      </c>
      <c r="DM280" t="str">
        <f>""</f>
        <v/>
      </c>
      <c r="DN280" t="str">
        <f>""</f>
        <v/>
      </c>
      <c r="DO280" t="str">
        <f>""</f>
        <v/>
      </c>
      <c r="DP280" t="str">
        <f>""</f>
        <v/>
      </c>
      <c r="DQ280" t="str">
        <f>""</f>
        <v/>
      </c>
      <c r="DR280" t="str">
        <f>""</f>
        <v/>
      </c>
      <c r="DS280" t="str">
        <f>""</f>
        <v/>
      </c>
      <c r="DT280" t="str">
        <f>""</f>
        <v/>
      </c>
      <c r="DU280" t="str">
        <f>""</f>
        <v/>
      </c>
    </row>
    <row r="281" spans="1:125">
      <c r="A281" t="str">
        <f>$A$50</f>
        <v xml:space="preserve">    Diversified REITs</v>
      </c>
      <c r="B281" t="str">
        <f>$B$50</f>
        <v>RECFNODV Index</v>
      </c>
      <c r="C281" t="str">
        <f>$C$50</f>
        <v>PR005</v>
      </c>
      <c r="D281" t="str">
        <f>$D$50</f>
        <v>PX_LAST</v>
      </c>
      <c r="E281" t="str">
        <f>$E$50</f>
        <v>动态</v>
      </c>
      <c r="F281" t="str">
        <f ca="1">BDH($B$50,$C$50,$B$181,$B$182,CONCATENATE("Per=",$B$179),"Dts=H","Dir=H",CONCATENATE("Points=",$B$180),"Sort=R","Days=A","Fill=B",CONCATENATE("FX=", $B$178) )</f>
        <v>#N/A Authorization</v>
      </c>
      <c r="BN281" t="str">
        <f>""</f>
        <v/>
      </c>
      <c r="BO281" t="str">
        <f>""</f>
        <v/>
      </c>
      <c r="BP281" t="str">
        <f>""</f>
        <v/>
      </c>
      <c r="BQ281" t="str">
        <f>""</f>
        <v/>
      </c>
      <c r="BR281" t="str">
        <f>""</f>
        <v/>
      </c>
      <c r="BS281" t="str">
        <f>""</f>
        <v/>
      </c>
      <c r="BT281" t="str">
        <f>""</f>
        <v/>
      </c>
      <c r="BU281" t="str">
        <f>""</f>
        <v/>
      </c>
      <c r="BV281" t="str">
        <f>""</f>
        <v/>
      </c>
      <c r="BW281" t="str">
        <f>""</f>
        <v/>
      </c>
      <c r="BX281" t="str">
        <f>""</f>
        <v/>
      </c>
      <c r="BY281" t="str">
        <f>""</f>
        <v/>
      </c>
      <c r="BZ281" t="str">
        <f>""</f>
        <v/>
      </c>
      <c r="CA281" t="str">
        <f>""</f>
        <v/>
      </c>
      <c r="CB281" t="str">
        <f>""</f>
        <v/>
      </c>
      <c r="CC281" t="str">
        <f>""</f>
        <v/>
      </c>
      <c r="CD281" t="str">
        <f>""</f>
        <v/>
      </c>
      <c r="CE281" t="str">
        <f>""</f>
        <v/>
      </c>
      <c r="CF281" t="str">
        <f>""</f>
        <v/>
      </c>
      <c r="CG281" t="str">
        <f>""</f>
        <v/>
      </c>
      <c r="CH281" t="str">
        <f>""</f>
        <v/>
      </c>
      <c r="CI281" t="str">
        <f>""</f>
        <v/>
      </c>
      <c r="CJ281" t="str">
        <f>""</f>
        <v/>
      </c>
      <c r="CK281" t="str">
        <f>""</f>
        <v/>
      </c>
      <c r="CL281" t="str">
        <f>""</f>
        <v/>
      </c>
      <c r="CM281" t="str">
        <f>""</f>
        <v/>
      </c>
      <c r="CN281" t="str">
        <f>""</f>
        <v/>
      </c>
      <c r="CO281" t="str">
        <f>""</f>
        <v/>
      </c>
      <c r="CP281" t="str">
        <f>""</f>
        <v/>
      </c>
      <c r="CQ281" t="str">
        <f>""</f>
        <v/>
      </c>
      <c r="CR281" t="str">
        <f>""</f>
        <v/>
      </c>
      <c r="CS281" t="str">
        <f>""</f>
        <v/>
      </c>
      <c r="CT281" t="str">
        <f>""</f>
        <v/>
      </c>
      <c r="CU281" t="str">
        <f>""</f>
        <v/>
      </c>
      <c r="CV281" t="str">
        <f>""</f>
        <v/>
      </c>
      <c r="CW281" t="str">
        <f>""</f>
        <v/>
      </c>
      <c r="CX281" t="str">
        <f>""</f>
        <v/>
      </c>
      <c r="CY281" t="str">
        <f>""</f>
        <v/>
      </c>
      <c r="CZ281" t="str">
        <f>""</f>
        <v/>
      </c>
      <c r="DA281" t="str">
        <f>""</f>
        <v/>
      </c>
      <c r="DB281" t="str">
        <f>""</f>
        <v/>
      </c>
      <c r="DC281" t="str">
        <f>""</f>
        <v/>
      </c>
      <c r="DD281" t="str">
        <f>""</f>
        <v/>
      </c>
      <c r="DE281" t="str">
        <f>""</f>
        <v/>
      </c>
      <c r="DF281" t="str">
        <f>""</f>
        <v/>
      </c>
      <c r="DG281" t="str">
        <f>""</f>
        <v/>
      </c>
      <c r="DH281" t="str">
        <f>""</f>
        <v/>
      </c>
      <c r="DI281" t="str">
        <f>""</f>
        <v/>
      </c>
      <c r="DJ281" t="str">
        <f>""</f>
        <v/>
      </c>
      <c r="DK281" t="str">
        <f>""</f>
        <v/>
      </c>
      <c r="DL281" t="str">
        <f>""</f>
        <v/>
      </c>
      <c r="DM281" t="str">
        <f>""</f>
        <v/>
      </c>
      <c r="DN281" t="str">
        <f>""</f>
        <v/>
      </c>
      <c r="DO281" t="str">
        <f>""</f>
        <v/>
      </c>
      <c r="DP281" t="str">
        <f>""</f>
        <v/>
      </c>
      <c r="DQ281" t="str">
        <f>""</f>
        <v/>
      </c>
      <c r="DR281" t="str">
        <f>""</f>
        <v/>
      </c>
      <c r="DS281" t="str">
        <f>""</f>
        <v/>
      </c>
      <c r="DT281" t="str">
        <f>""</f>
        <v/>
      </c>
      <c r="DU281" t="str">
        <f>""</f>
        <v/>
      </c>
    </row>
    <row r="282" spans="1:125">
      <c r="A282" t="str">
        <f>$A$51</f>
        <v xml:space="preserve">    Lodging/Resort REITs</v>
      </c>
      <c r="B282" t="str">
        <f>$B$51</f>
        <v>RECFNOLR Index</v>
      </c>
      <c r="C282" t="str">
        <f>$C$51</f>
        <v>PR005</v>
      </c>
      <c r="D282" t="str">
        <f>$D$51</f>
        <v>PX_LAST</v>
      </c>
      <c r="E282" t="str">
        <f>$E$51</f>
        <v>动态</v>
      </c>
      <c r="F282" t="str">
        <f ca="1">BDH($B$51,$C$51,$B$181,$B$182,CONCATENATE("Per=",$B$179),"Dts=H","Dir=H",CONCATENATE("Points=",$B$180),"Sort=R","Days=A","Fill=B",CONCATENATE("FX=", $B$178) )</f>
        <v>#N/A Authorization</v>
      </c>
      <c r="BN282" t="str">
        <f>""</f>
        <v/>
      </c>
      <c r="BO282" t="str">
        <f>""</f>
        <v/>
      </c>
      <c r="BP282" t="str">
        <f>""</f>
        <v/>
      </c>
      <c r="BQ282" t="str">
        <f>""</f>
        <v/>
      </c>
      <c r="BR282" t="str">
        <f>""</f>
        <v/>
      </c>
      <c r="BS282" t="str">
        <f>""</f>
        <v/>
      </c>
      <c r="BT282" t="str">
        <f>""</f>
        <v/>
      </c>
      <c r="BU282" t="str">
        <f>""</f>
        <v/>
      </c>
      <c r="BV282" t="str">
        <f>""</f>
        <v/>
      </c>
      <c r="BW282" t="str">
        <f>""</f>
        <v/>
      </c>
      <c r="BX282" t="str">
        <f>""</f>
        <v/>
      </c>
      <c r="BY282" t="str">
        <f>""</f>
        <v/>
      </c>
      <c r="BZ282" t="str">
        <f>""</f>
        <v/>
      </c>
      <c r="CA282" t="str">
        <f>""</f>
        <v/>
      </c>
      <c r="CB282" t="str">
        <f>""</f>
        <v/>
      </c>
      <c r="CC282" t="str">
        <f>""</f>
        <v/>
      </c>
      <c r="CD282" t="str">
        <f>""</f>
        <v/>
      </c>
      <c r="CE282" t="str">
        <f>""</f>
        <v/>
      </c>
      <c r="CF282" t="str">
        <f>""</f>
        <v/>
      </c>
      <c r="CG282" t="str">
        <f>""</f>
        <v/>
      </c>
      <c r="CH282" t="str">
        <f>""</f>
        <v/>
      </c>
      <c r="CI282" t="str">
        <f>""</f>
        <v/>
      </c>
      <c r="CJ282" t="str">
        <f>""</f>
        <v/>
      </c>
      <c r="CK282" t="str">
        <f>""</f>
        <v/>
      </c>
      <c r="CL282" t="str">
        <f>""</f>
        <v/>
      </c>
      <c r="CM282" t="str">
        <f>""</f>
        <v/>
      </c>
      <c r="CN282" t="str">
        <f>""</f>
        <v/>
      </c>
      <c r="CO282" t="str">
        <f>""</f>
        <v/>
      </c>
      <c r="CP282" t="str">
        <f>""</f>
        <v/>
      </c>
      <c r="CQ282" t="str">
        <f>""</f>
        <v/>
      </c>
      <c r="CR282" t="str">
        <f>""</f>
        <v/>
      </c>
      <c r="CS282" t="str">
        <f>""</f>
        <v/>
      </c>
      <c r="CT282" t="str">
        <f>""</f>
        <v/>
      </c>
      <c r="CU282" t="str">
        <f>""</f>
        <v/>
      </c>
      <c r="CV282" t="str">
        <f>""</f>
        <v/>
      </c>
      <c r="CW282" t="str">
        <f>""</f>
        <v/>
      </c>
      <c r="CX282" t="str">
        <f>""</f>
        <v/>
      </c>
      <c r="CY282" t="str">
        <f>""</f>
        <v/>
      </c>
      <c r="CZ282" t="str">
        <f>""</f>
        <v/>
      </c>
      <c r="DA282" t="str">
        <f>""</f>
        <v/>
      </c>
      <c r="DB282" t="str">
        <f>""</f>
        <v/>
      </c>
      <c r="DC282" t="str">
        <f>""</f>
        <v/>
      </c>
      <c r="DD282" t="str">
        <f>""</f>
        <v/>
      </c>
      <c r="DE282" t="str">
        <f>""</f>
        <v/>
      </c>
      <c r="DF282" t="str">
        <f>""</f>
        <v/>
      </c>
      <c r="DG282" t="str">
        <f>""</f>
        <v/>
      </c>
      <c r="DH282" t="str">
        <f>""</f>
        <v/>
      </c>
      <c r="DI282" t="str">
        <f>""</f>
        <v/>
      </c>
      <c r="DJ282" t="str">
        <f>""</f>
        <v/>
      </c>
      <c r="DK282" t="str">
        <f>""</f>
        <v/>
      </c>
      <c r="DL282" t="str">
        <f>""</f>
        <v/>
      </c>
      <c r="DM282" t="str">
        <f>""</f>
        <v/>
      </c>
      <c r="DN282" t="str">
        <f>""</f>
        <v/>
      </c>
      <c r="DO282" t="str">
        <f>""</f>
        <v/>
      </c>
      <c r="DP282" t="str">
        <f>""</f>
        <v/>
      </c>
      <c r="DQ282" t="str">
        <f>""</f>
        <v/>
      </c>
      <c r="DR282" t="str">
        <f>""</f>
        <v/>
      </c>
      <c r="DS282" t="str">
        <f>""</f>
        <v/>
      </c>
      <c r="DT282" t="str">
        <f>""</f>
        <v/>
      </c>
      <c r="DU282" t="str">
        <f>""</f>
        <v/>
      </c>
    </row>
    <row r="283" spans="1:125">
      <c r="A283" t="str">
        <f>$A$52</f>
        <v xml:space="preserve">    Self Storage REITs</v>
      </c>
      <c r="B283" t="str">
        <f>$B$52</f>
        <v>RECFNOSS Index</v>
      </c>
      <c r="C283" t="str">
        <f>$C$52</f>
        <v>PR005</v>
      </c>
      <c r="D283" t="str">
        <f>$D$52</f>
        <v>PX_LAST</v>
      </c>
      <c r="E283" t="str">
        <f>$E$52</f>
        <v>动态</v>
      </c>
      <c r="F283" t="str">
        <f ca="1">BDH($B$52,$C$52,$B$181,$B$182,CONCATENATE("Per=",$B$179),"Dts=H","Dir=H",CONCATENATE("Points=",$B$180),"Sort=R","Days=A","Fill=B",CONCATENATE("FX=", $B$178) )</f>
        <v>#N/A Authorization</v>
      </c>
      <c r="BN283" t="str">
        <f>""</f>
        <v/>
      </c>
      <c r="BO283" t="str">
        <f>""</f>
        <v/>
      </c>
      <c r="BP283" t="str">
        <f>""</f>
        <v/>
      </c>
      <c r="BQ283" t="str">
        <f>""</f>
        <v/>
      </c>
      <c r="BR283" t="str">
        <f>""</f>
        <v/>
      </c>
      <c r="BS283" t="str">
        <f>""</f>
        <v/>
      </c>
      <c r="BT283" t="str">
        <f>""</f>
        <v/>
      </c>
      <c r="BU283" t="str">
        <f>""</f>
        <v/>
      </c>
      <c r="BV283" t="str">
        <f>""</f>
        <v/>
      </c>
      <c r="BW283" t="str">
        <f>""</f>
        <v/>
      </c>
      <c r="BX283" t="str">
        <f>""</f>
        <v/>
      </c>
      <c r="BY283" t="str">
        <f>""</f>
        <v/>
      </c>
      <c r="BZ283" t="str">
        <f>""</f>
        <v/>
      </c>
      <c r="CA283" t="str">
        <f>""</f>
        <v/>
      </c>
      <c r="CB283" t="str">
        <f>""</f>
        <v/>
      </c>
      <c r="CC283" t="str">
        <f>""</f>
        <v/>
      </c>
      <c r="CD283" t="str">
        <f>""</f>
        <v/>
      </c>
      <c r="CE283" t="str">
        <f>""</f>
        <v/>
      </c>
      <c r="CF283" t="str">
        <f>""</f>
        <v/>
      </c>
      <c r="CG283" t="str">
        <f>""</f>
        <v/>
      </c>
      <c r="CH283" t="str">
        <f>""</f>
        <v/>
      </c>
      <c r="CI283" t="str">
        <f>""</f>
        <v/>
      </c>
      <c r="CJ283" t="str">
        <f>""</f>
        <v/>
      </c>
      <c r="CK283" t="str">
        <f>""</f>
        <v/>
      </c>
      <c r="CL283" t="str">
        <f>""</f>
        <v/>
      </c>
      <c r="CM283" t="str">
        <f>""</f>
        <v/>
      </c>
      <c r="CN283" t="str">
        <f>""</f>
        <v/>
      </c>
      <c r="CO283" t="str">
        <f>""</f>
        <v/>
      </c>
      <c r="CP283" t="str">
        <f>""</f>
        <v/>
      </c>
      <c r="CQ283" t="str">
        <f>""</f>
        <v/>
      </c>
      <c r="CR283" t="str">
        <f>""</f>
        <v/>
      </c>
      <c r="CS283" t="str">
        <f>""</f>
        <v/>
      </c>
      <c r="CT283" t="str">
        <f>""</f>
        <v/>
      </c>
      <c r="CU283" t="str">
        <f>""</f>
        <v/>
      </c>
      <c r="CV283" t="str">
        <f>""</f>
        <v/>
      </c>
      <c r="CW283" t="str">
        <f>""</f>
        <v/>
      </c>
      <c r="CX283" t="str">
        <f>""</f>
        <v/>
      </c>
      <c r="CY283" t="str">
        <f>""</f>
        <v/>
      </c>
      <c r="CZ283" t="str">
        <f>""</f>
        <v/>
      </c>
      <c r="DA283" t="str">
        <f>""</f>
        <v/>
      </c>
      <c r="DB283" t="str">
        <f>""</f>
        <v/>
      </c>
      <c r="DC283" t="str">
        <f>""</f>
        <v/>
      </c>
      <c r="DD283" t="str">
        <f>""</f>
        <v/>
      </c>
      <c r="DE283" t="str">
        <f>""</f>
        <v/>
      </c>
      <c r="DF283" t="str">
        <f>""</f>
        <v/>
      </c>
      <c r="DG283" t="str">
        <f>""</f>
        <v/>
      </c>
      <c r="DH283" t="str">
        <f>""</f>
        <v/>
      </c>
      <c r="DI283" t="str">
        <f>""</f>
        <v/>
      </c>
      <c r="DJ283" t="str">
        <f>""</f>
        <v/>
      </c>
      <c r="DK283" t="str">
        <f>""</f>
        <v/>
      </c>
      <c r="DL283" t="str">
        <f>""</f>
        <v/>
      </c>
      <c r="DM283" t="str">
        <f>""</f>
        <v/>
      </c>
      <c r="DN283" t="str">
        <f>""</f>
        <v/>
      </c>
      <c r="DO283" t="str">
        <f>""</f>
        <v/>
      </c>
      <c r="DP283" t="str">
        <f>""</f>
        <v/>
      </c>
      <c r="DQ283" t="str">
        <f>""</f>
        <v/>
      </c>
      <c r="DR283" t="str">
        <f>""</f>
        <v/>
      </c>
      <c r="DS283" t="str">
        <f>""</f>
        <v/>
      </c>
      <c r="DT283" t="str">
        <f>""</f>
        <v/>
      </c>
      <c r="DU283" t="str">
        <f>""</f>
        <v/>
      </c>
    </row>
    <row r="284" spans="1:125">
      <c r="A284" t="str">
        <f>$A$53</f>
        <v xml:space="preserve">    Health Care REITs</v>
      </c>
      <c r="B284" t="str">
        <f>$B$53</f>
        <v>RECFNOHC Index</v>
      </c>
      <c r="C284" t="str">
        <f>$C$53</f>
        <v>PR005</v>
      </c>
      <c r="D284" t="str">
        <f>$D$53</f>
        <v>PX_LAST</v>
      </c>
      <c r="E284" t="str">
        <f>$E$53</f>
        <v>动态</v>
      </c>
      <c r="F284" t="str">
        <f ca="1">BDH($B$53,$C$53,$B$181,$B$182,CONCATENATE("Per=",$B$179),"Dts=H","Dir=H",CONCATENATE("Points=",$B$180),"Sort=R","Days=A","Fill=B",CONCATENATE("FX=", $B$178) )</f>
        <v>#N/A Authorization</v>
      </c>
      <c r="BN284" t="str">
        <f>""</f>
        <v/>
      </c>
      <c r="BO284" t="str">
        <f>""</f>
        <v/>
      </c>
      <c r="BP284" t="str">
        <f>""</f>
        <v/>
      </c>
      <c r="BQ284" t="str">
        <f>""</f>
        <v/>
      </c>
      <c r="BR284" t="str">
        <f>""</f>
        <v/>
      </c>
      <c r="BS284" t="str">
        <f>""</f>
        <v/>
      </c>
      <c r="BT284" t="str">
        <f>""</f>
        <v/>
      </c>
      <c r="BU284" t="str">
        <f>""</f>
        <v/>
      </c>
      <c r="BV284" t="str">
        <f>""</f>
        <v/>
      </c>
      <c r="BW284" t="str">
        <f>""</f>
        <v/>
      </c>
      <c r="BX284" t="str">
        <f>""</f>
        <v/>
      </c>
      <c r="BY284" t="str">
        <f>""</f>
        <v/>
      </c>
      <c r="BZ284" t="str">
        <f>""</f>
        <v/>
      </c>
      <c r="CA284" t="str">
        <f>""</f>
        <v/>
      </c>
      <c r="CB284" t="str">
        <f>""</f>
        <v/>
      </c>
      <c r="CC284" t="str">
        <f>""</f>
        <v/>
      </c>
      <c r="CD284" t="str">
        <f>""</f>
        <v/>
      </c>
      <c r="CE284" t="str">
        <f>""</f>
        <v/>
      </c>
      <c r="CF284" t="str">
        <f>""</f>
        <v/>
      </c>
      <c r="CG284" t="str">
        <f>""</f>
        <v/>
      </c>
      <c r="CH284" t="str">
        <f>""</f>
        <v/>
      </c>
      <c r="CI284" t="str">
        <f>""</f>
        <v/>
      </c>
      <c r="CJ284" t="str">
        <f>""</f>
        <v/>
      </c>
      <c r="CK284" t="str">
        <f>""</f>
        <v/>
      </c>
      <c r="CL284" t="str">
        <f>""</f>
        <v/>
      </c>
      <c r="CM284" t="str">
        <f>""</f>
        <v/>
      </c>
      <c r="CN284" t="str">
        <f>""</f>
        <v/>
      </c>
      <c r="CO284" t="str">
        <f>""</f>
        <v/>
      </c>
      <c r="CP284" t="str">
        <f>""</f>
        <v/>
      </c>
      <c r="CQ284" t="str">
        <f>""</f>
        <v/>
      </c>
      <c r="CR284" t="str">
        <f>""</f>
        <v/>
      </c>
      <c r="CS284" t="str">
        <f>""</f>
        <v/>
      </c>
      <c r="CT284" t="str">
        <f>""</f>
        <v/>
      </c>
      <c r="CU284" t="str">
        <f>""</f>
        <v/>
      </c>
      <c r="CV284" t="str">
        <f>""</f>
        <v/>
      </c>
      <c r="CW284" t="str">
        <f>""</f>
        <v/>
      </c>
      <c r="CX284" t="str">
        <f>""</f>
        <v/>
      </c>
      <c r="CY284" t="str">
        <f>""</f>
        <v/>
      </c>
      <c r="CZ284" t="str">
        <f>""</f>
        <v/>
      </c>
      <c r="DA284" t="str">
        <f>""</f>
        <v/>
      </c>
      <c r="DB284" t="str">
        <f>""</f>
        <v/>
      </c>
      <c r="DC284" t="str">
        <f>""</f>
        <v/>
      </c>
      <c r="DD284" t="str">
        <f>""</f>
        <v/>
      </c>
      <c r="DE284" t="str">
        <f>""</f>
        <v/>
      </c>
      <c r="DF284" t="str">
        <f>""</f>
        <v/>
      </c>
      <c r="DG284" t="str">
        <f>""</f>
        <v/>
      </c>
      <c r="DH284" t="str">
        <f>""</f>
        <v/>
      </c>
      <c r="DI284" t="str">
        <f>""</f>
        <v/>
      </c>
      <c r="DJ284" t="str">
        <f>""</f>
        <v/>
      </c>
      <c r="DK284" t="str">
        <f>""</f>
        <v/>
      </c>
      <c r="DL284" t="str">
        <f>""</f>
        <v/>
      </c>
      <c r="DM284" t="str">
        <f>""</f>
        <v/>
      </c>
      <c r="DN284" t="str">
        <f>""</f>
        <v/>
      </c>
      <c r="DO284" t="str">
        <f>""</f>
        <v/>
      </c>
      <c r="DP284" t="str">
        <f>""</f>
        <v/>
      </c>
      <c r="DQ284" t="str">
        <f>""</f>
        <v/>
      </c>
      <c r="DR284" t="str">
        <f>""</f>
        <v/>
      </c>
      <c r="DS284" t="str">
        <f>""</f>
        <v/>
      </c>
      <c r="DT284" t="str">
        <f>""</f>
        <v/>
      </c>
      <c r="DU284" t="str">
        <f>""</f>
        <v/>
      </c>
    </row>
    <row r="285" spans="1:125">
      <c r="A285" t="str">
        <f>$A$54</f>
        <v xml:space="preserve">    Timber REITs</v>
      </c>
      <c r="B285" t="str">
        <f>$B$54</f>
        <v>RECFNOTR Index</v>
      </c>
      <c r="C285" t="str">
        <f>$C$54</f>
        <v>PR005</v>
      </c>
      <c r="D285" t="str">
        <f>$D$54</f>
        <v>PX_LAST</v>
      </c>
      <c r="E285" t="str">
        <f>$E$54</f>
        <v>动态</v>
      </c>
      <c r="F285" t="str">
        <f ca="1">BDH($B$54,$C$54,$B$181,$B$182,CONCATENATE("Per=",$B$179),"Dts=H","Dir=H",CONCATENATE("Points=",$B$180),"Sort=R","Days=A","Fill=B",CONCATENATE("FX=", $B$178) )</f>
        <v>#N/A Authorization</v>
      </c>
      <c r="BN285" t="str">
        <f>""</f>
        <v/>
      </c>
      <c r="BO285" t="str">
        <f>""</f>
        <v/>
      </c>
      <c r="BP285" t="str">
        <f>""</f>
        <v/>
      </c>
      <c r="BQ285" t="str">
        <f>""</f>
        <v/>
      </c>
      <c r="BR285" t="str">
        <f>""</f>
        <v/>
      </c>
      <c r="BS285" t="str">
        <f>""</f>
        <v/>
      </c>
      <c r="BT285" t="str">
        <f>""</f>
        <v/>
      </c>
      <c r="BU285" t="str">
        <f>""</f>
        <v/>
      </c>
      <c r="BV285" t="str">
        <f>""</f>
        <v/>
      </c>
      <c r="BW285" t="str">
        <f>""</f>
        <v/>
      </c>
      <c r="BX285" t="str">
        <f>""</f>
        <v/>
      </c>
      <c r="BY285" t="str">
        <f>""</f>
        <v/>
      </c>
      <c r="BZ285" t="str">
        <f>""</f>
        <v/>
      </c>
      <c r="CA285" t="str">
        <f>""</f>
        <v/>
      </c>
      <c r="CB285" t="str">
        <f>""</f>
        <v/>
      </c>
      <c r="CC285" t="str">
        <f>""</f>
        <v/>
      </c>
      <c r="CD285" t="str">
        <f>""</f>
        <v/>
      </c>
      <c r="CE285" t="str">
        <f>""</f>
        <v/>
      </c>
      <c r="CF285" t="str">
        <f>""</f>
        <v/>
      </c>
      <c r="CG285" t="str">
        <f>""</f>
        <v/>
      </c>
      <c r="CH285" t="str">
        <f>""</f>
        <v/>
      </c>
      <c r="CI285" t="str">
        <f>""</f>
        <v/>
      </c>
      <c r="CJ285" t="str">
        <f>""</f>
        <v/>
      </c>
      <c r="CK285" t="str">
        <f>""</f>
        <v/>
      </c>
      <c r="CL285" t="str">
        <f>""</f>
        <v/>
      </c>
      <c r="CM285" t="str">
        <f>""</f>
        <v/>
      </c>
      <c r="CN285" t="str">
        <f>""</f>
        <v/>
      </c>
      <c r="CO285" t="str">
        <f>""</f>
        <v/>
      </c>
      <c r="CP285" t="str">
        <f>""</f>
        <v/>
      </c>
      <c r="CQ285" t="str">
        <f>""</f>
        <v/>
      </c>
      <c r="CR285" t="str">
        <f>""</f>
        <v/>
      </c>
      <c r="CS285" t="str">
        <f>""</f>
        <v/>
      </c>
      <c r="CT285" t="str">
        <f>""</f>
        <v/>
      </c>
      <c r="CU285" t="str">
        <f>""</f>
        <v/>
      </c>
      <c r="CV285" t="str">
        <f>""</f>
        <v/>
      </c>
      <c r="CW285" t="str">
        <f>""</f>
        <v/>
      </c>
      <c r="CX285" t="str">
        <f>""</f>
        <v/>
      </c>
      <c r="CY285" t="str">
        <f>""</f>
        <v/>
      </c>
      <c r="CZ285" t="str">
        <f>""</f>
        <v/>
      </c>
      <c r="DA285" t="str">
        <f>""</f>
        <v/>
      </c>
      <c r="DB285" t="str">
        <f>""</f>
        <v/>
      </c>
      <c r="DC285" t="str">
        <f>""</f>
        <v/>
      </c>
      <c r="DD285" t="str">
        <f>""</f>
        <v/>
      </c>
      <c r="DE285" t="str">
        <f>""</f>
        <v/>
      </c>
      <c r="DF285" t="str">
        <f>""</f>
        <v/>
      </c>
      <c r="DG285" t="str">
        <f>""</f>
        <v/>
      </c>
      <c r="DH285" t="str">
        <f>""</f>
        <v/>
      </c>
      <c r="DI285" t="str">
        <f>""</f>
        <v/>
      </c>
      <c r="DJ285" t="str">
        <f>""</f>
        <v/>
      </c>
      <c r="DK285" t="str">
        <f>""</f>
        <v/>
      </c>
      <c r="DL285" t="str">
        <f>""</f>
        <v/>
      </c>
      <c r="DM285" t="str">
        <f>""</f>
        <v/>
      </c>
      <c r="DN285" t="str">
        <f>""</f>
        <v/>
      </c>
      <c r="DO285" t="str">
        <f>""</f>
        <v/>
      </c>
      <c r="DP285" t="str">
        <f>""</f>
        <v/>
      </c>
      <c r="DQ285" t="str">
        <f>""</f>
        <v/>
      </c>
      <c r="DR285" t="str">
        <f>""</f>
        <v/>
      </c>
      <c r="DS285" t="str">
        <f>""</f>
        <v/>
      </c>
      <c r="DT285" t="str">
        <f>""</f>
        <v/>
      </c>
      <c r="DU285" t="str">
        <f>""</f>
        <v/>
      </c>
    </row>
    <row r="286" spans="1:125">
      <c r="A286" t="str">
        <f>$A$55</f>
        <v xml:space="preserve">    Data Center REITs</v>
      </c>
      <c r="B286" t="str">
        <f>$B$55</f>
        <v>RECFNODC Index</v>
      </c>
      <c r="C286" t="str">
        <f>$C$55</f>
        <v>PR005</v>
      </c>
      <c r="D286" t="str">
        <f>$D$55</f>
        <v>PX_LAST</v>
      </c>
      <c r="E286" t="str">
        <f>$E$55</f>
        <v>动态</v>
      </c>
      <c r="F286" t="str">
        <f ca="1">BDH($B$55,$C$55,$B$181,$B$182,CONCATENATE("Per=",$B$179),"Dts=H","Dir=H",CONCATENATE("Points=",$B$180),"Sort=R","Days=A","Fill=B",CONCATENATE("FX=", $B$178) )</f>
        <v>#N/A Authorization</v>
      </c>
      <c r="BN286" t="str">
        <f>""</f>
        <v/>
      </c>
      <c r="BO286" t="str">
        <f>""</f>
        <v/>
      </c>
      <c r="BP286" t="str">
        <f>""</f>
        <v/>
      </c>
      <c r="BQ286" t="str">
        <f>""</f>
        <v/>
      </c>
      <c r="BR286" t="str">
        <f>""</f>
        <v/>
      </c>
      <c r="BS286" t="str">
        <f>""</f>
        <v/>
      </c>
      <c r="BT286" t="str">
        <f>""</f>
        <v/>
      </c>
      <c r="BU286" t="str">
        <f>""</f>
        <v/>
      </c>
      <c r="BV286" t="str">
        <f>""</f>
        <v/>
      </c>
      <c r="BW286" t="str">
        <f>""</f>
        <v/>
      </c>
      <c r="BX286" t="str">
        <f>""</f>
        <v/>
      </c>
      <c r="BY286" t="str">
        <f>""</f>
        <v/>
      </c>
      <c r="BZ286" t="str">
        <f>""</f>
        <v/>
      </c>
      <c r="CA286" t="str">
        <f>""</f>
        <v/>
      </c>
      <c r="CB286" t="str">
        <f>""</f>
        <v/>
      </c>
      <c r="CC286" t="str">
        <f>""</f>
        <v/>
      </c>
      <c r="CD286" t="str">
        <f>""</f>
        <v/>
      </c>
      <c r="CE286" t="str">
        <f>""</f>
        <v/>
      </c>
      <c r="CF286" t="str">
        <f>""</f>
        <v/>
      </c>
      <c r="CG286" t="str">
        <f>""</f>
        <v/>
      </c>
      <c r="CH286" t="str">
        <f>""</f>
        <v/>
      </c>
      <c r="CI286" t="str">
        <f>""</f>
        <v/>
      </c>
      <c r="CJ286" t="str">
        <f>""</f>
        <v/>
      </c>
      <c r="CK286" t="str">
        <f>""</f>
        <v/>
      </c>
      <c r="CL286" t="str">
        <f>""</f>
        <v/>
      </c>
      <c r="CM286" t="str">
        <f>""</f>
        <v/>
      </c>
      <c r="CN286" t="str">
        <f>""</f>
        <v/>
      </c>
      <c r="CO286" t="str">
        <f>""</f>
        <v/>
      </c>
      <c r="CP286" t="str">
        <f>""</f>
        <v/>
      </c>
      <c r="CQ286" t="str">
        <f>""</f>
        <v/>
      </c>
      <c r="CR286" t="str">
        <f>""</f>
        <v/>
      </c>
      <c r="CS286" t="str">
        <f>""</f>
        <v/>
      </c>
      <c r="CT286" t="str">
        <f>""</f>
        <v/>
      </c>
      <c r="CU286" t="str">
        <f>""</f>
        <v/>
      </c>
      <c r="CV286" t="str">
        <f>""</f>
        <v/>
      </c>
      <c r="CW286" t="str">
        <f>""</f>
        <v/>
      </c>
      <c r="CX286" t="str">
        <f>""</f>
        <v/>
      </c>
      <c r="CY286" t="str">
        <f>""</f>
        <v/>
      </c>
      <c r="CZ286" t="str">
        <f>""</f>
        <v/>
      </c>
      <c r="DA286" t="str">
        <f>""</f>
        <v/>
      </c>
      <c r="DB286" t="str">
        <f>""</f>
        <v/>
      </c>
      <c r="DC286" t="str">
        <f>""</f>
        <v/>
      </c>
      <c r="DD286" t="str">
        <f>""</f>
        <v/>
      </c>
      <c r="DE286" t="str">
        <f>""</f>
        <v/>
      </c>
      <c r="DF286" t="str">
        <f>""</f>
        <v/>
      </c>
      <c r="DG286" t="str">
        <f>""</f>
        <v/>
      </c>
      <c r="DH286" t="str">
        <f>""</f>
        <v/>
      </c>
      <c r="DI286" t="str">
        <f>""</f>
        <v/>
      </c>
      <c r="DJ286" t="str">
        <f>""</f>
        <v/>
      </c>
      <c r="DK286" t="str">
        <f>""</f>
        <v/>
      </c>
      <c r="DL286" t="str">
        <f>""</f>
        <v/>
      </c>
      <c r="DM286" t="str">
        <f>""</f>
        <v/>
      </c>
      <c r="DN286" t="str">
        <f>""</f>
        <v/>
      </c>
      <c r="DO286" t="str">
        <f>""</f>
        <v/>
      </c>
      <c r="DP286" t="str">
        <f>""</f>
        <v/>
      </c>
      <c r="DQ286" t="str">
        <f>""</f>
        <v/>
      </c>
      <c r="DR286" t="str">
        <f>""</f>
        <v/>
      </c>
      <c r="DS286" t="str">
        <f>""</f>
        <v/>
      </c>
      <c r="DT286" t="str">
        <f>""</f>
        <v/>
      </c>
      <c r="DU286" t="str">
        <f>""</f>
        <v/>
      </c>
    </row>
    <row r="287" spans="1:125">
      <c r="A287" t="str">
        <f>$A$56</f>
        <v xml:space="preserve">    Specialty REITs</v>
      </c>
      <c r="B287" t="str">
        <f>$B$56</f>
        <v>RECFNOSP Index</v>
      </c>
      <c r="C287" t="str">
        <f>$C$56</f>
        <v>PR005</v>
      </c>
      <c r="D287" t="str">
        <f>$D$56</f>
        <v>PX_LAST</v>
      </c>
      <c r="E287" t="str">
        <f>$E$56</f>
        <v>动态</v>
      </c>
      <c r="F287" t="str">
        <f ca="1">BDH($B$56,$C$56,$B$181,$B$182,CONCATENATE("Per=",$B$179),"Dts=H","Dir=H",CONCATENATE("Points=",$B$180),"Sort=R","Days=A","Fill=B",CONCATENATE("FX=", $B$178) )</f>
        <v>#N/A Authorization</v>
      </c>
      <c r="BN287" t="str">
        <f>""</f>
        <v/>
      </c>
      <c r="BO287" t="str">
        <f>""</f>
        <v/>
      </c>
      <c r="BP287" t="str">
        <f>""</f>
        <v/>
      </c>
      <c r="BQ287" t="str">
        <f>""</f>
        <v/>
      </c>
      <c r="BR287" t="str">
        <f>""</f>
        <v/>
      </c>
      <c r="BS287" t="str">
        <f>""</f>
        <v/>
      </c>
      <c r="BT287" t="str">
        <f>""</f>
        <v/>
      </c>
      <c r="BU287" t="str">
        <f>""</f>
        <v/>
      </c>
      <c r="BV287" t="str">
        <f>""</f>
        <v/>
      </c>
      <c r="BW287" t="str">
        <f>""</f>
        <v/>
      </c>
      <c r="BX287" t="str">
        <f>""</f>
        <v/>
      </c>
      <c r="BY287" t="str">
        <f>""</f>
        <v/>
      </c>
      <c r="BZ287" t="str">
        <f>""</f>
        <v/>
      </c>
      <c r="CA287" t="str">
        <f>""</f>
        <v/>
      </c>
      <c r="CB287" t="str">
        <f>""</f>
        <v/>
      </c>
      <c r="CC287" t="str">
        <f>""</f>
        <v/>
      </c>
      <c r="CD287" t="str">
        <f>""</f>
        <v/>
      </c>
      <c r="CE287" t="str">
        <f>""</f>
        <v/>
      </c>
      <c r="CF287" t="str">
        <f>""</f>
        <v/>
      </c>
      <c r="CG287" t="str">
        <f>""</f>
        <v/>
      </c>
      <c r="CH287" t="str">
        <f>""</f>
        <v/>
      </c>
      <c r="CI287" t="str">
        <f>""</f>
        <v/>
      </c>
      <c r="CJ287" t="str">
        <f>""</f>
        <v/>
      </c>
      <c r="CK287" t="str">
        <f>""</f>
        <v/>
      </c>
      <c r="CL287" t="str">
        <f>""</f>
        <v/>
      </c>
      <c r="CM287" t="str">
        <f>""</f>
        <v/>
      </c>
      <c r="CN287" t="str">
        <f>""</f>
        <v/>
      </c>
      <c r="CO287" t="str">
        <f>""</f>
        <v/>
      </c>
      <c r="CP287" t="str">
        <f>""</f>
        <v/>
      </c>
      <c r="CQ287" t="str">
        <f>""</f>
        <v/>
      </c>
      <c r="CR287" t="str">
        <f>""</f>
        <v/>
      </c>
      <c r="CS287" t="str">
        <f>""</f>
        <v/>
      </c>
      <c r="CT287" t="str">
        <f>""</f>
        <v/>
      </c>
      <c r="CU287" t="str">
        <f>""</f>
        <v/>
      </c>
      <c r="CV287" t="str">
        <f>""</f>
        <v/>
      </c>
      <c r="CW287" t="str">
        <f>""</f>
        <v/>
      </c>
      <c r="CX287" t="str">
        <f>""</f>
        <v/>
      </c>
      <c r="CY287" t="str">
        <f>""</f>
        <v/>
      </c>
      <c r="CZ287" t="str">
        <f>""</f>
        <v/>
      </c>
      <c r="DA287" t="str">
        <f>""</f>
        <v/>
      </c>
      <c r="DB287" t="str">
        <f>""</f>
        <v/>
      </c>
      <c r="DC287" t="str">
        <f>""</f>
        <v/>
      </c>
      <c r="DD287" t="str">
        <f>""</f>
        <v/>
      </c>
      <c r="DE287" t="str">
        <f>""</f>
        <v/>
      </c>
      <c r="DF287" t="str">
        <f>""</f>
        <v/>
      </c>
      <c r="DG287" t="str">
        <f>""</f>
        <v/>
      </c>
      <c r="DH287" t="str">
        <f>""</f>
        <v/>
      </c>
      <c r="DI287" t="str">
        <f>""</f>
        <v/>
      </c>
      <c r="DJ287" t="str">
        <f>""</f>
        <v/>
      </c>
      <c r="DK287" t="str">
        <f>""</f>
        <v/>
      </c>
      <c r="DL287" t="str">
        <f>""</f>
        <v/>
      </c>
      <c r="DM287" t="str">
        <f>""</f>
        <v/>
      </c>
      <c r="DN287" t="str">
        <f>""</f>
        <v/>
      </c>
      <c r="DO287" t="str">
        <f>""</f>
        <v/>
      </c>
      <c r="DP287" t="str">
        <f>""</f>
        <v/>
      </c>
      <c r="DQ287" t="str">
        <f>""</f>
        <v/>
      </c>
      <c r="DR287" t="str">
        <f>""</f>
        <v/>
      </c>
      <c r="DS287" t="str">
        <f>""</f>
        <v/>
      </c>
      <c r="DT287" t="str">
        <f>""</f>
        <v/>
      </c>
      <c r="DU287" t="str">
        <f>""</f>
        <v/>
      </c>
    </row>
    <row r="288" spans="1:125">
      <c r="A288" t="str">
        <f>$A$58</f>
        <v xml:space="preserve">    Sequential % Change in Total NOI for All Equity REITs</v>
      </c>
      <c r="B288" t="str">
        <f>$B$58</f>
        <v>RECFNOQQ Index</v>
      </c>
      <c r="C288" t="str">
        <f>$C$58</f>
        <v>PR005</v>
      </c>
      <c r="D288" t="str">
        <f>$D$58</f>
        <v>PX_LAST</v>
      </c>
      <c r="E288" t="str">
        <f>$E$58</f>
        <v>动态</v>
      </c>
      <c r="F288" t="str">
        <f ca="1">BDH($B$58,$C$58,$B$181,$B$182,CONCATENATE("Per=",$B$179),"Dts=H","Dir=H",CONCATENATE("Points=",$B$180),"Sort=R","Days=A","Fill=B",CONCATENATE("FX=", $B$178) )</f>
        <v>#N/A Authorization</v>
      </c>
      <c r="BN288" t="str">
        <f>""</f>
        <v/>
      </c>
      <c r="BO288" t="str">
        <f>""</f>
        <v/>
      </c>
      <c r="BP288" t="str">
        <f>""</f>
        <v/>
      </c>
      <c r="BQ288" t="str">
        <f>""</f>
        <v/>
      </c>
      <c r="BR288" t="str">
        <f>""</f>
        <v/>
      </c>
      <c r="BS288" t="str">
        <f>""</f>
        <v/>
      </c>
      <c r="BT288" t="str">
        <f>""</f>
        <v/>
      </c>
      <c r="BU288" t="str">
        <f>""</f>
        <v/>
      </c>
      <c r="BV288" t="str">
        <f>""</f>
        <v/>
      </c>
      <c r="BW288" t="str">
        <f>""</f>
        <v/>
      </c>
      <c r="BX288" t="str">
        <f>""</f>
        <v/>
      </c>
      <c r="BY288" t="str">
        <f>""</f>
        <v/>
      </c>
      <c r="BZ288" t="str">
        <f>""</f>
        <v/>
      </c>
      <c r="CA288" t="str">
        <f>""</f>
        <v/>
      </c>
      <c r="CB288" t="str">
        <f>""</f>
        <v/>
      </c>
      <c r="CC288" t="str">
        <f>""</f>
        <v/>
      </c>
      <c r="CD288" t="str">
        <f>""</f>
        <v/>
      </c>
      <c r="CE288" t="str">
        <f>""</f>
        <v/>
      </c>
      <c r="CF288" t="str">
        <f>""</f>
        <v/>
      </c>
      <c r="CG288" t="str">
        <f>""</f>
        <v/>
      </c>
      <c r="CH288" t="str">
        <f>""</f>
        <v/>
      </c>
      <c r="CI288" t="str">
        <f>""</f>
        <v/>
      </c>
      <c r="CJ288" t="str">
        <f>""</f>
        <v/>
      </c>
      <c r="CK288" t="str">
        <f>""</f>
        <v/>
      </c>
      <c r="CL288" t="str">
        <f>""</f>
        <v/>
      </c>
      <c r="CM288" t="str">
        <f>""</f>
        <v/>
      </c>
      <c r="CN288" t="str">
        <f>""</f>
        <v/>
      </c>
      <c r="CO288" t="str">
        <f>""</f>
        <v/>
      </c>
      <c r="CP288" t="str">
        <f>""</f>
        <v/>
      </c>
      <c r="CQ288" t="str">
        <f>""</f>
        <v/>
      </c>
      <c r="CR288" t="str">
        <f>""</f>
        <v/>
      </c>
      <c r="CS288" t="str">
        <f>""</f>
        <v/>
      </c>
      <c r="CT288" t="str">
        <f>""</f>
        <v/>
      </c>
      <c r="CU288" t="str">
        <f>""</f>
        <v/>
      </c>
      <c r="CV288" t="str">
        <f>""</f>
        <v/>
      </c>
      <c r="CW288" t="str">
        <f>""</f>
        <v/>
      </c>
      <c r="CX288" t="str">
        <f>""</f>
        <v/>
      </c>
      <c r="CY288" t="str">
        <f>""</f>
        <v/>
      </c>
      <c r="CZ288" t="str">
        <f>""</f>
        <v/>
      </c>
      <c r="DA288" t="str">
        <f>""</f>
        <v/>
      </c>
      <c r="DB288" t="str">
        <f>""</f>
        <v/>
      </c>
      <c r="DC288" t="str">
        <f>""</f>
        <v/>
      </c>
      <c r="DD288" t="str">
        <f>""</f>
        <v/>
      </c>
      <c r="DE288" t="str">
        <f>""</f>
        <v/>
      </c>
      <c r="DF288" t="str">
        <f>""</f>
        <v/>
      </c>
      <c r="DG288" t="str">
        <f>""</f>
        <v/>
      </c>
      <c r="DH288" t="str">
        <f>""</f>
        <v/>
      </c>
      <c r="DI288" t="str">
        <f>""</f>
        <v/>
      </c>
      <c r="DJ288" t="str">
        <f>""</f>
        <v/>
      </c>
      <c r="DK288" t="str">
        <f>""</f>
        <v/>
      </c>
      <c r="DL288" t="str">
        <f>""</f>
        <v/>
      </c>
      <c r="DM288" t="str">
        <f>""</f>
        <v/>
      </c>
      <c r="DN288" t="str">
        <f>""</f>
        <v/>
      </c>
      <c r="DO288" t="str">
        <f>""</f>
        <v/>
      </c>
      <c r="DP288" t="str">
        <f>""</f>
        <v/>
      </c>
      <c r="DQ288" t="str">
        <f>""</f>
        <v/>
      </c>
      <c r="DR288" t="str">
        <f>""</f>
        <v/>
      </c>
      <c r="DS288" t="str">
        <f>""</f>
        <v/>
      </c>
      <c r="DT288" t="str">
        <f>""</f>
        <v/>
      </c>
      <c r="DU288" t="str">
        <f>""</f>
        <v/>
      </c>
    </row>
    <row r="289" spans="1:125">
      <c r="A289" t="str">
        <f>$A$59</f>
        <v xml:space="preserve">    YoY % Change in Total NOI for All Equity REITs</v>
      </c>
      <c r="B289" t="str">
        <f>$B$59</f>
        <v>RECFNOYY Index</v>
      </c>
      <c r="C289" t="str">
        <f>$C$59</f>
        <v>PR005</v>
      </c>
      <c r="D289" t="str">
        <f>$D$59</f>
        <v>PX_LAST</v>
      </c>
      <c r="E289" t="str">
        <f>$E$59</f>
        <v>动态</v>
      </c>
      <c r="F289" t="str">
        <f ca="1">BDH($B$59,$C$59,$B$181,$B$182,CONCATENATE("Per=",$B$179),"Dts=H","Dir=H",CONCATENATE("Points=",$B$180),"Sort=R","Days=A","Fill=B",CONCATENATE("FX=", $B$178) )</f>
        <v>#N/A Authorization</v>
      </c>
      <c r="BN289" t="str">
        <f>""</f>
        <v/>
      </c>
      <c r="BO289" t="str">
        <f>""</f>
        <v/>
      </c>
      <c r="BP289" t="str">
        <f>""</f>
        <v/>
      </c>
      <c r="BQ289" t="str">
        <f>""</f>
        <v/>
      </c>
      <c r="BR289" t="str">
        <f>""</f>
        <v/>
      </c>
      <c r="BS289" t="str">
        <f>""</f>
        <v/>
      </c>
      <c r="BT289" t="str">
        <f>""</f>
        <v/>
      </c>
      <c r="BU289" t="str">
        <f>""</f>
        <v/>
      </c>
      <c r="BV289" t="str">
        <f>""</f>
        <v/>
      </c>
      <c r="BW289" t="str">
        <f>""</f>
        <v/>
      </c>
      <c r="BX289" t="str">
        <f>""</f>
        <v/>
      </c>
      <c r="BY289" t="str">
        <f>""</f>
        <v/>
      </c>
      <c r="BZ289" t="str">
        <f>""</f>
        <v/>
      </c>
      <c r="CA289" t="str">
        <f>""</f>
        <v/>
      </c>
      <c r="CB289" t="str">
        <f>""</f>
        <v/>
      </c>
      <c r="CC289" t="str">
        <f>""</f>
        <v/>
      </c>
      <c r="CD289" t="str">
        <f>""</f>
        <v/>
      </c>
      <c r="CE289" t="str">
        <f>""</f>
        <v/>
      </c>
      <c r="CF289" t="str">
        <f>""</f>
        <v/>
      </c>
      <c r="CG289" t="str">
        <f>""</f>
        <v/>
      </c>
      <c r="CH289" t="str">
        <f>""</f>
        <v/>
      </c>
      <c r="CI289" t="str">
        <f>""</f>
        <v/>
      </c>
      <c r="CJ289" t="str">
        <f>""</f>
        <v/>
      </c>
      <c r="CK289" t="str">
        <f>""</f>
        <v/>
      </c>
      <c r="CL289" t="str">
        <f>""</f>
        <v/>
      </c>
      <c r="CM289" t="str">
        <f>""</f>
        <v/>
      </c>
      <c r="CN289" t="str">
        <f>""</f>
        <v/>
      </c>
      <c r="CO289" t="str">
        <f>""</f>
        <v/>
      </c>
      <c r="CP289" t="str">
        <f>""</f>
        <v/>
      </c>
      <c r="CQ289" t="str">
        <f>""</f>
        <v/>
      </c>
      <c r="CR289" t="str">
        <f>""</f>
        <v/>
      </c>
      <c r="CS289" t="str">
        <f>""</f>
        <v/>
      </c>
      <c r="CT289" t="str">
        <f>""</f>
        <v/>
      </c>
      <c r="CU289" t="str">
        <f>""</f>
        <v/>
      </c>
      <c r="CV289" t="str">
        <f>""</f>
        <v/>
      </c>
      <c r="CW289" t="str">
        <f>""</f>
        <v/>
      </c>
      <c r="CX289" t="str">
        <f>""</f>
        <v/>
      </c>
      <c r="CY289" t="str">
        <f>""</f>
        <v/>
      </c>
      <c r="CZ289" t="str">
        <f>""</f>
        <v/>
      </c>
      <c r="DA289" t="str">
        <f>""</f>
        <v/>
      </c>
      <c r="DB289" t="str">
        <f>""</f>
        <v/>
      </c>
      <c r="DC289" t="str">
        <f>""</f>
        <v/>
      </c>
      <c r="DD289" t="str">
        <f>""</f>
        <v/>
      </c>
      <c r="DE289" t="str">
        <f>""</f>
        <v/>
      </c>
      <c r="DF289" t="str">
        <f>""</f>
        <v/>
      </c>
      <c r="DG289" t="str">
        <f>""</f>
        <v/>
      </c>
      <c r="DH289" t="str">
        <f>""</f>
        <v/>
      </c>
      <c r="DI289" t="str">
        <f>""</f>
        <v/>
      </c>
      <c r="DJ289" t="str">
        <f>""</f>
        <v/>
      </c>
      <c r="DK289" t="str">
        <f>""</f>
        <v/>
      </c>
      <c r="DL289" t="str">
        <f>""</f>
        <v/>
      </c>
      <c r="DM289" t="str">
        <f>""</f>
        <v/>
      </c>
      <c r="DN289" t="str">
        <f>""</f>
        <v/>
      </c>
      <c r="DO289" t="str">
        <f>""</f>
        <v/>
      </c>
      <c r="DP289" t="str">
        <f>""</f>
        <v/>
      </c>
      <c r="DQ289" t="str">
        <f>""</f>
        <v/>
      </c>
      <c r="DR289" t="str">
        <f>""</f>
        <v/>
      </c>
      <c r="DS289" t="str">
        <f>""</f>
        <v/>
      </c>
      <c r="DT289" t="str">
        <f>""</f>
        <v/>
      </c>
      <c r="DU289" t="str">
        <f>""</f>
        <v/>
      </c>
    </row>
    <row r="290" spans="1:125">
      <c r="A290" t="str">
        <f>$A$61</f>
        <v>总股利支付-所有股票房地产投资信托</v>
      </c>
      <c r="B290" t="str">
        <f>$B$61</f>
        <v>RECFTDEQ Index</v>
      </c>
      <c r="C290" t="str">
        <f>$C$61</f>
        <v>PR005</v>
      </c>
      <c r="D290" t="str">
        <f>$D$61</f>
        <v>PX_LAST</v>
      </c>
      <c r="E290" t="str">
        <f>$E$61</f>
        <v>动态</v>
      </c>
      <c r="F290" t="str">
        <f ca="1">BDH($B$61,$C$61,$B$181,$B$182,CONCATENATE("Per=",$B$179),"Dts=H","Dir=H",CONCATENATE("Points=",$B$180),"Sort=R","Days=A","Fill=B",CONCATENATE("FX=", $B$178) )</f>
        <v>#N/A Authorization</v>
      </c>
      <c r="BN290" t="str">
        <f>""</f>
        <v/>
      </c>
      <c r="BO290" t="str">
        <f>""</f>
        <v/>
      </c>
      <c r="BP290" t="str">
        <f>""</f>
        <v/>
      </c>
      <c r="BQ290" t="str">
        <f>""</f>
        <v/>
      </c>
      <c r="BR290" t="str">
        <f>""</f>
        <v/>
      </c>
      <c r="BS290" t="str">
        <f>""</f>
        <v/>
      </c>
      <c r="BT290" t="str">
        <f>""</f>
        <v/>
      </c>
      <c r="BU290" t="str">
        <f>""</f>
        <v/>
      </c>
      <c r="BV290" t="str">
        <f>""</f>
        <v/>
      </c>
      <c r="BW290" t="str">
        <f>""</f>
        <v/>
      </c>
      <c r="BX290" t="str">
        <f>""</f>
        <v/>
      </c>
      <c r="BY290" t="str">
        <f>""</f>
        <v/>
      </c>
      <c r="BZ290" t="str">
        <f>""</f>
        <v/>
      </c>
      <c r="CA290" t="str">
        <f>""</f>
        <v/>
      </c>
      <c r="CB290" t="str">
        <f>""</f>
        <v/>
      </c>
      <c r="CC290" t="str">
        <f>""</f>
        <v/>
      </c>
      <c r="CD290" t="str">
        <f>""</f>
        <v/>
      </c>
      <c r="CE290" t="str">
        <f>""</f>
        <v/>
      </c>
      <c r="CF290" t="str">
        <f>""</f>
        <v/>
      </c>
      <c r="CG290" t="str">
        <f>""</f>
        <v/>
      </c>
      <c r="CH290" t="str">
        <f>""</f>
        <v/>
      </c>
      <c r="CI290" t="str">
        <f>""</f>
        <v/>
      </c>
      <c r="CJ290" t="str">
        <f>""</f>
        <v/>
      </c>
      <c r="CK290" t="str">
        <f>""</f>
        <v/>
      </c>
      <c r="CL290" t="str">
        <f>""</f>
        <v/>
      </c>
      <c r="CM290" t="str">
        <f>""</f>
        <v/>
      </c>
      <c r="CN290" t="str">
        <f>""</f>
        <v/>
      </c>
      <c r="CO290" t="str">
        <f>""</f>
        <v/>
      </c>
      <c r="CP290" t="str">
        <f>""</f>
        <v/>
      </c>
      <c r="CQ290" t="str">
        <f>""</f>
        <v/>
      </c>
      <c r="CR290" t="str">
        <f>""</f>
        <v/>
      </c>
      <c r="CS290" t="str">
        <f>""</f>
        <v/>
      </c>
      <c r="CT290" t="str">
        <f>""</f>
        <v/>
      </c>
      <c r="CU290" t="str">
        <f>""</f>
        <v/>
      </c>
      <c r="CV290" t="str">
        <f>""</f>
        <v/>
      </c>
      <c r="CW290" t="str">
        <f>""</f>
        <v/>
      </c>
      <c r="CX290" t="str">
        <f>""</f>
        <v/>
      </c>
      <c r="CY290" t="str">
        <f>""</f>
        <v/>
      </c>
      <c r="CZ290" t="str">
        <f>""</f>
        <v/>
      </c>
      <c r="DA290" t="str">
        <f>""</f>
        <v/>
      </c>
      <c r="DB290" t="str">
        <f>""</f>
        <v/>
      </c>
      <c r="DC290" t="str">
        <f>""</f>
        <v/>
      </c>
      <c r="DD290" t="str">
        <f>""</f>
        <v/>
      </c>
      <c r="DE290" t="str">
        <f>""</f>
        <v/>
      </c>
      <c r="DF290" t="str">
        <f>""</f>
        <v/>
      </c>
      <c r="DG290" t="str">
        <f>""</f>
        <v/>
      </c>
      <c r="DH290" t="str">
        <f>""</f>
        <v/>
      </c>
      <c r="DI290" t="str">
        <f>""</f>
        <v/>
      </c>
      <c r="DJ290" t="str">
        <f>""</f>
        <v/>
      </c>
      <c r="DK290" t="str">
        <f>""</f>
        <v/>
      </c>
      <c r="DL290" t="str">
        <f>""</f>
        <v/>
      </c>
      <c r="DM290" t="str">
        <f>""</f>
        <v/>
      </c>
      <c r="DN290" t="str">
        <f>""</f>
        <v/>
      </c>
      <c r="DO290" t="str">
        <f>""</f>
        <v/>
      </c>
      <c r="DP290" t="str">
        <f>""</f>
        <v/>
      </c>
      <c r="DQ290" t="str">
        <f>""</f>
        <v/>
      </c>
      <c r="DR290" t="str">
        <f>""</f>
        <v/>
      </c>
      <c r="DS290" t="str">
        <f>""</f>
        <v/>
      </c>
      <c r="DT290" t="str">
        <f>""</f>
        <v/>
      </c>
      <c r="DU290" t="str">
        <f>""</f>
        <v/>
      </c>
    </row>
    <row r="291" spans="1:125">
      <c r="A291" t="str">
        <f>$A$62</f>
        <v xml:space="preserve">    Office REITs</v>
      </c>
      <c r="B291" t="str">
        <f>$B$62</f>
        <v>RECFTDOF Index</v>
      </c>
      <c r="C291" t="str">
        <f>$C$62</f>
        <v>PR005</v>
      </c>
      <c r="D291" t="str">
        <f>$D$62</f>
        <v>PX_LAST</v>
      </c>
      <c r="E291" t="str">
        <f>$E$62</f>
        <v>动态</v>
      </c>
      <c r="F291" t="str">
        <f ca="1">BDH($B$62,$C$62,$B$181,$B$182,CONCATENATE("Per=",$B$179),"Dts=H","Dir=H",CONCATENATE("Points=",$B$180),"Sort=R","Days=A","Fill=B",CONCATENATE("FX=", $B$178) )</f>
        <v>#N/A Authorization</v>
      </c>
      <c r="BN291" t="str">
        <f>""</f>
        <v/>
      </c>
      <c r="BO291" t="str">
        <f>""</f>
        <v/>
      </c>
      <c r="BP291" t="str">
        <f>""</f>
        <v/>
      </c>
      <c r="BQ291" t="str">
        <f>""</f>
        <v/>
      </c>
      <c r="BR291" t="str">
        <f>""</f>
        <v/>
      </c>
      <c r="BS291" t="str">
        <f>""</f>
        <v/>
      </c>
      <c r="BT291" t="str">
        <f>""</f>
        <v/>
      </c>
      <c r="BU291" t="str">
        <f>""</f>
        <v/>
      </c>
      <c r="BV291" t="str">
        <f>""</f>
        <v/>
      </c>
      <c r="BW291" t="str">
        <f>""</f>
        <v/>
      </c>
      <c r="BX291" t="str">
        <f>""</f>
        <v/>
      </c>
      <c r="BY291" t="str">
        <f>""</f>
        <v/>
      </c>
      <c r="BZ291" t="str">
        <f>""</f>
        <v/>
      </c>
      <c r="CA291" t="str">
        <f>""</f>
        <v/>
      </c>
      <c r="CB291" t="str">
        <f>""</f>
        <v/>
      </c>
      <c r="CC291" t="str">
        <f>""</f>
        <v/>
      </c>
      <c r="CD291" t="str">
        <f>""</f>
        <v/>
      </c>
      <c r="CE291" t="str">
        <f>""</f>
        <v/>
      </c>
      <c r="CF291" t="str">
        <f>""</f>
        <v/>
      </c>
      <c r="CG291" t="str">
        <f>""</f>
        <v/>
      </c>
      <c r="CH291" t="str">
        <f>""</f>
        <v/>
      </c>
      <c r="CI291" t="str">
        <f>""</f>
        <v/>
      </c>
      <c r="CJ291" t="str">
        <f>""</f>
        <v/>
      </c>
      <c r="CK291" t="str">
        <f>""</f>
        <v/>
      </c>
      <c r="CL291" t="str">
        <f>""</f>
        <v/>
      </c>
      <c r="CM291" t="str">
        <f>""</f>
        <v/>
      </c>
      <c r="CN291" t="str">
        <f>""</f>
        <v/>
      </c>
      <c r="CO291" t="str">
        <f>""</f>
        <v/>
      </c>
      <c r="CP291" t="str">
        <f>""</f>
        <v/>
      </c>
      <c r="CQ291" t="str">
        <f>""</f>
        <v/>
      </c>
      <c r="CR291" t="str">
        <f>""</f>
        <v/>
      </c>
      <c r="CS291" t="str">
        <f>""</f>
        <v/>
      </c>
      <c r="CT291" t="str">
        <f>""</f>
        <v/>
      </c>
      <c r="CU291" t="str">
        <f>""</f>
        <v/>
      </c>
      <c r="CV291" t="str">
        <f>""</f>
        <v/>
      </c>
      <c r="CW291" t="str">
        <f>""</f>
        <v/>
      </c>
      <c r="CX291" t="str">
        <f>""</f>
        <v/>
      </c>
      <c r="CY291" t="str">
        <f>""</f>
        <v/>
      </c>
      <c r="CZ291" t="str">
        <f>""</f>
        <v/>
      </c>
      <c r="DA291" t="str">
        <f>""</f>
        <v/>
      </c>
      <c r="DB291" t="str">
        <f>""</f>
        <v/>
      </c>
      <c r="DC291" t="str">
        <f>""</f>
        <v/>
      </c>
      <c r="DD291" t="str">
        <f>""</f>
        <v/>
      </c>
      <c r="DE291" t="str">
        <f>""</f>
        <v/>
      </c>
      <c r="DF291" t="str">
        <f>""</f>
        <v/>
      </c>
      <c r="DG291" t="str">
        <f>""</f>
        <v/>
      </c>
      <c r="DH291" t="str">
        <f>""</f>
        <v/>
      </c>
      <c r="DI291" t="str">
        <f>""</f>
        <v/>
      </c>
      <c r="DJ291" t="str">
        <f>""</f>
        <v/>
      </c>
      <c r="DK291" t="str">
        <f>""</f>
        <v/>
      </c>
      <c r="DL291" t="str">
        <f>""</f>
        <v/>
      </c>
      <c r="DM291" t="str">
        <f>""</f>
        <v/>
      </c>
      <c r="DN291" t="str">
        <f>""</f>
        <v/>
      </c>
      <c r="DO291" t="str">
        <f>""</f>
        <v/>
      </c>
      <c r="DP291" t="str">
        <f>""</f>
        <v/>
      </c>
      <c r="DQ291" t="str">
        <f>""</f>
        <v/>
      </c>
      <c r="DR291" t="str">
        <f>""</f>
        <v/>
      </c>
      <c r="DS291" t="str">
        <f>""</f>
        <v/>
      </c>
      <c r="DT291" t="str">
        <f>""</f>
        <v/>
      </c>
      <c r="DU291" t="str">
        <f>""</f>
        <v/>
      </c>
    </row>
    <row r="292" spans="1:125">
      <c r="A292" t="str">
        <f>$A$63</f>
        <v xml:space="preserve">    Industrial REITs</v>
      </c>
      <c r="B292" t="str">
        <f>$B$63</f>
        <v>RECFTDIN Index</v>
      </c>
      <c r="C292" t="str">
        <f>$C$63</f>
        <v>PR005</v>
      </c>
      <c r="D292" t="str">
        <f>$D$63</f>
        <v>PX_LAST</v>
      </c>
      <c r="E292" t="str">
        <f>$E$63</f>
        <v>动态</v>
      </c>
      <c r="F292" t="str">
        <f ca="1">BDH($B$63,$C$63,$B$181,$B$182,CONCATENATE("Per=",$B$179),"Dts=H","Dir=H",CONCATENATE("Points=",$B$180),"Sort=R","Days=A","Fill=B",CONCATENATE("FX=", $B$178) )</f>
        <v>#N/A Authorization</v>
      </c>
      <c r="BN292" t="str">
        <f>""</f>
        <v/>
      </c>
      <c r="BO292" t="str">
        <f>""</f>
        <v/>
      </c>
      <c r="BP292" t="str">
        <f>""</f>
        <v/>
      </c>
      <c r="BQ292" t="str">
        <f>""</f>
        <v/>
      </c>
      <c r="BR292" t="str">
        <f>""</f>
        <v/>
      </c>
      <c r="BS292" t="str">
        <f>""</f>
        <v/>
      </c>
      <c r="BT292" t="str">
        <f>""</f>
        <v/>
      </c>
      <c r="BU292" t="str">
        <f>""</f>
        <v/>
      </c>
      <c r="BV292" t="str">
        <f>""</f>
        <v/>
      </c>
      <c r="BW292" t="str">
        <f>""</f>
        <v/>
      </c>
      <c r="BX292" t="str">
        <f>""</f>
        <v/>
      </c>
      <c r="BY292" t="str">
        <f>""</f>
        <v/>
      </c>
      <c r="BZ292" t="str">
        <f>""</f>
        <v/>
      </c>
      <c r="CA292" t="str">
        <f>""</f>
        <v/>
      </c>
      <c r="CB292" t="str">
        <f>""</f>
        <v/>
      </c>
      <c r="CC292" t="str">
        <f>""</f>
        <v/>
      </c>
      <c r="CD292" t="str">
        <f>""</f>
        <v/>
      </c>
      <c r="CE292" t="str">
        <f>""</f>
        <v/>
      </c>
      <c r="CF292" t="str">
        <f>""</f>
        <v/>
      </c>
      <c r="CG292" t="str">
        <f>""</f>
        <v/>
      </c>
      <c r="CH292" t="str">
        <f>""</f>
        <v/>
      </c>
      <c r="CI292" t="str">
        <f>""</f>
        <v/>
      </c>
      <c r="CJ292" t="str">
        <f>""</f>
        <v/>
      </c>
      <c r="CK292" t="str">
        <f>""</f>
        <v/>
      </c>
      <c r="CL292" t="str">
        <f>""</f>
        <v/>
      </c>
      <c r="CM292" t="str">
        <f>""</f>
        <v/>
      </c>
      <c r="CN292" t="str">
        <f>""</f>
        <v/>
      </c>
      <c r="CO292" t="str">
        <f>""</f>
        <v/>
      </c>
      <c r="CP292" t="str">
        <f>""</f>
        <v/>
      </c>
      <c r="CQ292" t="str">
        <f>""</f>
        <v/>
      </c>
      <c r="CR292" t="str">
        <f>""</f>
        <v/>
      </c>
      <c r="CS292" t="str">
        <f>""</f>
        <v/>
      </c>
      <c r="CT292" t="str">
        <f>""</f>
        <v/>
      </c>
      <c r="CU292" t="str">
        <f>""</f>
        <v/>
      </c>
      <c r="CV292" t="str">
        <f>""</f>
        <v/>
      </c>
      <c r="CW292" t="str">
        <f>""</f>
        <v/>
      </c>
      <c r="CX292" t="str">
        <f>""</f>
        <v/>
      </c>
      <c r="CY292" t="str">
        <f>""</f>
        <v/>
      </c>
      <c r="CZ292" t="str">
        <f>""</f>
        <v/>
      </c>
      <c r="DA292" t="str">
        <f>""</f>
        <v/>
      </c>
      <c r="DB292" t="str">
        <f>""</f>
        <v/>
      </c>
      <c r="DC292" t="str">
        <f>""</f>
        <v/>
      </c>
      <c r="DD292" t="str">
        <f>""</f>
        <v/>
      </c>
      <c r="DE292" t="str">
        <f>""</f>
        <v/>
      </c>
      <c r="DF292" t="str">
        <f>""</f>
        <v/>
      </c>
      <c r="DG292" t="str">
        <f>""</f>
        <v/>
      </c>
      <c r="DH292" t="str">
        <f>""</f>
        <v/>
      </c>
      <c r="DI292" t="str">
        <f>""</f>
        <v/>
      </c>
      <c r="DJ292" t="str">
        <f>""</f>
        <v/>
      </c>
      <c r="DK292" t="str">
        <f>""</f>
        <v/>
      </c>
      <c r="DL292" t="str">
        <f>""</f>
        <v/>
      </c>
      <c r="DM292" t="str">
        <f>""</f>
        <v/>
      </c>
      <c r="DN292" t="str">
        <f>""</f>
        <v/>
      </c>
      <c r="DO292" t="str">
        <f>""</f>
        <v/>
      </c>
      <c r="DP292" t="str">
        <f>""</f>
        <v/>
      </c>
      <c r="DQ292" t="str">
        <f>""</f>
        <v/>
      </c>
      <c r="DR292" t="str">
        <f>""</f>
        <v/>
      </c>
      <c r="DS292" t="str">
        <f>""</f>
        <v/>
      </c>
      <c r="DT292" t="str">
        <f>""</f>
        <v/>
      </c>
      <c r="DU292" t="str">
        <f>""</f>
        <v/>
      </c>
    </row>
    <row r="293" spans="1:125">
      <c r="A293" t="str">
        <f>$A$64</f>
        <v xml:space="preserve">    Retail REITs</v>
      </c>
      <c r="B293" t="str">
        <f>$B$64</f>
        <v>RECFTDRT Index</v>
      </c>
      <c r="C293" t="str">
        <f>$C$64</f>
        <v>PR005</v>
      </c>
      <c r="D293" t="str">
        <f>$D$64</f>
        <v>PX_LAST</v>
      </c>
      <c r="E293" t="str">
        <f>$E$64</f>
        <v>动态</v>
      </c>
      <c r="F293" t="str">
        <f ca="1">BDH($B$64,$C$64,$B$181,$B$182,CONCATENATE("Per=",$B$179),"Dts=H","Dir=H",CONCATENATE("Points=",$B$180),"Sort=R","Days=A","Fill=B",CONCATENATE("FX=", $B$178) )</f>
        <v>#N/A Authorization</v>
      </c>
      <c r="BN293" t="str">
        <f>""</f>
        <v/>
      </c>
      <c r="BO293" t="str">
        <f>""</f>
        <v/>
      </c>
      <c r="BP293" t="str">
        <f>""</f>
        <v/>
      </c>
      <c r="BQ293" t="str">
        <f>""</f>
        <v/>
      </c>
      <c r="BR293" t="str">
        <f>""</f>
        <v/>
      </c>
      <c r="BS293" t="str">
        <f>""</f>
        <v/>
      </c>
      <c r="BT293" t="str">
        <f>""</f>
        <v/>
      </c>
      <c r="BU293" t="str">
        <f>""</f>
        <v/>
      </c>
      <c r="BV293" t="str">
        <f>""</f>
        <v/>
      </c>
      <c r="BW293" t="str">
        <f>""</f>
        <v/>
      </c>
      <c r="BX293" t="str">
        <f>""</f>
        <v/>
      </c>
      <c r="BY293" t="str">
        <f>""</f>
        <v/>
      </c>
      <c r="BZ293" t="str">
        <f>""</f>
        <v/>
      </c>
      <c r="CA293" t="str">
        <f>""</f>
        <v/>
      </c>
      <c r="CB293" t="str">
        <f>""</f>
        <v/>
      </c>
      <c r="CC293" t="str">
        <f>""</f>
        <v/>
      </c>
      <c r="CD293" t="str">
        <f>""</f>
        <v/>
      </c>
      <c r="CE293" t="str">
        <f>""</f>
        <v/>
      </c>
      <c r="CF293" t="str">
        <f>""</f>
        <v/>
      </c>
      <c r="CG293" t="str">
        <f>""</f>
        <v/>
      </c>
      <c r="CH293" t="str">
        <f>""</f>
        <v/>
      </c>
      <c r="CI293" t="str">
        <f>""</f>
        <v/>
      </c>
      <c r="CJ293" t="str">
        <f>""</f>
        <v/>
      </c>
      <c r="CK293" t="str">
        <f>""</f>
        <v/>
      </c>
      <c r="CL293" t="str">
        <f>""</f>
        <v/>
      </c>
      <c r="CM293" t="str">
        <f>""</f>
        <v/>
      </c>
      <c r="CN293" t="str">
        <f>""</f>
        <v/>
      </c>
      <c r="CO293" t="str">
        <f>""</f>
        <v/>
      </c>
      <c r="CP293" t="str">
        <f>""</f>
        <v/>
      </c>
      <c r="CQ293" t="str">
        <f>""</f>
        <v/>
      </c>
      <c r="CR293" t="str">
        <f>""</f>
        <v/>
      </c>
      <c r="CS293" t="str">
        <f>""</f>
        <v/>
      </c>
      <c r="CT293" t="str">
        <f>""</f>
        <v/>
      </c>
      <c r="CU293" t="str">
        <f>""</f>
        <v/>
      </c>
      <c r="CV293" t="str">
        <f>""</f>
        <v/>
      </c>
      <c r="CW293" t="str">
        <f>""</f>
        <v/>
      </c>
      <c r="CX293" t="str">
        <f>""</f>
        <v/>
      </c>
      <c r="CY293" t="str">
        <f>""</f>
        <v/>
      </c>
      <c r="CZ293" t="str">
        <f>""</f>
        <v/>
      </c>
      <c r="DA293" t="str">
        <f>""</f>
        <v/>
      </c>
      <c r="DB293" t="str">
        <f>""</f>
        <v/>
      </c>
      <c r="DC293" t="str">
        <f>""</f>
        <v/>
      </c>
      <c r="DD293" t="str">
        <f>""</f>
        <v/>
      </c>
      <c r="DE293" t="str">
        <f>""</f>
        <v/>
      </c>
      <c r="DF293" t="str">
        <f>""</f>
        <v/>
      </c>
      <c r="DG293" t="str">
        <f>""</f>
        <v/>
      </c>
      <c r="DH293" t="str">
        <f>""</f>
        <v/>
      </c>
      <c r="DI293" t="str">
        <f>""</f>
        <v/>
      </c>
      <c r="DJ293" t="str">
        <f>""</f>
        <v/>
      </c>
      <c r="DK293" t="str">
        <f>""</f>
        <v/>
      </c>
      <c r="DL293" t="str">
        <f>""</f>
        <v/>
      </c>
      <c r="DM293" t="str">
        <f>""</f>
        <v/>
      </c>
      <c r="DN293" t="str">
        <f>""</f>
        <v/>
      </c>
      <c r="DO293" t="str">
        <f>""</f>
        <v/>
      </c>
      <c r="DP293" t="str">
        <f>""</f>
        <v/>
      </c>
      <c r="DQ293" t="str">
        <f>""</f>
        <v/>
      </c>
      <c r="DR293" t="str">
        <f>""</f>
        <v/>
      </c>
      <c r="DS293" t="str">
        <f>""</f>
        <v/>
      </c>
      <c r="DT293" t="str">
        <f>""</f>
        <v/>
      </c>
      <c r="DU293" t="str">
        <f>""</f>
        <v/>
      </c>
    </row>
    <row r="294" spans="1:125">
      <c r="A294" t="str">
        <f>$A$65</f>
        <v xml:space="preserve">    Shopping Center REITs</v>
      </c>
      <c r="B294" t="str">
        <f>$B$65</f>
        <v>RECFTDSC Index</v>
      </c>
      <c r="C294" t="str">
        <f>$C$65</f>
        <v>PR005</v>
      </c>
      <c r="D294" t="str">
        <f>$D$65</f>
        <v>PX_LAST</v>
      </c>
      <c r="E294" t="str">
        <f>$E$65</f>
        <v>动态</v>
      </c>
      <c r="F294" t="str">
        <f ca="1">BDH($B$65,$C$65,$B$181,$B$182,CONCATENATE("Per=",$B$179),"Dts=H","Dir=H",CONCATENATE("Points=",$B$180),"Sort=R","Days=A","Fill=B",CONCATENATE("FX=", $B$178) )</f>
        <v>#N/A Authorization</v>
      </c>
      <c r="BN294" t="str">
        <f>""</f>
        <v/>
      </c>
      <c r="BO294" t="str">
        <f>""</f>
        <v/>
      </c>
      <c r="BP294" t="str">
        <f>""</f>
        <v/>
      </c>
      <c r="BQ294" t="str">
        <f>""</f>
        <v/>
      </c>
      <c r="BR294" t="str">
        <f>""</f>
        <v/>
      </c>
      <c r="BS294" t="str">
        <f>""</f>
        <v/>
      </c>
      <c r="BT294" t="str">
        <f>""</f>
        <v/>
      </c>
      <c r="BU294" t="str">
        <f>""</f>
        <v/>
      </c>
      <c r="BV294" t="str">
        <f>""</f>
        <v/>
      </c>
      <c r="BW294" t="str">
        <f>""</f>
        <v/>
      </c>
      <c r="BX294" t="str">
        <f>""</f>
        <v/>
      </c>
      <c r="BY294" t="str">
        <f>""</f>
        <v/>
      </c>
      <c r="BZ294" t="str">
        <f>""</f>
        <v/>
      </c>
      <c r="CA294" t="str">
        <f>""</f>
        <v/>
      </c>
      <c r="CB294" t="str">
        <f>""</f>
        <v/>
      </c>
      <c r="CC294" t="str">
        <f>""</f>
        <v/>
      </c>
      <c r="CD294" t="str">
        <f>""</f>
        <v/>
      </c>
      <c r="CE294" t="str">
        <f>""</f>
        <v/>
      </c>
      <c r="CF294" t="str">
        <f>""</f>
        <v/>
      </c>
      <c r="CG294" t="str">
        <f>""</f>
        <v/>
      </c>
      <c r="CH294" t="str">
        <f>""</f>
        <v/>
      </c>
      <c r="CI294" t="str">
        <f>""</f>
        <v/>
      </c>
      <c r="CJ294" t="str">
        <f>""</f>
        <v/>
      </c>
      <c r="CK294" t="str">
        <f>""</f>
        <v/>
      </c>
      <c r="CL294" t="str">
        <f>""</f>
        <v/>
      </c>
      <c r="CM294" t="str">
        <f>""</f>
        <v/>
      </c>
      <c r="CN294" t="str">
        <f>""</f>
        <v/>
      </c>
      <c r="CO294" t="str">
        <f>""</f>
        <v/>
      </c>
      <c r="CP294" t="str">
        <f>""</f>
        <v/>
      </c>
      <c r="CQ294" t="str">
        <f>""</f>
        <v/>
      </c>
      <c r="CR294" t="str">
        <f>""</f>
        <v/>
      </c>
      <c r="CS294" t="str">
        <f>""</f>
        <v/>
      </c>
      <c r="CT294" t="str">
        <f>""</f>
        <v/>
      </c>
      <c r="CU294" t="str">
        <f>""</f>
        <v/>
      </c>
      <c r="CV294" t="str">
        <f>""</f>
        <v/>
      </c>
      <c r="CW294" t="str">
        <f>""</f>
        <v/>
      </c>
      <c r="CX294" t="str">
        <f>""</f>
        <v/>
      </c>
      <c r="CY294" t="str">
        <f>""</f>
        <v/>
      </c>
      <c r="CZ294" t="str">
        <f>""</f>
        <v/>
      </c>
      <c r="DA294" t="str">
        <f>""</f>
        <v/>
      </c>
      <c r="DB294" t="str">
        <f>""</f>
        <v/>
      </c>
      <c r="DC294" t="str">
        <f>""</f>
        <v/>
      </c>
      <c r="DD294" t="str">
        <f>""</f>
        <v/>
      </c>
      <c r="DE294" t="str">
        <f>""</f>
        <v/>
      </c>
      <c r="DF294" t="str">
        <f>""</f>
        <v/>
      </c>
      <c r="DG294" t="str">
        <f>""</f>
        <v/>
      </c>
      <c r="DH294" t="str">
        <f>""</f>
        <v/>
      </c>
      <c r="DI294" t="str">
        <f>""</f>
        <v/>
      </c>
      <c r="DJ294" t="str">
        <f>""</f>
        <v/>
      </c>
      <c r="DK294" t="str">
        <f>""</f>
        <v/>
      </c>
      <c r="DL294" t="str">
        <f>""</f>
        <v/>
      </c>
      <c r="DM294" t="str">
        <f>""</f>
        <v/>
      </c>
      <c r="DN294" t="str">
        <f>""</f>
        <v/>
      </c>
      <c r="DO294" t="str">
        <f>""</f>
        <v/>
      </c>
      <c r="DP294" t="str">
        <f>""</f>
        <v/>
      </c>
      <c r="DQ294" t="str">
        <f>""</f>
        <v/>
      </c>
      <c r="DR294" t="str">
        <f>""</f>
        <v/>
      </c>
      <c r="DS294" t="str">
        <f>""</f>
        <v/>
      </c>
      <c r="DT294" t="str">
        <f>""</f>
        <v/>
      </c>
      <c r="DU294" t="str">
        <f>""</f>
        <v/>
      </c>
    </row>
    <row r="295" spans="1:125">
      <c r="A295" t="str">
        <f>$A$66</f>
        <v xml:space="preserve">    Regional Mall REITs</v>
      </c>
      <c r="B295" t="str">
        <f>$B$66</f>
        <v>RECFTDRM Index</v>
      </c>
      <c r="C295" t="str">
        <f>$C$66</f>
        <v>PR005</v>
      </c>
      <c r="D295" t="str">
        <f>$D$66</f>
        <v>PX_LAST</v>
      </c>
      <c r="E295" t="str">
        <f>$E$66</f>
        <v>动态</v>
      </c>
      <c r="F295" t="str">
        <f ca="1">BDH($B$66,$C$66,$B$181,$B$182,CONCATENATE("Per=",$B$179),"Dts=H","Dir=H",CONCATENATE("Points=",$B$180),"Sort=R","Days=A","Fill=B",CONCATENATE("FX=", $B$178) )</f>
        <v>#N/A Authorization</v>
      </c>
      <c r="BN295" t="str">
        <f>""</f>
        <v/>
      </c>
      <c r="BO295" t="str">
        <f>""</f>
        <v/>
      </c>
      <c r="BP295" t="str">
        <f>""</f>
        <v/>
      </c>
      <c r="BQ295" t="str">
        <f>""</f>
        <v/>
      </c>
      <c r="BR295" t="str">
        <f>""</f>
        <v/>
      </c>
      <c r="BS295" t="str">
        <f>""</f>
        <v/>
      </c>
      <c r="BT295" t="str">
        <f>""</f>
        <v/>
      </c>
      <c r="BU295" t="str">
        <f>""</f>
        <v/>
      </c>
      <c r="BV295" t="str">
        <f>""</f>
        <v/>
      </c>
      <c r="BW295" t="str">
        <f>""</f>
        <v/>
      </c>
      <c r="BX295" t="str">
        <f>""</f>
        <v/>
      </c>
      <c r="BY295" t="str">
        <f>""</f>
        <v/>
      </c>
      <c r="BZ295" t="str">
        <f>""</f>
        <v/>
      </c>
      <c r="CA295" t="str">
        <f>""</f>
        <v/>
      </c>
      <c r="CB295" t="str">
        <f>""</f>
        <v/>
      </c>
      <c r="CC295" t="str">
        <f>""</f>
        <v/>
      </c>
      <c r="CD295" t="str">
        <f>""</f>
        <v/>
      </c>
      <c r="CE295" t="str">
        <f>""</f>
        <v/>
      </c>
      <c r="CF295" t="str">
        <f>""</f>
        <v/>
      </c>
      <c r="CG295" t="str">
        <f>""</f>
        <v/>
      </c>
      <c r="CH295" t="str">
        <f>""</f>
        <v/>
      </c>
      <c r="CI295" t="str">
        <f>""</f>
        <v/>
      </c>
      <c r="CJ295" t="str">
        <f>""</f>
        <v/>
      </c>
      <c r="CK295" t="str">
        <f>""</f>
        <v/>
      </c>
      <c r="CL295" t="str">
        <f>""</f>
        <v/>
      </c>
      <c r="CM295" t="str">
        <f>""</f>
        <v/>
      </c>
      <c r="CN295" t="str">
        <f>""</f>
        <v/>
      </c>
      <c r="CO295" t="str">
        <f>""</f>
        <v/>
      </c>
      <c r="CP295" t="str">
        <f>""</f>
        <v/>
      </c>
      <c r="CQ295" t="str">
        <f>""</f>
        <v/>
      </c>
      <c r="CR295" t="str">
        <f>""</f>
        <v/>
      </c>
      <c r="CS295" t="str">
        <f>""</f>
        <v/>
      </c>
      <c r="CT295" t="str">
        <f>""</f>
        <v/>
      </c>
      <c r="CU295" t="str">
        <f>""</f>
        <v/>
      </c>
      <c r="CV295" t="str">
        <f>""</f>
        <v/>
      </c>
      <c r="CW295" t="str">
        <f>""</f>
        <v/>
      </c>
      <c r="CX295" t="str">
        <f>""</f>
        <v/>
      </c>
      <c r="CY295" t="str">
        <f>""</f>
        <v/>
      </c>
      <c r="CZ295" t="str">
        <f>""</f>
        <v/>
      </c>
      <c r="DA295" t="str">
        <f>""</f>
        <v/>
      </c>
      <c r="DB295" t="str">
        <f>""</f>
        <v/>
      </c>
      <c r="DC295" t="str">
        <f>""</f>
        <v/>
      </c>
      <c r="DD295" t="str">
        <f>""</f>
        <v/>
      </c>
      <c r="DE295" t="str">
        <f>""</f>
        <v/>
      </c>
      <c r="DF295" t="str">
        <f>""</f>
        <v/>
      </c>
      <c r="DG295" t="str">
        <f>""</f>
        <v/>
      </c>
      <c r="DH295" t="str">
        <f>""</f>
        <v/>
      </c>
      <c r="DI295" t="str">
        <f>""</f>
        <v/>
      </c>
      <c r="DJ295" t="str">
        <f>""</f>
        <v/>
      </c>
      <c r="DK295" t="str">
        <f>""</f>
        <v/>
      </c>
      <c r="DL295" t="str">
        <f>""</f>
        <v/>
      </c>
      <c r="DM295" t="str">
        <f>""</f>
        <v/>
      </c>
      <c r="DN295" t="str">
        <f>""</f>
        <v/>
      </c>
      <c r="DO295" t="str">
        <f>""</f>
        <v/>
      </c>
      <c r="DP295" t="str">
        <f>""</f>
        <v/>
      </c>
      <c r="DQ295" t="str">
        <f>""</f>
        <v/>
      </c>
      <c r="DR295" t="str">
        <f>""</f>
        <v/>
      </c>
      <c r="DS295" t="str">
        <f>""</f>
        <v/>
      </c>
      <c r="DT295" t="str">
        <f>""</f>
        <v/>
      </c>
      <c r="DU295" t="str">
        <f>""</f>
        <v/>
      </c>
    </row>
    <row r="296" spans="1:125">
      <c r="A296" t="str">
        <f>$A$67</f>
        <v xml:space="preserve">    Free Standing Retail REITs</v>
      </c>
      <c r="B296" t="str">
        <f>$B$67</f>
        <v>RECFTDFS Index</v>
      </c>
      <c r="C296" t="str">
        <f>$C$67</f>
        <v>PR005</v>
      </c>
      <c r="D296" t="str">
        <f>$D$67</f>
        <v>PX_LAST</v>
      </c>
      <c r="E296" t="str">
        <f>$E$67</f>
        <v>动态</v>
      </c>
      <c r="F296" t="str">
        <f ca="1">BDH($B$67,$C$67,$B$181,$B$182,CONCATENATE("Per=",$B$179),"Dts=H","Dir=H",CONCATENATE("Points=",$B$180),"Sort=R","Days=A","Fill=B",CONCATENATE("FX=", $B$178) )</f>
        <v>#N/A Authorization</v>
      </c>
      <c r="BN296" t="str">
        <f>""</f>
        <v/>
      </c>
      <c r="BO296" t="str">
        <f>""</f>
        <v/>
      </c>
      <c r="BP296" t="str">
        <f>""</f>
        <v/>
      </c>
      <c r="BQ296" t="str">
        <f>""</f>
        <v/>
      </c>
      <c r="BR296" t="str">
        <f>""</f>
        <v/>
      </c>
      <c r="BS296" t="str">
        <f>""</f>
        <v/>
      </c>
      <c r="BT296" t="str">
        <f>""</f>
        <v/>
      </c>
      <c r="BU296" t="str">
        <f>""</f>
        <v/>
      </c>
      <c r="BV296" t="str">
        <f>""</f>
        <v/>
      </c>
      <c r="BW296" t="str">
        <f>""</f>
        <v/>
      </c>
      <c r="BX296" t="str">
        <f>""</f>
        <v/>
      </c>
      <c r="BY296" t="str">
        <f>""</f>
        <v/>
      </c>
      <c r="BZ296" t="str">
        <f>""</f>
        <v/>
      </c>
      <c r="CA296" t="str">
        <f>""</f>
        <v/>
      </c>
      <c r="CB296" t="str">
        <f>""</f>
        <v/>
      </c>
      <c r="CC296" t="str">
        <f>""</f>
        <v/>
      </c>
      <c r="CD296" t="str">
        <f>""</f>
        <v/>
      </c>
      <c r="CE296" t="str">
        <f>""</f>
        <v/>
      </c>
      <c r="CF296" t="str">
        <f>""</f>
        <v/>
      </c>
      <c r="CG296" t="str">
        <f>""</f>
        <v/>
      </c>
      <c r="CH296" t="str">
        <f>""</f>
        <v/>
      </c>
      <c r="CI296" t="str">
        <f>""</f>
        <v/>
      </c>
      <c r="CJ296" t="str">
        <f>""</f>
        <v/>
      </c>
      <c r="CK296" t="str">
        <f>""</f>
        <v/>
      </c>
      <c r="CL296" t="str">
        <f>""</f>
        <v/>
      </c>
      <c r="CM296" t="str">
        <f>""</f>
        <v/>
      </c>
      <c r="CN296" t="str">
        <f>""</f>
        <v/>
      </c>
      <c r="CO296" t="str">
        <f>""</f>
        <v/>
      </c>
      <c r="CP296" t="str">
        <f>""</f>
        <v/>
      </c>
      <c r="CQ296" t="str">
        <f>""</f>
        <v/>
      </c>
      <c r="CR296" t="str">
        <f>""</f>
        <v/>
      </c>
      <c r="CS296" t="str">
        <f>""</f>
        <v/>
      </c>
      <c r="CT296" t="str">
        <f>""</f>
        <v/>
      </c>
      <c r="CU296" t="str">
        <f>""</f>
        <v/>
      </c>
      <c r="CV296" t="str">
        <f>""</f>
        <v/>
      </c>
      <c r="CW296" t="str">
        <f>""</f>
        <v/>
      </c>
      <c r="CX296" t="str">
        <f>""</f>
        <v/>
      </c>
      <c r="CY296" t="str">
        <f>""</f>
        <v/>
      </c>
      <c r="CZ296" t="str">
        <f>""</f>
        <v/>
      </c>
      <c r="DA296" t="str">
        <f>""</f>
        <v/>
      </c>
      <c r="DB296" t="str">
        <f>""</f>
        <v/>
      </c>
      <c r="DC296" t="str">
        <f>""</f>
        <v/>
      </c>
      <c r="DD296" t="str">
        <f>""</f>
        <v/>
      </c>
      <c r="DE296" t="str">
        <f>""</f>
        <v/>
      </c>
      <c r="DF296" t="str">
        <f>""</f>
        <v/>
      </c>
      <c r="DG296" t="str">
        <f>""</f>
        <v/>
      </c>
      <c r="DH296" t="str">
        <f>""</f>
        <v/>
      </c>
      <c r="DI296" t="str">
        <f>""</f>
        <v/>
      </c>
      <c r="DJ296" t="str">
        <f>""</f>
        <v/>
      </c>
      <c r="DK296" t="str">
        <f>""</f>
        <v/>
      </c>
      <c r="DL296" t="str">
        <f>""</f>
        <v/>
      </c>
      <c r="DM296" t="str">
        <f>""</f>
        <v/>
      </c>
      <c r="DN296" t="str">
        <f>""</f>
        <v/>
      </c>
      <c r="DO296" t="str">
        <f>""</f>
        <v/>
      </c>
      <c r="DP296" t="str">
        <f>""</f>
        <v/>
      </c>
      <c r="DQ296" t="str">
        <f>""</f>
        <v/>
      </c>
      <c r="DR296" t="str">
        <f>""</f>
        <v/>
      </c>
      <c r="DS296" t="str">
        <f>""</f>
        <v/>
      </c>
      <c r="DT296" t="str">
        <f>""</f>
        <v/>
      </c>
      <c r="DU296" t="str">
        <f>""</f>
        <v/>
      </c>
    </row>
    <row r="297" spans="1:125">
      <c r="A297" t="str">
        <f>$A$68</f>
        <v xml:space="preserve">    Residential REITs</v>
      </c>
      <c r="B297" t="str">
        <f>$B$68</f>
        <v>RECFTDRS Index</v>
      </c>
      <c r="C297" t="str">
        <f>$C$68</f>
        <v>PR005</v>
      </c>
      <c r="D297" t="str">
        <f>$D$68</f>
        <v>PX_LAST</v>
      </c>
      <c r="E297" t="str">
        <f>$E$68</f>
        <v>动态</v>
      </c>
      <c r="F297" t="str">
        <f ca="1">BDH($B$68,$C$68,$B$181,$B$182,CONCATENATE("Per=",$B$179),"Dts=H","Dir=H",CONCATENATE("Points=",$B$180),"Sort=R","Days=A","Fill=B",CONCATENATE("FX=", $B$178) )</f>
        <v>#N/A Authorization</v>
      </c>
      <c r="BN297" t="str">
        <f>""</f>
        <v/>
      </c>
      <c r="BO297" t="str">
        <f>""</f>
        <v/>
      </c>
      <c r="BP297" t="str">
        <f>""</f>
        <v/>
      </c>
      <c r="BQ297" t="str">
        <f>""</f>
        <v/>
      </c>
      <c r="BR297" t="str">
        <f>""</f>
        <v/>
      </c>
      <c r="BS297" t="str">
        <f>""</f>
        <v/>
      </c>
      <c r="BT297" t="str">
        <f>""</f>
        <v/>
      </c>
      <c r="BU297" t="str">
        <f>""</f>
        <v/>
      </c>
      <c r="BV297" t="str">
        <f>""</f>
        <v/>
      </c>
      <c r="BW297" t="str">
        <f>""</f>
        <v/>
      </c>
      <c r="BX297" t="str">
        <f>""</f>
        <v/>
      </c>
      <c r="BY297" t="str">
        <f>""</f>
        <v/>
      </c>
      <c r="BZ297" t="str">
        <f>""</f>
        <v/>
      </c>
      <c r="CA297" t="str">
        <f>""</f>
        <v/>
      </c>
      <c r="CB297" t="str">
        <f>""</f>
        <v/>
      </c>
      <c r="CC297" t="str">
        <f>""</f>
        <v/>
      </c>
      <c r="CD297" t="str">
        <f>""</f>
        <v/>
      </c>
      <c r="CE297" t="str">
        <f>""</f>
        <v/>
      </c>
      <c r="CF297" t="str">
        <f>""</f>
        <v/>
      </c>
      <c r="CG297" t="str">
        <f>""</f>
        <v/>
      </c>
      <c r="CH297" t="str">
        <f>""</f>
        <v/>
      </c>
      <c r="CI297" t="str">
        <f>""</f>
        <v/>
      </c>
      <c r="CJ297" t="str">
        <f>""</f>
        <v/>
      </c>
      <c r="CK297" t="str">
        <f>""</f>
        <v/>
      </c>
      <c r="CL297" t="str">
        <f>""</f>
        <v/>
      </c>
      <c r="CM297" t="str">
        <f>""</f>
        <v/>
      </c>
      <c r="CN297" t="str">
        <f>""</f>
        <v/>
      </c>
      <c r="CO297" t="str">
        <f>""</f>
        <v/>
      </c>
      <c r="CP297" t="str">
        <f>""</f>
        <v/>
      </c>
      <c r="CQ297" t="str">
        <f>""</f>
        <v/>
      </c>
      <c r="CR297" t="str">
        <f>""</f>
        <v/>
      </c>
      <c r="CS297" t="str">
        <f>""</f>
        <v/>
      </c>
      <c r="CT297" t="str">
        <f>""</f>
        <v/>
      </c>
      <c r="CU297" t="str">
        <f>""</f>
        <v/>
      </c>
      <c r="CV297" t="str">
        <f>""</f>
        <v/>
      </c>
      <c r="CW297" t="str">
        <f>""</f>
        <v/>
      </c>
      <c r="CX297" t="str">
        <f>""</f>
        <v/>
      </c>
      <c r="CY297" t="str">
        <f>""</f>
        <v/>
      </c>
      <c r="CZ297" t="str">
        <f>""</f>
        <v/>
      </c>
      <c r="DA297" t="str">
        <f>""</f>
        <v/>
      </c>
      <c r="DB297" t="str">
        <f>""</f>
        <v/>
      </c>
      <c r="DC297" t="str">
        <f>""</f>
        <v/>
      </c>
      <c r="DD297" t="str">
        <f>""</f>
        <v/>
      </c>
      <c r="DE297" t="str">
        <f>""</f>
        <v/>
      </c>
      <c r="DF297" t="str">
        <f>""</f>
        <v/>
      </c>
      <c r="DG297" t="str">
        <f>""</f>
        <v/>
      </c>
      <c r="DH297" t="str">
        <f>""</f>
        <v/>
      </c>
      <c r="DI297" t="str">
        <f>""</f>
        <v/>
      </c>
      <c r="DJ297" t="str">
        <f>""</f>
        <v/>
      </c>
      <c r="DK297" t="str">
        <f>""</f>
        <v/>
      </c>
      <c r="DL297" t="str">
        <f>""</f>
        <v/>
      </c>
      <c r="DM297" t="str">
        <f>""</f>
        <v/>
      </c>
      <c r="DN297" t="str">
        <f>""</f>
        <v/>
      </c>
      <c r="DO297" t="str">
        <f>""</f>
        <v/>
      </c>
      <c r="DP297" t="str">
        <f>""</f>
        <v/>
      </c>
      <c r="DQ297" t="str">
        <f>""</f>
        <v/>
      </c>
      <c r="DR297" t="str">
        <f>""</f>
        <v/>
      </c>
      <c r="DS297" t="str">
        <f>""</f>
        <v/>
      </c>
      <c r="DT297" t="str">
        <f>""</f>
        <v/>
      </c>
      <c r="DU297" t="str">
        <f>""</f>
        <v/>
      </c>
    </row>
    <row r="298" spans="1:125">
      <c r="A298" t="str">
        <f>$A$69</f>
        <v xml:space="preserve">    Apartment REITs</v>
      </c>
      <c r="B298" t="str">
        <f>$B$69</f>
        <v>RECFTDAP Index</v>
      </c>
      <c r="C298" t="str">
        <f>$C$69</f>
        <v>PR005</v>
      </c>
      <c r="D298" t="str">
        <f>$D$69</f>
        <v>PX_LAST</v>
      </c>
      <c r="E298" t="str">
        <f>$E$69</f>
        <v>动态</v>
      </c>
      <c r="F298" t="str">
        <f ca="1">BDH($B$69,$C$69,$B$181,$B$182,CONCATENATE("Per=",$B$179),"Dts=H","Dir=H",CONCATENATE("Points=",$B$180),"Sort=R","Days=A","Fill=B",CONCATENATE("FX=", $B$178) )</f>
        <v>#N/A Authorization</v>
      </c>
      <c r="BN298" t="str">
        <f>""</f>
        <v/>
      </c>
      <c r="BO298" t="str">
        <f>""</f>
        <v/>
      </c>
      <c r="BP298" t="str">
        <f>""</f>
        <v/>
      </c>
      <c r="BQ298" t="str">
        <f>""</f>
        <v/>
      </c>
      <c r="BR298" t="str">
        <f>""</f>
        <v/>
      </c>
      <c r="BS298" t="str">
        <f>""</f>
        <v/>
      </c>
      <c r="BT298" t="str">
        <f>""</f>
        <v/>
      </c>
      <c r="BU298" t="str">
        <f>""</f>
        <v/>
      </c>
      <c r="BV298" t="str">
        <f>""</f>
        <v/>
      </c>
      <c r="BW298" t="str">
        <f>""</f>
        <v/>
      </c>
      <c r="BX298" t="str">
        <f>""</f>
        <v/>
      </c>
      <c r="BY298" t="str">
        <f>""</f>
        <v/>
      </c>
      <c r="BZ298" t="str">
        <f>""</f>
        <v/>
      </c>
      <c r="CA298" t="str">
        <f>""</f>
        <v/>
      </c>
      <c r="CB298" t="str">
        <f>""</f>
        <v/>
      </c>
      <c r="CC298" t="str">
        <f>""</f>
        <v/>
      </c>
      <c r="CD298" t="str">
        <f>""</f>
        <v/>
      </c>
      <c r="CE298" t="str">
        <f>""</f>
        <v/>
      </c>
      <c r="CF298" t="str">
        <f>""</f>
        <v/>
      </c>
      <c r="CG298" t="str">
        <f>""</f>
        <v/>
      </c>
      <c r="CH298" t="str">
        <f>""</f>
        <v/>
      </c>
      <c r="CI298" t="str">
        <f>""</f>
        <v/>
      </c>
      <c r="CJ298" t="str">
        <f>""</f>
        <v/>
      </c>
      <c r="CK298" t="str">
        <f>""</f>
        <v/>
      </c>
      <c r="CL298" t="str">
        <f>""</f>
        <v/>
      </c>
      <c r="CM298" t="str">
        <f>""</f>
        <v/>
      </c>
      <c r="CN298" t="str">
        <f>""</f>
        <v/>
      </c>
      <c r="CO298" t="str">
        <f>""</f>
        <v/>
      </c>
      <c r="CP298" t="str">
        <f>""</f>
        <v/>
      </c>
      <c r="CQ298" t="str">
        <f>""</f>
        <v/>
      </c>
      <c r="CR298" t="str">
        <f>""</f>
        <v/>
      </c>
      <c r="CS298" t="str">
        <f>""</f>
        <v/>
      </c>
      <c r="CT298" t="str">
        <f>""</f>
        <v/>
      </c>
      <c r="CU298" t="str">
        <f>""</f>
        <v/>
      </c>
      <c r="CV298" t="str">
        <f>""</f>
        <v/>
      </c>
      <c r="CW298" t="str">
        <f>""</f>
        <v/>
      </c>
      <c r="CX298" t="str">
        <f>""</f>
        <v/>
      </c>
      <c r="CY298" t="str">
        <f>""</f>
        <v/>
      </c>
      <c r="CZ298" t="str">
        <f>""</f>
        <v/>
      </c>
      <c r="DA298" t="str">
        <f>""</f>
        <v/>
      </c>
      <c r="DB298" t="str">
        <f>""</f>
        <v/>
      </c>
      <c r="DC298" t="str">
        <f>""</f>
        <v/>
      </c>
      <c r="DD298" t="str">
        <f>""</f>
        <v/>
      </c>
      <c r="DE298" t="str">
        <f>""</f>
        <v/>
      </c>
      <c r="DF298" t="str">
        <f>""</f>
        <v/>
      </c>
      <c r="DG298" t="str">
        <f>""</f>
        <v/>
      </c>
      <c r="DH298" t="str">
        <f>""</f>
        <v/>
      </c>
      <c r="DI298" t="str">
        <f>""</f>
        <v/>
      </c>
      <c r="DJ298" t="str">
        <f>""</f>
        <v/>
      </c>
      <c r="DK298" t="str">
        <f>""</f>
        <v/>
      </c>
      <c r="DL298" t="str">
        <f>""</f>
        <v/>
      </c>
      <c r="DM298" t="str">
        <f>""</f>
        <v/>
      </c>
      <c r="DN298" t="str">
        <f>""</f>
        <v/>
      </c>
      <c r="DO298" t="str">
        <f>""</f>
        <v/>
      </c>
      <c r="DP298" t="str">
        <f>""</f>
        <v/>
      </c>
      <c r="DQ298" t="str">
        <f>""</f>
        <v/>
      </c>
      <c r="DR298" t="str">
        <f>""</f>
        <v/>
      </c>
      <c r="DS298" t="str">
        <f>""</f>
        <v/>
      </c>
      <c r="DT298" t="str">
        <f>""</f>
        <v/>
      </c>
      <c r="DU298" t="str">
        <f>""</f>
        <v/>
      </c>
    </row>
    <row r="299" spans="1:125">
      <c r="A299" t="str">
        <f>$A$70</f>
        <v xml:space="preserve">    Manufactured Home REITs</v>
      </c>
      <c r="B299" t="str">
        <f>$B$70</f>
        <v>RECFTDMH Index</v>
      </c>
      <c r="C299" t="str">
        <f>$C$70</f>
        <v>PR005</v>
      </c>
      <c r="D299" t="str">
        <f>$D$70</f>
        <v>PX_LAST</v>
      </c>
      <c r="E299" t="str">
        <f>$E$70</f>
        <v>动态</v>
      </c>
      <c r="F299" t="str">
        <f ca="1">BDH($B$70,$C$70,$B$181,$B$182,CONCATENATE("Per=",$B$179),"Dts=H","Dir=H",CONCATENATE("Points=",$B$180),"Sort=R","Days=A","Fill=B",CONCATENATE("FX=", $B$178) )</f>
        <v>#N/A Authorization</v>
      </c>
      <c r="BN299" t="str">
        <f>""</f>
        <v/>
      </c>
      <c r="BO299" t="str">
        <f>""</f>
        <v/>
      </c>
      <c r="BP299" t="str">
        <f>""</f>
        <v/>
      </c>
      <c r="BQ299" t="str">
        <f>""</f>
        <v/>
      </c>
      <c r="BR299" t="str">
        <f>""</f>
        <v/>
      </c>
      <c r="BS299" t="str">
        <f>""</f>
        <v/>
      </c>
      <c r="BT299" t="str">
        <f>""</f>
        <v/>
      </c>
      <c r="BU299" t="str">
        <f>""</f>
        <v/>
      </c>
      <c r="BV299" t="str">
        <f>""</f>
        <v/>
      </c>
      <c r="BW299" t="str">
        <f>""</f>
        <v/>
      </c>
      <c r="BX299" t="str">
        <f>""</f>
        <v/>
      </c>
      <c r="BY299" t="str">
        <f>""</f>
        <v/>
      </c>
      <c r="BZ299" t="str">
        <f>""</f>
        <v/>
      </c>
      <c r="CA299" t="str">
        <f>""</f>
        <v/>
      </c>
      <c r="CB299" t="str">
        <f>""</f>
        <v/>
      </c>
      <c r="CC299" t="str">
        <f>""</f>
        <v/>
      </c>
      <c r="CD299" t="str">
        <f>""</f>
        <v/>
      </c>
      <c r="CE299" t="str">
        <f>""</f>
        <v/>
      </c>
      <c r="CF299" t="str">
        <f>""</f>
        <v/>
      </c>
      <c r="CG299" t="str">
        <f>""</f>
        <v/>
      </c>
      <c r="CH299" t="str">
        <f>""</f>
        <v/>
      </c>
      <c r="CI299" t="str">
        <f>""</f>
        <v/>
      </c>
      <c r="CJ299" t="str">
        <f>""</f>
        <v/>
      </c>
      <c r="CK299" t="str">
        <f>""</f>
        <v/>
      </c>
      <c r="CL299" t="str">
        <f>""</f>
        <v/>
      </c>
      <c r="CM299" t="str">
        <f>""</f>
        <v/>
      </c>
      <c r="CN299" t="str">
        <f>""</f>
        <v/>
      </c>
      <c r="CO299" t="str">
        <f>""</f>
        <v/>
      </c>
      <c r="CP299" t="str">
        <f>""</f>
        <v/>
      </c>
      <c r="CQ299" t="str">
        <f>""</f>
        <v/>
      </c>
      <c r="CR299" t="str">
        <f>""</f>
        <v/>
      </c>
      <c r="CS299" t="str">
        <f>""</f>
        <v/>
      </c>
      <c r="CT299" t="str">
        <f>""</f>
        <v/>
      </c>
      <c r="CU299" t="str">
        <f>""</f>
        <v/>
      </c>
      <c r="CV299" t="str">
        <f>""</f>
        <v/>
      </c>
      <c r="CW299" t="str">
        <f>""</f>
        <v/>
      </c>
      <c r="CX299" t="str">
        <f>""</f>
        <v/>
      </c>
      <c r="CY299" t="str">
        <f>""</f>
        <v/>
      </c>
      <c r="CZ299" t="str">
        <f>""</f>
        <v/>
      </c>
      <c r="DA299" t="str">
        <f>""</f>
        <v/>
      </c>
      <c r="DB299" t="str">
        <f>""</f>
        <v/>
      </c>
      <c r="DC299" t="str">
        <f>""</f>
        <v/>
      </c>
      <c r="DD299" t="str">
        <f>""</f>
        <v/>
      </c>
      <c r="DE299" t="str">
        <f>""</f>
        <v/>
      </c>
      <c r="DF299" t="str">
        <f>""</f>
        <v/>
      </c>
      <c r="DG299" t="str">
        <f>""</f>
        <v/>
      </c>
      <c r="DH299" t="str">
        <f>""</f>
        <v/>
      </c>
      <c r="DI299" t="str">
        <f>""</f>
        <v/>
      </c>
      <c r="DJ299" t="str">
        <f>""</f>
        <v/>
      </c>
      <c r="DK299" t="str">
        <f>""</f>
        <v/>
      </c>
      <c r="DL299" t="str">
        <f>""</f>
        <v/>
      </c>
      <c r="DM299" t="str">
        <f>""</f>
        <v/>
      </c>
      <c r="DN299" t="str">
        <f>""</f>
        <v/>
      </c>
      <c r="DO299" t="str">
        <f>""</f>
        <v/>
      </c>
      <c r="DP299" t="str">
        <f>""</f>
        <v/>
      </c>
      <c r="DQ299" t="str">
        <f>""</f>
        <v/>
      </c>
      <c r="DR299" t="str">
        <f>""</f>
        <v/>
      </c>
      <c r="DS299" t="str">
        <f>""</f>
        <v/>
      </c>
      <c r="DT299" t="str">
        <f>""</f>
        <v/>
      </c>
      <c r="DU299" t="str">
        <f>""</f>
        <v/>
      </c>
    </row>
    <row r="300" spans="1:125">
      <c r="A300" t="str">
        <f>$A$71</f>
        <v xml:space="preserve">    Single Family Rental REITs</v>
      </c>
      <c r="B300" t="str">
        <f>$B$71</f>
        <v>RECFTDSF Index</v>
      </c>
      <c r="C300" t="str">
        <f>$C$71</f>
        <v>PR005</v>
      </c>
      <c r="D300" t="str">
        <f>$D$71</f>
        <v>PX_LAST</v>
      </c>
      <c r="E300" t="str">
        <f>$E$71</f>
        <v>动态</v>
      </c>
      <c r="F300" t="str">
        <f ca="1">BDH($B$71,$C$71,$B$181,$B$182,CONCATENATE("Per=",$B$179),"Dts=H","Dir=H",CONCATENATE("Points=",$B$180),"Sort=R","Days=A","Fill=B",CONCATENATE("FX=", $B$178) )</f>
        <v>#N/A Authorization</v>
      </c>
      <c r="BN300" t="str">
        <f>""</f>
        <v/>
      </c>
      <c r="BO300" t="str">
        <f>""</f>
        <v/>
      </c>
      <c r="BP300" t="str">
        <f>""</f>
        <v/>
      </c>
      <c r="BQ300" t="str">
        <f>""</f>
        <v/>
      </c>
      <c r="BR300" t="str">
        <f>""</f>
        <v/>
      </c>
      <c r="BS300" t="str">
        <f>""</f>
        <v/>
      </c>
      <c r="BT300" t="str">
        <f>""</f>
        <v/>
      </c>
      <c r="BU300" t="str">
        <f>""</f>
        <v/>
      </c>
      <c r="BV300" t="str">
        <f>""</f>
        <v/>
      </c>
      <c r="BW300" t="str">
        <f>""</f>
        <v/>
      </c>
      <c r="BX300" t="str">
        <f>""</f>
        <v/>
      </c>
      <c r="BY300" t="str">
        <f>""</f>
        <v/>
      </c>
      <c r="BZ300" t="str">
        <f>""</f>
        <v/>
      </c>
      <c r="CA300" t="str">
        <f>""</f>
        <v/>
      </c>
      <c r="CB300" t="str">
        <f>""</f>
        <v/>
      </c>
      <c r="CC300" t="str">
        <f>""</f>
        <v/>
      </c>
      <c r="CD300" t="str">
        <f>""</f>
        <v/>
      </c>
      <c r="CE300" t="str">
        <f>""</f>
        <v/>
      </c>
      <c r="CF300" t="str">
        <f>""</f>
        <v/>
      </c>
      <c r="CG300" t="str">
        <f>""</f>
        <v/>
      </c>
      <c r="CH300" t="str">
        <f>""</f>
        <v/>
      </c>
      <c r="CI300" t="str">
        <f>""</f>
        <v/>
      </c>
      <c r="CJ300" t="str">
        <f>""</f>
        <v/>
      </c>
      <c r="CK300" t="str">
        <f>""</f>
        <v/>
      </c>
      <c r="CL300" t="str">
        <f>""</f>
        <v/>
      </c>
      <c r="CM300" t="str">
        <f>""</f>
        <v/>
      </c>
      <c r="CN300" t="str">
        <f>""</f>
        <v/>
      </c>
      <c r="CO300" t="str">
        <f>""</f>
        <v/>
      </c>
      <c r="CP300" t="str">
        <f>""</f>
        <v/>
      </c>
      <c r="CQ300" t="str">
        <f>""</f>
        <v/>
      </c>
      <c r="CR300" t="str">
        <f>""</f>
        <v/>
      </c>
      <c r="CS300" t="str">
        <f>""</f>
        <v/>
      </c>
      <c r="CT300" t="str">
        <f>""</f>
        <v/>
      </c>
      <c r="CU300" t="str">
        <f>""</f>
        <v/>
      </c>
      <c r="CV300" t="str">
        <f>""</f>
        <v/>
      </c>
      <c r="CW300" t="str">
        <f>""</f>
        <v/>
      </c>
      <c r="CX300" t="str">
        <f>""</f>
        <v/>
      </c>
      <c r="CY300" t="str">
        <f>""</f>
        <v/>
      </c>
      <c r="CZ300" t="str">
        <f>""</f>
        <v/>
      </c>
      <c r="DA300" t="str">
        <f>""</f>
        <v/>
      </c>
      <c r="DB300" t="str">
        <f>""</f>
        <v/>
      </c>
      <c r="DC300" t="str">
        <f>""</f>
        <v/>
      </c>
      <c r="DD300" t="str">
        <f>""</f>
        <v/>
      </c>
      <c r="DE300" t="str">
        <f>""</f>
        <v/>
      </c>
      <c r="DF300" t="str">
        <f>""</f>
        <v/>
      </c>
      <c r="DG300" t="str">
        <f>""</f>
        <v/>
      </c>
      <c r="DH300" t="str">
        <f>""</f>
        <v/>
      </c>
      <c r="DI300" t="str">
        <f>""</f>
        <v/>
      </c>
      <c r="DJ300" t="str">
        <f>""</f>
        <v/>
      </c>
      <c r="DK300" t="str">
        <f>""</f>
        <v/>
      </c>
      <c r="DL300" t="str">
        <f>""</f>
        <v/>
      </c>
      <c r="DM300" t="str">
        <f>""</f>
        <v/>
      </c>
      <c r="DN300" t="str">
        <f>""</f>
        <v/>
      </c>
      <c r="DO300" t="str">
        <f>""</f>
        <v/>
      </c>
      <c r="DP300" t="str">
        <f>""</f>
        <v/>
      </c>
      <c r="DQ300" t="str">
        <f>""</f>
        <v/>
      </c>
      <c r="DR300" t="str">
        <f>""</f>
        <v/>
      </c>
      <c r="DS300" t="str">
        <f>""</f>
        <v/>
      </c>
      <c r="DT300" t="str">
        <f>""</f>
        <v/>
      </c>
      <c r="DU300" t="str">
        <f>""</f>
        <v/>
      </c>
    </row>
    <row r="301" spans="1:125">
      <c r="A301" t="str">
        <f>$A$72</f>
        <v xml:space="preserve">    Diversified REITs</v>
      </c>
      <c r="B301" t="str">
        <f>$B$72</f>
        <v>RECFTDDV Index</v>
      </c>
      <c r="C301" t="str">
        <f>$C$72</f>
        <v>PR005</v>
      </c>
      <c r="D301" t="str">
        <f>$D$72</f>
        <v>PX_LAST</v>
      </c>
      <c r="E301" t="str">
        <f>$E$72</f>
        <v>动态</v>
      </c>
      <c r="F301" t="str">
        <f ca="1">BDH($B$72,$C$72,$B$181,$B$182,CONCATENATE("Per=",$B$179),"Dts=H","Dir=H",CONCATENATE("Points=",$B$180),"Sort=R","Days=A","Fill=B",CONCATENATE("FX=", $B$178) )</f>
        <v>#N/A Authorization</v>
      </c>
      <c r="BN301" t="str">
        <f>""</f>
        <v/>
      </c>
      <c r="BO301" t="str">
        <f>""</f>
        <v/>
      </c>
      <c r="BP301" t="str">
        <f>""</f>
        <v/>
      </c>
      <c r="BQ301" t="str">
        <f>""</f>
        <v/>
      </c>
      <c r="BR301" t="str">
        <f>""</f>
        <v/>
      </c>
      <c r="BS301" t="str">
        <f>""</f>
        <v/>
      </c>
      <c r="BT301" t="str">
        <f>""</f>
        <v/>
      </c>
      <c r="BU301" t="str">
        <f>""</f>
        <v/>
      </c>
      <c r="BV301" t="str">
        <f>""</f>
        <v/>
      </c>
      <c r="BW301" t="str">
        <f>""</f>
        <v/>
      </c>
      <c r="BX301" t="str">
        <f>""</f>
        <v/>
      </c>
      <c r="BY301" t="str">
        <f>""</f>
        <v/>
      </c>
      <c r="BZ301" t="str">
        <f>""</f>
        <v/>
      </c>
      <c r="CA301" t="str">
        <f>""</f>
        <v/>
      </c>
      <c r="CB301" t="str">
        <f>""</f>
        <v/>
      </c>
      <c r="CC301" t="str">
        <f>""</f>
        <v/>
      </c>
      <c r="CD301" t="str">
        <f>""</f>
        <v/>
      </c>
      <c r="CE301" t="str">
        <f>""</f>
        <v/>
      </c>
      <c r="CF301" t="str">
        <f>""</f>
        <v/>
      </c>
      <c r="CG301" t="str">
        <f>""</f>
        <v/>
      </c>
      <c r="CH301" t="str">
        <f>""</f>
        <v/>
      </c>
      <c r="CI301" t="str">
        <f>""</f>
        <v/>
      </c>
      <c r="CJ301" t="str">
        <f>""</f>
        <v/>
      </c>
      <c r="CK301" t="str">
        <f>""</f>
        <v/>
      </c>
      <c r="CL301" t="str">
        <f>""</f>
        <v/>
      </c>
      <c r="CM301" t="str">
        <f>""</f>
        <v/>
      </c>
      <c r="CN301" t="str">
        <f>""</f>
        <v/>
      </c>
      <c r="CO301" t="str">
        <f>""</f>
        <v/>
      </c>
      <c r="CP301" t="str">
        <f>""</f>
        <v/>
      </c>
      <c r="CQ301" t="str">
        <f>""</f>
        <v/>
      </c>
      <c r="CR301" t="str">
        <f>""</f>
        <v/>
      </c>
      <c r="CS301" t="str">
        <f>""</f>
        <v/>
      </c>
      <c r="CT301" t="str">
        <f>""</f>
        <v/>
      </c>
      <c r="CU301" t="str">
        <f>""</f>
        <v/>
      </c>
      <c r="CV301" t="str">
        <f>""</f>
        <v/>
      </c>
      <c r="CW301" t="str">
        <f>""</f>
        <v/>
      </c>
      <c r="CX301" t="str">
        <f>""</f>
        <v/>
      </c>
      <c r="CY301" t="str">
        <f>""</f>
        <v/>
      </c>
      <c r="CZ301" t="str">
        <f>""</f>
        <v/>
      </c>
      <c r="DA301" t="str">
        <f>""</f>
        <v/>
      </c>
      <c r="DB301" t="str">
        <f>""</f>
        <v/>
      </c>
      <c r="DC301" t="str">
        <f>""</f>
        <v/>
      </c>
      <c r="DD301" t="str">
        <f>""</f>
        <v/>
      </c>
      <c r="DE301" t="str">
        <f>""</f>
        <v/>
      </c>
      <c r="DF301" t="str">
        <f>""</f>
        <v/>
      </c>
      <c r="DG301" t="str">
        <f>""</f>
        <v/>
      </c>
      <c r="DH301" t="str">
        <f>""</f>
        <v/>
      </c>
      <c r="DI301" t="str">
        <f>""</f>
        <v/>
      </c>
      <c r="DJ301" t="str">
        <f>""</f>
        <v/>
      </c>
      <c r="DK301" t="str">
        <f>""</f>
        <v/>
      </c>
      <c r="DL301" t="str">
        <f>""</f>
        <v/>
      </c>
      <c r="DM301" t="str">
        <f>""</f>
        <v/>
      </c>
      <c r="DN301" t="str">
        <f>""</f>
        <v/>
      </c>
      <c r="DO301" t="str">
        <f>""</f>
        <v/>
      </c>
      <c r="DP301" t="str">
        <f>""</f>
        <v/>
      </c>
      <c r="DQ301" t="str">
        <f>""</f>
        <v/>
      </c>
      <c r="DR301" t="str">
        <f>""</f>
        <v/>
      </c>
      <c r="DS301" t="str">
        <f>""</f>
        <v/>
      </c>
      <c r="DT301" t="str">
        <f>""</f>
        <v/>
      </c>
      <c r="DU301" t="str">
        <f>""</f>
        <v/>
      </c>
    </row>
    <row r="302" spans="1:125">
      <c r="A302" t="str">
        <f>$A$73</f>
        <v xml:space="preserve">    Lodging/Resort REITs</v>
      </c>
      <c r="B302" t="str">
        <f>$B$73</f>
        <v>RECFTDLR Index</v>
      </c>
      <c r="C302" t="str">
        <f>$C$73</f>
        <v>PR005</v>
      </c>
      <c r="D302" t="str">
        <f>$D$73</f>
        <v>PX_LAST</v>
      </c>
      <c r="E302" t="str">
        <f>$E$73</f>
        <v>动态</v>
      </c>
      <c r="F302" t="str">
        <f ca="1">BDH($B$73,$C$73,$B$181,$B$182,CONCATENATE("Per=",$B$179),"Dts=H","Dir=H",CONCATENATE("Points=",$B$180),"Sort=R","Days=A","Fill=B",CONCATENATE("FX=", $B$178) )</f>
        <v>#N/A Authorization</v>
      </c>
      <c r="BN302" t="str">
        <f>""</f>
        <v/>
      </c>
      <c r="BO302" t="str">
        <f>""</f>
        <v/>
      </c>
      <c r="BP302" t="str">
        <f>""</f>
        <v/>
      </c>
      <c r="BQ302" t="str">
        <f>""</f>
        <v/>
      </c>
      <c r="BR302" t="str">
        <f>""</f>
        <v/>
      </c>
      <c r="BS302" t="str">
        <f>""</f>
        <v/>
      </c>
      <c r="BT302" t="str">
        <f>""</f>
        <v/>
      </c>
      <c r="BU302" t="str">
        <f>""</f>
        <v/>
      </c>
      <c r="BV302" t="str">
        <f>""</f>
        <v/>
      </c>
      <c r="BW302" t="str">
        <f>""</f>
        <v/>
      </c>
      <c r="BX302" t="str">
        <f>""</f>
        <v/>
      </c>
      <c r="BY302" t="str">
        <f>""</f>
        <v/>
      </c>
      <c r="BZ302" t="str">
        <f>""</f>
        <v/>
      </c>
      <c r="CA302" t="str">
        <f>""</f>
        <v/>
      </c>
      <c r="CB302" t="str">
        <f>""</f>
        <v/>
      </c>
      <c r="CC302" t="str">
        <f>""</f>
        <v/>
      </c>
      <c r="CD302" t="str">
        <f>""</f>
        <v/>
      </c>
      <c r="CE302" t="str">
        <f>""</f>
        <v/>
      </c>
      <c r="CF302" t="str">
        <f>""</f>
        <v/>
      </c>
      <c r="CG302" t="str">
        <f>""</f>
        <v/>
      </c>
      <c r="CH302" t="str">
        <f>""</f>
        <v/>
      </c>
      <c r="CI302" t="str">
        <f>""</f>
        <v/>
      </c>
      <c r="CJ302" t="str">
        <f>""</f>
        <v/>
      </c>
      <c r="CK302" t="str">
        <f>""</f>
        <v/>
      </c>
      <c r="CL302" t="str">
        <f>""</f>
        <v/>
      </c>
      <c r="CM302" t="str">
        <f>""</f>
        <v/>
      </c>
      <c r="CN302" t="str">
        <f>""</f>
        <v/>
      </c>
      <c r="CO302" t="str">
        <f>""</f>
        <v/>
      </c>
      <c r="CP302" t="str">
        <f>""</f>
        <v/>
      </c>
      <c r="CQ302" t="str">
        <f>""</f>
        <v/>
      </c>
      <c r="CR302" t="str">
        <f>""</f>
        <v/>
      </c>
      <c r="CS302" t="str">
        <f>""</f>
        <v/>
      </c>
      <c r="CT302" t="str">
        <f>""</f>
        <v/>
      </c>
      <c r="CU302" t="str">
        <f>""</f>
        <v/>
      </c>
      <c r="CV302" t="str">
        <f>""</f>
        <v/>
      </c>
      <c r="CW302" t="str">
        <f>""</f>
        <v/>
      </c>
      <c r="CX302" t="str">
        <f>""</f>
        <v/>
      </c>
      <c r="CY302" t="str">
        <f>""</f>
        <v/>
      </c>
      <c r="CZ302" t="str">
        <f>""</f>
        <v/>
      </c>
      <c r="DA302" t="str">
        <f>""</f>
        <v/>
      </c>
      <c r="DB302" t="str">
        <f>""</f>
        <v/>
      </c>
      <c r="DC302" t="str">
        <f>""</f>
        <v/>
      </c>
      <c r="DD302" t="str">
        <f>""</f>
        <v/>
      </c>
      <c r="DE302" t="str">
        <f>""</f>
        <v/>
      </c>
      <c r="DF302" t="str">
        <f>""</f>
        <v/>
      </c>
      <c r="DG302" t="str">
        <f>""</f>
        <v/>
      </c>
      <c r="DH302" t="str">
        <f>""</f>
        <v/>
      </c>
      <c r="DI302" t="str">
        <f>""</f>
        <v/>
      </c>
      <c r="DJ302" t="str">
        <f>""</f>
        <v/>
      </c>
      <c r="DK302" t="str">
        <f>""</f>
        <v/>
      </c>
      <c r="DL302" t="str">
        <f>""</f>
        <v/>
      </c>
      <c r="DM302" t="str">
        <f>""</f>
        <v/>
      </c>
      <c r="DN302" t="str">
        <f>""</f>
        <v/>
      </c>
      <c r="DO302" t="str">
        <f>""</f>
        <v/>
      </c>
      <c r="DP302" t="str">
        <f>""</f>
        <v/>
      </c>
      <c r="DQ302" t="str">
        <f>""</f>
        <v/>
      </c>
      <c r="DR302" t="str">
        <f>""</f>
        <v/>
      </c>
      <c r="DS302" t="str">
        <f>""</f>
        <v/>
      </c>
      <c r="DT302" t="str">
        <f>""</f>
        <v/>
      </c>
      <c r="DU302" t="str">
        <f>""</f>
        <v/>
      </c>
    </row>
    <row r="303" spans="1:125">
      <c r="A303" t="str">
        <f>$A$74</f>
        <v xml:space="preserve">    Self Storage REITs</v>
      </c>
      <c r="B303" t="str">
        <f>$B$74</f>
        <v>RECFTDSS Index</v>
      </c>
      <c r="C303" t="str">
        <f>$C$74</f>
        <v>PR005</v>
      </c>
      <c r="D303" t="str">
        <f>$D$74</f>
        <v>PX_LAST</v>
      </c>
      <c r="E303" t="str">
        <f>$E$74</f>
        <v>动态</v>
      </c>
      <c r="F303" t="str">
        <f ca="1">BDH($B$74,$C$74,$B$181,$B$182,CONCATENATE("Per=",$B$179),"Dts=H","Dir=H",CONCATENATE("Points=",$B$180),"Sort=R","Days=A","Fill=B",CONCATENATE("FX=", $B$178) )</f>
        <v>#N/A Authorization</v>
      </c>
      <c r="BN303" t="str">
        <f>""</f>
        <v/>
      </c>
      <c r="BO303" t="str">
        <f>""</f>
        <v/>
      </c>
      <c r="BP303" t="str">
        <f>""</f>
        <v/>
      </c>
      <c r="BQ303" t="str">
        <f>""</f>
        <v/>
      </c>
      <c r="BR303" t="str">
        <f>""</f>
        <v/>
      </c>
      <c r="BS303" t="str">
        <f>""</f>
        <v/>
      </c>
      <c r="BT303" t="str">
        <f>""</f>
        <v/>
      </c>
      <c r="BU303" t="str">
        <f>""</f>
        <v/>
      </c>
      <c r="BV303" t="str">
        <f>""</f>
        <v/>
      </c>
      <c r="BW303" t="str">
        <f>""</f>
        <v/>
      </c>
      <c r="BX303" t="str">
        <f>""</f>
        <v/>
      </c>
      <c r="BY303" t="str">
        <f>""</f>
        <v/>
      </c>
      <c r="BZ303" t="str">
        <f>""</f>
        <v/>
      </c>
      <c r="CA303" t="str">
        <f>""</f>
        <v/>
      </c>
      <c r="CB303" t="str">
        <f>""</f>
        <v/>
      </c>
      <c r="CC303" t="str">
        <f>""</f>
        <v/>
      </c>
      <c r="CD303" t="str">
        <f>""</f>
        <v/>
      </c>
      <c r="CE303" t="str">
        <f>""</f>
        <v/>
      </c>
      <c r="CF303" t="str">
        <f>""</f>
        <v/>
      </c>
      <c r="CG303" t="str">
        <f>""</f>
        <v/>
      </c>
      <c r="CH303" t="str">
        <f>""</f>
        <v/>
      </c>
      <c r="CI303" t="str">
        <f>""</f>
        <v/>
      </c>
      <c r="CJ303" t="str">
        <f>""</f>
        <v/>
      </c>
      <c r="CK303" t="str">
        <f>""</f>
        <v/>
      </c>
      <c r="CL303" t="str">
        <f>""</f>
        <v/>
      </c>
      <c r="CM303" t="str">
        <f>""</f>
        <v/>
      </c>
      <c r="CN303" t="str">
        <f>""</f>
        <v/>
      </c>
      <c r="CO303" t="str">
        <f>""</f>
        <v/>
      </c>
      <c r="CP303" t="str">
        <f>""</f>
        <v/>
      </c>
      <c r="CQ303" t="str">
        <f>""</f>
        <v/>
      </c>
      <c r="CR303" t="str">
        <f>""</f>
        <v/>
      </c>
      <c r="CS303" t="str">
        <f>""</f>
        <v/>
      </c>
      <c r="CT303" t="str">
        <f>""</f>
        <v/>
      </c>
      <c r="CU303" t="str">
        <f>""</f>
        <v/>
      </c>
      <c r="CV303" t="str">
        <f>""</f>
        <v/>
      </c>
      <c r="CW303" t="str">
        <f>""</f>
        <v/>
      </c>
      <c r="CX303" t="str">
        <f>""</f>
        <v/>
      </c>
      <c r="CY303" t="str">
        <f>""</f>
        <v/>
      </c>
      <c r="CZ303" t="str">
        <f>""</f>
        <v/>
      </c>
      <c r="DA303" t="str">
        <f>""</f>
        <v/>
      </c>
      <c r="DB303" t="str">
        <f>""</f>
        <v/>
      </c>
      <c r="DC303" t="str">
        <f>""</f>
        <v/>
      </c>
      <c r="DD303" t="str">
        <f>""</f>
        <v/>
      </c>
      <c r="DE303" t="str">
        <f>""</f>
        <v/>
      </c>
      <c r="DF303" t="str">
        <f>""</f>
        <v/>
      </c>
      <c r="DG303" t="str">
        <f>""</f>
        <v/>
      </c>
      <c r="DH303" t="str">
        <f>""</f>
        <v/>
      </c>
      <c r="DI303" t="str">
        <f>""</f>
        <v/>
      </c>
      <c r="DJ303" t="str">
        <f>""</f>
        <v/>
      </c>
      <c r="DK303" t="str">
        <f>""</f>
        <v/>
      </c>
      <c r="DL303" t="str">
        <f>""</f>
        <v/>
      </c>
      <c r="DM303" t="str">
        <f>""</f>
        <v/>
      </c>
      <c r="DN303" t="str">
        <f>""</f>
        <v/>
      </c>
      <c r="DO303" t="str">
        <f>""</f>
        <v/>
      </c>
      <c r="DP303" t="str">
        <f>""</f>
        <v/>
      </c>
      <c r="DQ303" t="str">
        <f>""</f>
        <v/>
      </c>
      <c r="DR303" t="str">
        <f>""</f>
        <v/>
      </c>
      <c r="DS303" t="str">
        <f>""</f>
        <v/>
      </c>
      <c r="DT303" t="str">
        <f>""</f>
        <v/>
      </c>
      <c r="DU303" t="str">
        <f>""</f>
        <v/>
      </c>
    </row>
    <row r="304" spans="1:125">
      <c r="A304" t="str">
        <f>$A$75</f>
        <v xml:space="preserve">    Health Care REITs</v>
      </c>
      <c r="B304" t="str">
        <f>$B$75</f>
        <v>RECFTDHC Index</v>
      </c>
      <c r="C304" t="str">
        <f>$C$75</f>
        <v>PR005</v>
      </c>
      <c r="D304" t="str">
        <f>$D$75</f>
        <v>PX_LAST</v>
      </c>
      <c r="E304" t="str">
        <f>$E$75</f>
        <v>动态</v>
      </c>
      <c r="F304" t="str">
        <f ca="1">BDH($B$75,$C$75,$B$181,$B$182,CONCATENATE("Per=",$B$179),"Dts=H","Dir=H",CONCATENATE("Points=",$B$180),"Sort=R","Days=A","Fill=B",CONCATENATE("FX=", $B$178) )</f>
        <v>#N/A Authorization</v>
      </c>
      <c r="BN304" t="str">
        <f>""</f>
        <v/>
      </c>
      <c r="BO304" t="str">
        <f>""</f>
        <v/>
      </c>
      <c r="BP304" t="str">
        <f>""</f>
        <v/>
      </c>
      <c r="BQ304" t="str">
        <f>""</f>
        <v/>
      </c>
      <c r="BR304" t="str">
        <f>""</f>
        <v/>
      </c>
      <c r="BS304" t="str">
        <f>""</f>
        <v/>
      </c>
      <c r="BT304" t="str">
        <f>""</f>
        <v/>
      </c>
      <c r="BU304" t="str">
        <f>""</f>
        <v/>
      </c>
      <c r="BV304" t="str">
        <f>""</f>
        <v/>
      </c>
      <c r="BW304" t="str">
        <f>""</f>
        <v/>
      </c>
      <c r="BX304" t="str">
        <f>""</f>
        <v/>
      </c>
      <c r="BY304" t="str">
        <f>""</f>
        <v/>
      </c>
      <c r="BZ304" t="str">
        <f>""</f>
        <v/>
      </c>
      <c r="CA304" t="str">
        <f>""</f>
        <v/>
      </c>
      <c r="CB304" t="str">
        <f>""</f>
        <v/>
      </c>
      <c r="CC304" t="str">
        <f>""</f>
        <v/>
      </c>
      <c r="CD304" t="str">
        <f>""</f>
        <v/>
      </c>
      <c r="CE304" t="str">
        <f>""</f>
        <v/>
      </c>
      <c r="CF304" t="str">
        <f>""</f>
        <v/>
      </c>
      <c r="CG304" t="str">
        <f>""</f>
        <v/>
      </c>
      <c r="CH304" t="str">
        <f>""</f>
        <v/>
      </c>
      <c r="CI304" t="str">
        <f>""</f>
        <v/>
      </c>
      <c r="CJ304" t="str">
        <f>""</f>
        <v/>
      </c>
      <c r="CK304" t="str">
        <f>""</f>
        <v/>
      </c>
      <c r="CL304" t="str">
        <f>""</f>
        <v/>
      </c>
      <c r="CM304" t="str">
        <f>""</f>
        <v/>
      </c>
      <c r="CN304" t="str">
        <f>""</f>
        <v/>
      </c>
      <c r="CO304" t="str">
        <f>""</f>
        <v/>
      </c>
      <c r="CP304" t="str">
        <f>""</f>
        <v/>
      </c>
      <c r="CQ304" t="str">
        <f>""</f>
        <v/>
      </c>
      <c r="CR304" t="str">
        <f>""</f>
        <v/>
      </c>
      <c r="CS304" t="str">
        <f>""</f>
        <v/>
      </c>
      <c r="CT304" t="str">
        <f>""</f>
        <v/>
      </c>
      <c r="CU304" t="str">
        <f>""</f>
        <v/>
      </c>
      <c r="CV304" t="str">
        <f>""</f>
        <v/>
      </c>
      <c r="CW304" t="str">
        <f>""</f>
        <v/>
      </c>
      <c r="CX304" t="str">
        <f>""</f>
        <v/>
      </c>
      <c r="CY304" t="str">
        <f>""</f>
        <v/>
      </c>
      <c r="CZ304" t="str">
        <f>""</f>
        <v/>
      </c>
      <c r="DA304" t="str">
        <f>""</f>
        <v/>
      </c>
      <c r="DB304" t="str">
        <f>""</f>
        <v/>
      </c>
      <c r="DC304" t="str">
        <f>""</f>
        <v/>
      </c>
      <c r="DD304" t="str">
        <f>""</f>
        <v/>
      </c>
      <c r="DE304" t="str">
        <f>""</f>
        <v/>
      </c>
      <c r="DF304" t="str">
        <f>""</f>
        <v/>
      </c>
      <c r="DG304" t="str">
        <f>""</f>
        <v/>
      </c>
      <c r="DH304" t="str">
        <f>""</f>
        <v/>
      </c>
      <c r="DI304" t="str">
        <f>""</f>
        <v/>
      </c>
      <c r="DJ304" t="str">
        <f>""</f>
        <v/>
      </c>
      <c r="DK304" t="str">
        <f>""</f>
        <v/>
      </c>
      <c r="DL304" t="str">
        <f>""</f>
        <v/>
      </c>
      <c r="DM304" t="str">
        <f>""</f>
        <v/>
      </c>
      <c r="DN304" t="str">
        <f>""</f>
        <v/>
      </c>
      <c r="DO304" t="str">
        <f>""</f>
        <v/>
      </c>
      <c r="DP304" t="str">
        <f>""</f>
        <v/>
      </c>
      <c r="DQ304" t="str">
        <f>""</f>
        <v/>
      </c>
      <c r="DR304" t="str">
        <f>""</f>
        <v/>
      </c>
      <c r="DS304" t="str">
        <f>""</f>
        <v/>
      </c>
      <c r="DT304" t="str">
        <f>""</f>
        <v/>
      </c>
      <c r="DU304" t="str">
        <f>""</f>
        <v/>
      </c>
    </row>
    <row r="305" spans="1:125">
      <c r="A305" t="str">
        <f>$A$76</f>
        <v xml:space="preserve">    Timber REITs</v>
      </c>
      <c r="B305" t="str">
        <f>$B$76</f>
        <v>RECFTDTR Index</v>
      </c>
      <c r="C305" t="str">
        <f>$C$76</f>
        <v>PR005</v>
      </c>
      <c r="D305" t="str">
        <f>$D$76</f>
        <v>PX_LAST</v>
      </c>
      <c r="E305" t="str">
        <f>$E$76</f>
        <v>动态</v>
      </c>
      <c r="F305" t="str">
        <f ca="1">BDH($B$76,$C$76,$B$181,$B$182,CONCATENATE("Per=",$B$179),"Dts=H","Dir=H",CONCATENATE("Points=",$B$180),"Sort=R","Days=A","Fill=B",CONCATENATE("FX=", $B$178) )</f>
        <v>#N/A Authorization</v>
      </c>
      <c r="BN305" t="str">
        <f>""</f>
        <v/>
      </c>
      <c r="BO305" t="str">
        <f>""</f>
        <v/>
      </c>
      <c r="BP305" t="str">
        <f>""</f>
        <v/>
      </c>
      <c r="BQ305" t="str">
        <f>""</f>
        <v/>
      </c>
      <c r="BR305" t="str">
        <f>""</f>
        <v/>
      </c>
      <c r="BS305" t="str">
        <f>""</f>
        <v/>
      </c>
      <c r="BT305" t="str">
        <f>""</f>
        <v/>
      </c>
      <c r="BU305" t="str">
        <f>""</f>
        <v/>
      </c>
      <c r="BV305" t="str">
        <f>""</f>
        <v/>
      </c>
      <c r="BW305" t="str">
        <f>""</f>
        <v/>
      </c>
      <c r="BX305" t="str">
        <f>""</f>
        <v/>
      </c>
      <c r="BY305" t="str">
        <f>""</f>
        <v/>
      </c>
      <c r="BZ305" t="str">
        <f>""</f>
        <v/>
      </c>
      <c r="CA305" t="str">
        <f>""</f>
        <v/>
      </c>
      <c r="CB305" t="str">
        <f>""</f>
        <v/>
      </c>
      <c r="CC305" t="str">
        <f>""</f>
        <v/>
      </c>
      <c r="CD305" t="str">
        <f>""</f>
        <v/>
      </c>
      <c r="CE305" t="str">
        <f>""</f>
        <v/>
      </c>
      <c r="CF305" t="str">
        <f>""</f>
        <v/>
      </c>
      <c r="CG305" t="str">
        <f>""</f>
        <v/>
      </c>
      <c r="CH305" t="str">
        <f>""</f>
        <v/>
      </c>
      <c r="CI305" t="str">
        <f>""</f>
        <v/>
      </c>
      <c r="CJ305" t="str">
        <f>""</f>
        <v/>
      </c>
      <c r="CK305" t="str">
        <f>""</f>
        <v/>
      </c>
      <c r="CL305" t="str">
        <f>""</f>
        <v/>
      </c>
      <c r="CM305" t="str">
        <f>""</f>
        <v/>
      </c>
      <c r="CN305" t="str">
        <f>""</f>
        <v/>
      </c>
      <c r="CO305" t="str">
        <f>""</f>
        <v/>
      </c>
      <c r="CP305" t="str">
        <f>""</f>
        <v/>
      </c>
      <c r="CQ305" t="str">
        <f>""</f>
        <v/>
      </c>
      <c r="CR305" t="str">
        <f>""</f>
        <v/>
      </c>
      <c r="CS305" t="str">
        <f>""</f>
        <v/>
      </c>
      <c r="CT305" t="str">
        <f>""</f>
        <v/>
      </c>
      <c r="CU305" t="str">
        <f>""</f>
        <v/>
      </c>
      <c r="CV305" t="str">
        <f>""</f>
        <v/>
      </c>
      <c r="CW305" t="str">
        <f>""</f>
        <v/>
      </c>
      <c r="CX305" t="str">
        <f>""</f>
        <v/>
      </c>
      <c r="CY305" t="str">
        <f>""</f>
        <v/>
      </c>
      <c r="CZ305" t="str">
        <f>""</f>
        <v/>
      </c>
      <c r="DA305" t="str">
        <f>""</f>
        <v/>
      </c>
      <c r="DB305" t="str">
        <f>""</f>
        <v/>
      </c>
      <c r="DC305" t="str">
        <f>""</f>
        <v/>
      </c>
      <c r="DD305" t="str">
        <f>""</f>
        <v/>
      </c>
      <c r="DE305" t="str">
        <f>""</f>
        <v/>
      </c>
      <c r="DF305" t="str">
        <f>""</f>
        <v/>
      </c>
      <c r="DG305" t="str">
        <f>""</f>
        <v/>
      </c>
      <c r="DH305" t="str">
        <f>""</f>
        <v/>
      </c>
      <c r="DI305" t="str">
        <f>""</f>
        <v/>
      </c>
      <c r="DJ305" t="str">
        <f>""</f>
        <v/>
      </c>
      <c r="DK305" t="str">
        <f>""</f>
        <v/>
      </c>
      <c r="DL305" t="str">
        <f>""</f>
        <v/>
      </c>
      <c r="DM305" t="str">
        <f>""</f>
        <v/>
      </c>
      <c r="DN305" t="str">
        <f>""</f>
        <v/>
      </c>
      <c r="DO305" t="str">
        <f>""</f>
        <v/>
      </c>
      <c r="DP305" t="str">
        <f>""</f>
        <v/>
      </c>
      <c r="DQ305" t="str">
        <f>""</f>
        <v/>
      </c>
      <c r="DR305" t="str">
        <f>""</f>
        <v/>
      </c>
      <c r="DS305" t="str">
        <f>""</f>
        <v/>
      </c>
      <c r="DT305" t="str">
        <f>""</f>
        <v/>
      </c>
      <c r="DU305" t="str">
        <f>""</f>
        <v/>
      </c>
    </row>
    <row r="306" spans="1:125">
      <c r="A306" t="str">
        <f>$A$77</f>
        <v xml:space="preserve">    Data Center REITs</v>
      </c>
      <c r="B306" t="str">
        <f>$B$77</f>
        <v>RECFTDDC Index</v>
      </c>
      <c r="C306" t="str">
        <f>$C$77</f>
        <v>PR005</v>
      </c>
      <c r="D306" t="str">
        <f>$D$77</f>
        <v>PX_LAST</v>
      </c>
      <c r="E306" t="str">
        <f>$E$77</f>
        <v>动态</v>
      </c>
      <c r="F306" t="str">
        <f ca="1">BDH($B$77,$C$77,$B$181,$B$182,CONCATENATE("Per=",$B$179),"Dts=H","Dir=H",CONCATENATE("Points=",$B$180),"Sort=R","Days=A","Fill=B",CONCATENATE("FX=", $B$178) )</f>
        <v>#N/A Authorization</v>
      </c>
      <c r="BN306" t="str">
        <f>""</f>
        <v/>
      </c>
      <c r="BO306" t="str">
        <f>""</f>
        <v/>
      </c>
      <c r="BP306" t="str">
        <f>""</f>
        <v/>
      </c>
      <c r="BQ306" t="str">
        <f>""</f>
        <v/>
      </c>
      <c r="BR306" t="str">
        <f>""</f>
        <v/>
      </c>
      <c r="BS306" t="str">
        <f>""</f>
        <v/>
      </c>
      <c r="BT306" t="str">
        <f>""</f>
        <v/>
      </c>
      <c r="BU306" t="str">
        <f>""</f>
        <v/>
      </c>
      <c r="BV306" t="str">
        <f>""</f>
        <v/>
      </c>
      <c r="BW306" t="str">
        <f>""</f>
        <v/>
      </c>
      <c r="BX306" t="str">
        <f>""</f>
        <v/>
      </c>
      <c r="BY306" t="str">
        <f>""</f>
        <v/>
      </c>
      <c r="BZ306" t="str">
        <f>""</f>
        <v/>
      </c>
      <c r="CA306" t="str">
        <f>""</f>
        <v/>
      </c>
      <c r="CB306" t="str">
        <f>""</f>
        <v/>
      </c>
      <c r="CC306" t="str">
        <f>""</f>
        <v/>
      </c>
      <c r="CD306" t="str">
        <f>""</f>
        <v/>
      </c>
      <c r="CE306" t="str">
        <f>""</f>
        <v/>
      </c>
      <c r="CF306" t="str">
        <f>""</f>
        <v/>
      </c>
      <c r="CG306" t="str">
        <f>""</f>
        <v/>
      </c>
      <c r="CH306" t="str">
        <f>""</f>
        <v/>
      </c>
      <c r="CI306" t="str">
        <f>""</f>
        <v/>
      </c>
      <c r="CJ306" t="str">
        <f>""</f>
        <v/>
      </c>
      <c r="CK306" t="str">
        <f>""</f>
        <v/>
      </c>
      <c r="CL306" t="str">
        <f>""</f>
        <v/>
      </c>
      <c r="CM306" t="str">
        <f>""</f>
        <v/>
      </c>
      <c r="CN306" t="str">
        <f>""</f>
        <v/>
      </c>
      <c r="CO306" t="str">
        <f>""</f>
        <v/>
      </c>
      <c r="CP306" t="str">
        <f>""</f>
        <v/>
      </c>
      <c r="CQ306" t="str">
        <f>""</f>
        <v/>
      </c>
      <c r="CR306" t="str">
        <f>""</f>
        <v/>
      </c>
      <c r="CS306" t="str">
        <f>""</f>
        <v/>
      </c>
      <c r="CT306" t="str">
        <f>""</f>
        <v/>
      </c>
      <c r="CU306" t="str">
        <f>""</f>
        <v/>
      </c>
      <c r="CV306" t="str">
        <f>""</f>
        <v/>
      </c>
      <c r="CW306" t="str">
        <f>""</f>
        <v/>
      </c>
      <c r="CX306" t="str">
        <f>""</f>
        <v/>
      </c>
      <c r="CY306" t="str">
        <f>""</f>
        <v/>
      </c>
      <c r="CZ306" t="str">
        <f>""</f>
        <v/>
      </c>
      <c r="DA306" t="str">
        <f>""</f>
        <v/>
      </c>
      <c r="DB306" t="str">
        <f>""</f>
        <v/>
      </c>
      <c r="DC306" t="str">
        <f>""</f>
        <v/>
      </c>
      <c r="DD306" t="str">
        <f>""</f>
        <v/>
      </c>
      <c r="DE306" t="str">
        <f>""</f>
        <v/>
      </c>
      <c r="DF306" t="str">
        <f>""</f>
        <v/>
      </c>
      <c r="DG306" t="str">
        <f>""</f>
        <v/>
      </c>
      <c r="DH306" t="str">
        <f>""</f>
        <v/>
      </c>
      <c r="DI306" t="str">
        <f>""</f>
        <v/>
      </c>
      <c r="DJ306" t="str">
        <f>""</f>
        <v/>
      </c>
      <c r="DK306" t="str">
        <f>""</f>
        <v/>
      </c>
      <c r="DL306" t="str">
        <f>""</f>
        <v/>
      </c>
      <c r="DM306" t="str">
        <f>""</f>
        <v/>
      </c>
      <c r="DN306" t="str">
        <f>""</f>
        <v/>
      </c>
      <c r="DO306" t="str">
        <f>""</f>
        <v/>
      </c>
      <c r="DP306" t="str">
        <f>""</f>
        <v/>
      </c>
      <c r="DQ306" t="str">
        <f>""</f>
        <v/>
      </c>
      <c r="DR306" t="str">
        <f>""</f>
        <v/>
      </c>
      <c r="DS306" t="str">
        <f>""</f>
        <v/>
      </c>
      <c r="DT306" t="str">
        <f>""</f>
        <v/>
      </c>
      <c r="DU306" t="str">
        <f>""</f>
        <v/>
      </c>
    </row>
    <row r="307" spans="1:125">
      <c r="A307" t="str">
        <f>$A$78</f>
        <v xml:space="preserve">    Specialty REITs</v>
      </c>
      <c r="B307" t="str">
        <f>$B$78</f>
        <v>RECFTDSP Index</v>
      </c>
      <c r="C307" t="str">
        <f>$C$78</f>
        <v>PR005</v>
      </c>
      <c r="D307" t="str">
        <f>$D$78</f>
        <v>PX_LAST</v>
      </c>
      <c r="E307" t="str">
        <f>$E$78</f>
        <v>动态</v>
      </c>
      <c r="F307" t="str">
        <f ca="1">BDH($B$78,$C$78,$B$181,$B$182,CONCATENATE("Per=",$B$179),"Dts=H","Dir=H",CONCATENATE("Points=",$B$180),"Sort=R","Days=A","Fill=B",CONCATENATE("FX=", $B$178) )</f>
        <v>#N/A Authorization</v>
      </c>
      <c r="BN307" t="str">
        <f>""</f>
        <v/>
      </c>
      <c r="BO307" t="str">
        <f>""</f>
        <v/>
      </c>
      <c r="BP307" t="str">
        <f>""</f>
        <v/>
      </c>
      <c r="BQ307" t="str">
        <f>""</f>
        <v/>
      </c>
      <c r="BR307" t="str">
        <f>""</f>
        <v/>
      </c>
      <c r="BS307" t="str">
        <f>""</f>
        <v/>
      </c>
      <c r="BT307" t="str">
        <f>""</f>
        <v/>
      </c>
      <c r="BU307" t="str">
        <f>""</f>
        <v/>
      </c>
      <c r="BV307" t="str">
        <f>""</f>
        <v/>
      </c>
      <c r="BW307" t="str">
        <f>""</f>
        <v/>
      </c>
      <c r="BX307" t="str">
        <f>""</f>
        <v/>
      </c>
      <c r="BY307" t="str">
        <f>""</f>
        <v/>
      </c>
      <c r="BZ307" t="str">
        <f>""</f>
        <v/>
      </c>
      <c r="CA307" t="str">
        <f>""</f>
        <v/>
      </c>
      <c r="CB307" t="str">
        <f>""</f>
        <v/>
      </c>
      <c r="CC307" t="str">
        <f>""</f>
        <v/>
      </c>
      <c r="CD307" t="str">
        <f>""</f>
        <v/>
      </c>
      <c r="CE307" t="str">
        <f>""</f>
        <v/>
      </c>
      <c r="CF307" t="str">
        <f>""</f>
        <v/>
      </c>
      <c r="CG307" t="str">
        <f>""</f>
        <v/>
      </c>
      <c r="CH307" t="str">
        <f>""</f>
        <v/>
      </c>
      <c r="CI307" t="str">
        <f>""</f>
        <v/>
      </c>
      <c r="CJ307" t="str">
        <f>""</f>
        <v/>
      </c>
      <c r="CK307" t="str">
        <f>""</f>
        <v/>
      </c>
      <c r="CL307" t="str">
        <f>""</f>
        <v/>
      </c>
      <c r="CM307" t="str">
        <f>""</f>
        <v/>
      </c>
      <c r="CN307" t="str">
        <f>""</f>
        <v/>
      </c>
      <c r="CO307" t="str">
        <f>""</f>
        <v/>
      </c>
      <c r="CP307" t="str">
        <f>""</f>
        <v/>
      </c>
      <c r="CQ307" t="str">
        <f>""</f>
        <v/>
      </c>
      <c r="CR307" t="str">
        <f>""</f>
        <v/>
      </c>
      <c r="CS307" t="str">
        <f>""</f>
        <v/>
      </c>
      <c r="CT307" t="str">
        <f>""</f>
        <v/>
      </c>
      <c r="CU307" t="str">
        <f>""</f>
        <v/>
      </c>
      <c r="CV307" t="str">
        <f>""</f>
        <v/>
      </c>
      <c r="CW307" t="str">
        <f>""</f>
        <v/>
      </c>
      <c r="CX307" t="str">
        <f>""</f>
        <v/>
      </c>
      <c r="CY307" t="str">
        <f>""</f>
        <v/>
      </c>
      <c r="CZ307" t="str">
        <f>""</f>
        <v/>
      </c>
      <c r="DA307" t="str">
        <f>""</f>
        <v/>
      </c>
      <c r="DB307" t="str">
        <f>""</f>
        <v/>
      </c>
      <c r="DC307" t="str">
        <f>""</f>
        <v/>
      </c>
      <c r="DD307" t="str">
        <f>""</f>
        <v/>
      </c>
      <c r="DE307" t="str">
        <f>""</f>
        <v/>
      </c>
      <c r="DF307" t="str">
        <f>""</f>
        <v/>
      </c>
      <c r="DG307" t="str">
        <f>""</f>
        <v/>
      </c>
      <c r="DH307" t="str">
        <f>""</f>
        <v/>
      </c>
      <c r="DI307" t="str">
        <f>""</f>
        <v/>
      </c>
      <c r="DJ307" t="str">
        <f>""</f>
        <v/>
      </c>
      <c r="DK307" t="str">
        <f>""</f>
        <v/>
      </c>
      <c r="DL307" t="str">
        <f>""</f>
        <v/>
      </c>
      <c r="DM307" t="str">
        <f>""</f>
        <v/>
      </c>
      <c r="DN307" t="str">
        <f>""</f>
        <v/>
      </c>
      <c r="DO307" t="str">
        <f>""</f>
        <v/>
      </c>
      <c r="DP307" t="str">
        <f>""</f>
        <v/>
      </c>
      <c r="DQ307" t="str">
        <f>""</f>
        <v/>
      </c>
      <c r="DR307" t="str">
        <f>""</f>
        <v/>
      </c>
      <c r="DS307" t="str">
        <f>""</f>
        <v/>
      </c>
      <c r="DT307" t="str">
        <f>""</f>
        <v/>
      </c>
      <c r="DU307" t="str">
        <f>""</f>
        <v/>
      </c>
    </row>
    <row r="308" spans="1:125">
      <c r="A308" t="str">
        <f>$A$80</f>
        <v xml:space="preserve">    Mortgage REITs</v>
      </c>
      <c r="B308" t="str">
        <f>$B$80</f>
        <v>RECFTDMG Index</v>
      </c>
      <c r="C308" t="str">
        <f>$C$80</f>
        <v>PR005</v>
      </c>
      <c r="D308" t="str">
        <f>$D$80</f>
        <v>PX_LAST</v>
      </c>
      <c r="E308" t="str">
        <f>$E$80</f>
        <v>动态</v>
      </c>
      <c r="F308" t="str">
        <f ca="1">BDH($B$80,$C$80,$B$181,$B$182,CONCATENATE("Per=",$B$179),"Dts=H","Dir=H",CONCATENATE("Points=",$B$180),"Sort=R","Days=A","Fill=B",CONCATENATE("FX=", $B$178) )</f>
        <v>#N/A Authorization</v>
      </c>
      <c r="BN308" t="str">
        <f>""</f>
        <v/>
      </c>
      <c r="BO308" t="str">
        <f>""</f>
        <v/>
      </c>
      <c r="BP308" t="str">
        <f>""</f>
        <v/>
      </c>
      <c r="BQ308" t="str">
        <f>""</f>
        <v/>
      </c>
      <c r="BR308" t="str">
        <f>""</f>
        <v/>
      </c>
      <c r="BS308" t="str">
        <f>""</f>
        <v/>
      </c>
      <c r="BT308" t="str">
        <f>""</f>
        <v/>
      </c>
      <c r="BU308" t="str">
        <f>""</f>
        <v/>
      </c>
      <c r="BV308" t="str">
        <f>""</f>
        <v/>
      </c>
      <c r="BW308" t="str">
        <f>""</f>
        <v/>
      </c>
      <c r="BX308" t="str">
        <f>""</f>
        <v/>
      </c>
      <c r="BY308" t="str">
        <f>""</f>
        <v/>
      </c>
      <c r="BZ308" t="str">
        <f>""</f>
        <v/>
      </c>
      <c r="CA308" t="str">
        <f>""</f>
        <v/>
      </c>
      <c r="CB308" t="str">
        <f>""</f>
        <v/>
      </c>
      <c r="CC308" t="str">
        <f>""</f>
        <v/>
      </c>
      <c r="CD308" t="str">
        <f>""</f>
        <v/>
      </c>
      <c r="CE308" t="str">
        <f>""</f>
        <v/>
      </c>
      <c r="CF308" t="str">
        <f>""</f>
        <v/>
      </c>
      <c r="CG308" t="str">
        <f>""</f>
        <v/>
      </c>
      <c r="CH308" t="str">
        <f>""</f>
        <v/>
      </c>
      <c r="CI308" t="str">
        <f>""</f>
        <v/>
      </c>
      <c r="CJ308" t="str">
        <f>""</f>
        <v/>
      </c>
      <c r="CK308" t="str">
        <f>""</f>
        <v/>
      </c>
      <c r="CL308" t="str">
        <f>""</f>
        <v/>
      </c>
      <c r="CM308" t="str">
        <f>""</f>
        <v/>
      </c>
      <c r="CN308" t="str">
        <f>""</f>
        <v/>
      </c>
      <c r="CO308" t="str">
        <f>""</f>
        <v/>
      </c>
      <c r="CP308" t="str">
        <f>""</f>
        <v/>
      </c>
      <c r="CQ308" t="str">
        <f>""</f>
        <v/>
      </c>
      <c r="CR308" t="str">
        <f>""</f>
        <v/>
      </c>
      <c r="CS308" t="str">
        <f>""</f>
        <v/>
      </c>
      <c r="CT308" t="str">
        <f>""</f>
        <v/>
      </c>
      <c r="CU308" t="str">
        <f>""</f>
        <v/>
      </c>
      <c r="CV308" t="str">
        <f>""</f>
        <v/>
      </c>
      <c r="CW308" t="str">
        <f>""</f>
        <v/>
      </c>
      <c r="CX308" t="str">
        <f>""</f>
        <v/>
      </c>
      <c r="CY308" t="str">
        <f>""</f>
        <v/>
      </c>
      <c r="CZ308" t="str">
        <f>""</f>
        <v/>
      </c>
      <c r="DA308" t="str">
        <f>""</f>
        <v/>
      </c>
      <c r="DB308" t="str">
        <f>""</f>
        <v/>
      </c>
      <c r="DC308" t="str">
        <f>""</f>
        <v/>
      </c>
      <c r="DD308" t="str">
        <f>""</f>
        <v/>
      </c>
      <c r="DE308" t="str">
        <f>""</f>
        <v/>
      </c>
      <c r="DF308" t="str">
        <f>""</f>
        <v/>
      </c>
      <c r="DG308" t="str">
        <f>""</f>
        <v/>
      </c>
      <c r="DH308" t="str">
        <f>""</f>
        <v/>
      </c>
      <c r="DI308" t="str">
        <f>""</f>
        <v/>
      </c>
      <c r="DJ308" t="str">
        <f>""</f>
        <v/>
      </c>
      <c r="DK308" t="str">
        <f>""</f>
        <v/>
      </c>
      <c r="DL308" t="str">
        <f>""</f>
        <v/>
      </c>
      <c r="DM308" t="str">
        <f>""</f>
        <v/>
      </c>
      <c r="DN308" t="str">
        <f>""</f>
        <v/>
      </c>
      <c r="DO308" t="str">
        <f>""</f>
        <v/>
      </c>
      <c r="DP308" t="str">
        <f>""</f>
        <v/>
      </c>
      <c r="DQ308" t="str">
        <f>""</f>
        <v/>
      </c>
      <c r="DR308" t="str">
        <f>""</f>
        <v/>
      </c>
      <c r="DS308" t="str">
        <f>""</f>
        <v/>
      </c>
      <c r="DT308" t="str">
        <f>""</f>
        <v/>
      </c>
      <c r="DU308" t="str">
        <f>""</f>
        <v/>
      </c>
    </row>
    <row r="309" spans="1:125">
      <c r="A309" t="str">
        <f>$A$81</f>
        <v xml:space="preserve">    所有房地产投资信托总计-已付股利(含抵押贷款房地产投资信托)</v>
      </c>
      <c r="B309" t="str">
        <f>$B$81</f>
        <v>RECFTDRE Index</v>
      </c>
      <c r="C309" t="str">
        <f>$C$81</f>
        <v>PR005</v>
      </c>
      <c r="D309" t="str">
        <f>$D$81</f>
        <v>PX_LAST</v>
      </c>
      <c r="E309" t="str">
        <f>$E$81</f>
        <v>动态</v>
      </c>
      <c r="F309" t="str">
        <f ca="1">BDH($B$81,$C$81,$B$181,$B$182,CONCATENATE("Per=",$B$179),"Dts=H","Dir=H",CONCATENATE("Points=",$B$180),"Sort=R","Days=A","Fill=B",CONCATENATE("FX=", $B$178) )</f>
        <v>#N/A Authorization</v>
      </c>
      <c r="BN309" t="str">
        <f>""</f>
        <v/>
      </c>
      <c r="BO309" t="str">
        <f>""</f>
        <v/>
      </c>
      <c r="BP309" t="str">
        <f>""</f>
        <v/>
      </c>
      <c r="BQ309" t="str">
        <f>""</f>
        <v/>
      </c>
      <c r="BR309" t="str">
        <f>""</f>
        <v/>
      </c>
      <c r="BS309" t="str">
        <f>""</f>
        <v/>
      </c>
      <c r="BT309" t="str">
        <f>""</f>
        <v/>
      </c>
      <c r="BU309" t="str">
        <f>""</f>
        <v/>
      </c>
      <c r="BV309" t="str">
        <f>""</f>
        <v/>
      </c>
      <c r="BW309" t="str">
        <f>""</f>
        <v/>
      </c>
      <c r="BX309" t="str">
        <f>""</f>
        <v/>
      </c>
      <c r="BY309" t="str">
        <f>""</f>
        <v/>
      </c>
      <c r="BZ309" t="str">
        <f>""</f>
        <v/>
      </c>
      <c r="CA309" t="str">
        <f>""</f>
        <v/>
      </c>
      <c r="CB309" t="str">
        <f>""</f>
        <v/>
      </c>
      <c r="CC309" t="str">
        <f>""</f>
        <v/>
      </c>
      <c r="CD309" t="str">
        <f>""</f>
        <v/>
      </c>
      <c r="CE309" t="str">
        <f>""</f>
        <v/>
      </c>
      <c r="CF309" t="str">
        <f>""</f>
        <v/>
      </c>
      <c r="CG309" t="str">
        <f>""</f>
        <v/>
      </c>
      <c r="CH309" t="str">
        <f>""</f>
        <v/>
      </c>
      <c r="CI309" t="str">
        <f>""</f>
        <v/>
      </c>
      <c r="CJ309" t="str">
        <f>""</f>
        <v/>
      </c>
      <c r="CK309" t="str">
        <f>""</f>
        <v/>
      </c>
      <c r="CL309" t="str">
        <f>""</f>
        <v/>
      </c>
      <c r="CM309" t="str">
        <f>""</f>
        <v/>
      </c>
      <c r="CN309" t="str">
        <f>""</f>
        <v/>
      </c>
      <c r="CO309" t="str">
        <f>""</f>
        <v/>
      </c>
      <c r="CP309" t="str">
        <f>""</f>
        <v/>
      </c>
      <c r="CQ309" t="str">
        <f>""</f>
        <v/>
      </c>
      <c r="CR309" t="str">
        <f>""</f>
        <v/>
      </c>
      <c r="CS309" t="str">
        <f>""</f>
        <v/>
      </c>
      <c r="CT309" t="str">
        <f>""</f>
        <v/>
      </c>
      <c r="CU309" t="str">
        <f>""</f>
        <v/>
      </c>
      <c r="CV309" t="str">
        <f>""</f>
        <v/>
      </c>
      <c r="CW309" t="str">
        <f>""</f>
        <v/>
      </c>
      <c r="CX309" t="str">
        <f>""</f>
        <v/>
      </c>
      <c r="CY309" t="str">
        <f>""</f>
        <v/>
      </c>
      <c r="CZ309" t="str">
        <f>""</f>
        <v/>
      </c>
      <c r="DA309" t="str">
        <f>""</f>
        <v/>
      </c>
      <c r="DB309" t="str">
        <f>""</f>
        <v/>
      </c>
      <c r="DC309" t="str">
        <f>""</f>
        <v/>
      </c>
      <c r="DD309" t="str">
        <f>""</f>
        <v/>
      </c>
      <c r="DE309" t="str">
        <f>""</f>
        <v/>
      </c>
      <c r="DF309" t="str">
        <f>""</f>
        <v/>
      </c>
      <c r="DG309" t="str">
        <f>""</f>
        <v/>
      </c>
      <c r="DH309" t="str">
        <f>""</f>
        <v/>
      </c>
      <c r="DI309" t="str">
        <f>""</f>
        <v/>
      </c>
      <c r="DJ309" t="str">
        <f>""</f>
        <v/>
      </c>
      <c r="DK309" t="str">
        <f>""</f>
        <v/>
      </c>
      <c r="DL309" t="str">
        <f>""</f>
        <v/>
      </c>
      <c r="DM309" t="str">
        <f>""</f>
        <v/>
      </c>
      <c r="DN309" t="str">
        <f>""</f>
        <v/>
      </c>
      <c r="DO309" t="str">
        <f>""</f>
        <v/>
      </c>
      <c r="DP309" t="str">
        <f>""</f>
        <v/>
      </c>
      <c r="DQ309" t="str">
        <f>""</f>
        <v/>
      </c>
      <c r="DR309" t="str">
        <f>""</f>
        <v/>
      </c>
      <c r="DS309" t="str">
        <f>""</f>
        <v/>
      </c>
      <c r="DT309" t="str">
        <f>""</f>
        <v/>
      </c>
      <c r="DU309" t="str">
        <f>""</f>
        <v/>
      </c>
    </row>
    <row r="310" spans="1:125">
      <c r="A310" t="str">
        <f>$A$138</f>
        <v>总开发渠道-所有房地产投资信托</v>
      </c>
      <c r="B310" t="str">
        <f>$B$138</f>
        <v>RECFDVEQ Index</v>
      </c>
      <c r="C310" t="str">
        <f>$C$138</f>
        <v>PR005</v>
      </c>
      <c r="D310" t="str">
        <f>$D$138</f>
        <v>PX_LAST</v>
      </c>
      <c r="E310" t="str">
        <f>$E$138</f>
        <v>动态</v>
      </c>
      <c r="F310" t="str">
        <f ca="1">BDH($B$138,$C$138,$B$181,$B$182,CONCATENATE("Per=",$B$179),"Dts=H","Dir=H",CONCATENATE("Points=",$B$180),"Sort=R","Days=A","Fill=B",CONCATENATE("FX=", $B$178) )</f>
        <v>#N/A Authorization</v>
      </c>
      <c r="BN310" t="str">
        <f>""</f>
        <v/>
      </c>
      <c r="BO310" t="str">
        <f>""</f>
        <v/>
      </c>
      <c r="BP310" t="str">
        <f>""</f>
        <v/>
      </c>
      <c r="BQ310" t="str">
        <f>""</f>
        <v/>
      </c>
      <c r="BR310" t="str">
        <f>""</f>
        <v/>
      </c>
      <c r="BS310" t="str">
        <f>""</f>
        <v/>
      </c>
      <c r="BT310" t="str">
        <f>""</f>
        <v/>
      </c>
      <c r="BU310" t="str">
        <f>""</f>
        <v/>
      </c>
      <c r="BV310" t="str">
        <f>""</f>
        <v/>
      </c>
      <c r="BW310" t="str">
        <f>""</f>
        <v/>
      </c>
      <c r="BX310" t="str">
        <f>""</f>
        <v/>
      </c>
      <c r="BY310" t="str">
        <f>""</f>
        <v/>
      </c>
      <c r="BZ310" t="str">
        <f>""</f>
        <v/>
      </c>
      <c r="CA310" t="str">
        <f>""</f>
        <v/>
      </c>
      <c r="CB310" t="str">
        <f>""</f>
        <v/>
      </c>
      <c r="CC310" t="str">
        <f>""</f>
        <v/>
      </c>
      <c r="CD310" t="str">
        <f>""</f>
        <v/>
      </c>
      <c r="CE310" t="str">
        <f>""</f>
        <v/>
      </c>
      <c r="CF310" t="str">
        <f>""</f>
        <v/>
      </c>
      <c r="CG310" t="str">
        <f>""</f>
        <v/>
      </c>
      <c r="CH310" t="str">
        <f>""</f>
        <v/>
      </c>
      <c r="CI310" t="str">
        <f>""</f>
        <v/>
      </c>
      <c r="CJ310" t="str">
        <f>""</f>
        <v/>
      </c>
      <c r="CK310" t="str">
        <f>""</f>
        <v/>
      </c>
      <c r="CL310" t="str">
        <f>""</f>
        <v/>
      </c>
      <c r="CM310" t="str">
        <f>""</f>
        <v/>
      </c>
      <c r="CN310" t="str">
        <f>""</f>
        <v/>
      </c>
      <c r="CO310" t="str">
        <f>""</f>
        <v/>
      </c>
      <c r="CP310" t="str">
        <f>""</f>
        <v/>
      </c>
      <c r="CQ310" t="str">
        <f>""</f>
        <v/>
      </c>
      <c r="CR310" t="str">
        <f>""</f>
        <v/>
      </c>
      <c r="CS310" t="str">
        <f>""</f>
        <v/>
      </c>
      <c r="CT310" t="str">
        <f>""</f>
        <v/>
      </c>
      <c r="CU310" t="str">
        <f>""</f>
        <v/>
      </c>
      <c r="CV310" t="str">
        <f>""</f>
        <v/>
      </c>
      <c r="CW310" t="str">
        <f>""</f>
        <v/>
      </c>
      <c r="CX310" t="str">
        <f>""</f>
        <v/>
      </c>
      <c r="CY310" t="str">
        <f>""</f>
        <v/>
      </c>
      <c r="CZ310" t="str">
        <f>""</f>
        <v/>
      </c>
      <c r="DA310" t="str">
        <f>""</f>
        <v/>
      </c>
      <c r="DB310" t="str">
        <f>""</f>
        <v/>
      </c>
      <c r="DC310" t="str">
        <f>""</f>
        <v/>
      </c>
      <c r="DD310" t="str">
        <f>""</f>
        <v/>
      </c>
      <c r="DE310" t="str">
        <f>""</f>
        <v/>
      </c>
      <c r="DF310" t="str">
        <f>""</f>
        <v/>
      </c>
      <c r="DG310" t="str">
        <f>""</f>
        <v/>
      </c>
      <c r="DH310" t="str">
        <f>""</f>
        <v/>
      </c>
      <c r="DI310" t="str">
        <f>""</f>
        <v/>
      </c>
      <c r="DJ310" t="str">
        <f>""</f>
        <v/>
      </c>
      <c r="DK310" t="str">
        <f>""</f>
        <v/>
      </c>
      <c r="DL310" t="str">
        <f>""</f>
        <v/>
      </c>
      <c r="DM310" t="str">
        <f>""</f>
        <v/>
      </c>
      <c r="DN310" t="str">
        <f>""</f>
        <v/>
      </c>
      <c r="DO310" t="str">
        <f>""</f>
        <v/>
      </c>
      <c r="DP310" t="str">
        <f>""</f>
        <v/>
      </c>
      <c r="DQ310" t="str">
        <f>""</f>
        <v/>
      </c>
      <c r="DR310" t="str">
        <f>""</f>
        <v/>
      </c>
      <c r="DS310" t="str">
        <f>""</f>
        <v/>
      </c>
      <c r="DT310" t="str">
        <f>""</f>
        <v/>
      </c>
      <c r="DU310" t="str">
        <f>""</f>
        <v/>
      </c>
    </row>
    <row r="311" spans="1:125">
      <c r="A311" t="str">
        <f>$A$139</f>
        <v xml:space="preserve">    Total Office REITs</v>
      </c>
      <c r="B311" t="str">
        <f>$B$139</f>
        <v>RECFDVOF Index</v>
      </c>
      <c r="C311" t="str">
        <f>$C$139</f>
        <v>PR005</v>
      </c>
      <c r="D311" t="str">
        <f>$D$139</f>
        <v>PX_LAST</v>
      </c>
      <c r="E311" t="str">
        <f>$E$139</f>
        <v>动态</v>
      </c>
      <c r="F311" t="str">
        <f ca="1">BDH($B$139,$C$139,$B$181,$B$182,CONCATENATE("Per=",$B$179),"Dts=H","Dir=H",CONCATENATE("Points=",$B$180),"Sort=R","Days=A","Fill=B",CONCATENATE("FX=", $B$178) )</f>
        <v>#N/A Authorization</v>
      </c>
      <c r="BN311" t="str">
        <f>""</f>
        <v/>
      </c>
      <c r="BO311" t="str">
        <f>""</f>
        <v/>
      </c>
      <c r="BP311" t="str">
        <f>""</f>
        <v/>
      </c>
      <c r="BQ311" t="str">
        <f>""</f>
        <v/>
      </c>
      <c r="BR311" t="str">
        <f>""</f>
        <v/>
      </c>
      <c r="BS311" t="str">
        <f>""</f>
        <v/>
      </c>
      <c r="BT311" t="str">
        <f>""</f>
        <v/>
      </c>
      <c r="BU311" t="str">
        <f>""</f>
        <v/>
      </c>
      <c r="BV311" t="str">
        <f>""</f>
        <v/>
      </c>
      <c r="BW311" t="str">
        <f>""</f>
        <v/>
      </c>
      <c r="BX311" t="str">
        <f>""</f>
        <v/>
      </c>
      <c r="BY311" t="str">
        <f>""</f>
        <v/>
      </c>
      <c r="BZ311" t="str">
        <f>""</f>
        <v/>
      </c>
      <c r="CA311" t="str">
        <f>""</f>
        <v/>
      </c>
      <c r="CB311" t="str">
        <f>""</f>
        <v/>
      </c>
      <c r="CC311" t="str">
        <f>""</f>
        <v/>
      </c>
      <c r="CD311" t="str">
        <f>""</f>
        <v/>
      </c>
      <c r="CE311" t="str">
        <f>""</f>
        <v/>
      </c>
      <c r="CF311" t="str">
        <f>""</f>
        <v/>
      </c>
      <c r="CG311" t="str">
        <f>""</f>
        <v/>
      </c>
      <c r="CH311" t="str">
        <f>""</f>
        <v/>
      </c>
      <c r="CI311" t="str">
        <f>""</f>
        <v/>
      </c>
      <c r="CJ311" t="str">
        <f>""</f>
        <v/>
      </c>
      <c r="CK311" t="str">
        <f>""</f>
        <v/>
      </c>
      <c r="CL311" t="str">
        <f>""</f>
        <v/>
      </c>
      <c r="CM311" t="str">
        <f>""</f>
        <v/>
      </c>
      <c r="CN311" t="str">
        <f>""</f>
        <v/>
      </c>
      <c r="CO311" t="str">
        <f>""</f>
        <v/>
      </c>
      <c r="CP311" t="str">
        <f>""</f>
        <v/>
      </c>
      <c r="CQ311" t="str">
        <f>""</f>
        <v/>
      </c>
      <c r="CR311" t="str">
        <f>""</f>
        <v/>
      </c>
      <c r="CS311" t="str">
        <f>""</f>
        <v/>
      </c>
      <c r="CT311" t="str">
        <f>""</f>
        <v/>
      </c>
      <c r="CU311" t="str">
        <f>""</f>
        <v/>
      </c>
      <c r="CV311" t="str">
        <f>""</f>
        <v/>
      </c>
      <c r="CW311" t="str">
        <f>""</f>
        <v/>
      </c>
      <c r="CX311" t="str">
        <f>""</f>
        <v/>
      </c>
      <c r="CY311" t="str">
        <f>""</f>
        <v/>
      </c>
      <c r="CZ311" t="str">
        <f>""</f>
        <v/>
      </c>
      <c r="DA311" t="str">
        <f>""</f>
        <v/>
      </c>
      <c r="DB311" t="str">
        <f>""</f>
        <v/>
      </c>
      <c r="DC311" t="str">
        <f>""</f>
        <v/>
      </c>
      <c r="DD311" t="str">
        <f>""</f>
        <v/>
      </c>
      <c r="DE311" t="str">
        <f>""</f>
        <v/>
      </c>
      <c r="DF311" t="str">
        <f>""</f>
        <v/>
      </c>
      <c r="DG311" t="str">
        <f>""</f>
        <v/>
      </c>
      <c r="DH311" t="str">
        <f>""</f>
        <v/>
      </c>
      <c r="DI311" t="str">
        <f>""</f>
        <v/>
      </c>
      <c r="DJ311" t="str">
        <f>""</f>
        <v/>
      </c>
      <c r="DK311" t="str">
        <f>""</f>
        <v/>
      </c>
      <c r="DL311" t="str">
        <f>""</f>
        <v/>
      </c>
      <c r="DM311" t="str">
        <f>""</f>
        <v/>
      </c>
      <c r="DN311" t="str">
        <f>""</f>
        <v/>
      </c>
      <c r="DO311" t="str">
        <f>""</f>
        <v/>
      </c>
      <c r="DP311" t="str">
        <f>""</f>
        <v/>
      </c>
      <c r="DQ311" t="str">
        <f>""</f>
        <v/>
      </c>
      <c r="DR311" t="str">
        <f>""</f>
        <v/>
      </c>
      <c r="DS311" t="str">
        <f>""</f>
        <v/>
      </c>
      <c r="DT311" t="str">
        <f>""</f>
        <v/>
      </c>
      <c r="DU311" t="str">
        <f>""</f>
        <v/>
      </c>
    </row>
    <row r="312" spans="1:125">
      <c r="A312" t="str">
        <f>$A$140</f>
        <v xml:space="preserve">    Total Industrial REITs</v>
      </c>
      <c r="B312" t="str">
        <f>$B$140</f>
        <v>RECFDVIN Index</v>
      </c>
      <c r="C312" t="str">
        <f>$C$140</f>
        <v>PR005</v>
      </c>
      <c r="D312" t="str">
        <f>$D$140</f>
        <v>PX_LAST</v>
      </c>
      <c r="E312" t="str">
        <f>$E$140</f>
        <v>动态</v>
      </c>
      <c r="F312" t="str">
        <f ca="1">BDH($B$140,$C$140,$B$181,$B$182,CONCATENATE("Per=",$B$179),"Dts=H","Dir=H",CONCATENATE("Points=",$B$180),"Sort=R","Days=A","Fill=B",CONCATENATE("FX=", $B$178) )</f>
        <v>#N/A Authorization</v>
      </c>
      <c r="BN312" t="str">
        <f>""</f>
        <v/>
      </c>
      <c r="BO312" t="str">
        <f>""</f>
        <v/>
      </c>
      <c r="BP312" t="str">
        <f>""</f>
        <v/>
      </c>
      <c r="BQ312" t="str">
        <f>""</f>
        <v/>
      </c>
      <c r="BR312" t="str">
        <f>""</f>
        <v/>
      </c>
      <c r="BS312" t="str">
        <f>""</f>
        <v/>
      </c>
      <c r="BT312" t="str">
        <f>""</f>
        <v/>
      </c>
      <c r="BU312" t="str">
        <f>""</f>
        <v/>
      </c>
      <c r="BV312" t="str">
        <f>""</f>
        <v/>
      </c>
      <c r="BW312" t="str">
        <f>""</f>
        <v/>
      </c>
      <c r="BX312" t="str">
        <f>""</f>
        <v/>
      </c>
      <c r="BY312" t="str">
        <f>""</f>
        <v/>
      </c>
      <c r="BZ312" t="str">
        <f>""</f>
        <v/>
      </c>
      <c r="CA312" t="str">
        <f>""</f>
        <v/>
      </c>
      <c r="CB312" t="str">
        <f>""</f>
        <v/>
      </c>
      <c r="CC312" t="str">
        <f>""</f>
        <v/>
      </c>
      <c r="CD312" t="str">
        <f>""</f>
        <v/>
      </c>
      <c r="CE312" t="str">
        <f>""</f>
        <v/>
      </c>
      <c r="CF312" t="str">
        <f>""</f>
        <v/>
      </c>
      <c r="CG312" t="str">
        <f>""</f>
        <v/>
      </c>
      <c r="CH312" t="str">
        <f>""</f>
        <v/>
      </c>
      <c r="CI312" t="str">
        <f>""</f>
        <v/>
      </c>
      <c r="CJ312" t="str">
        <f>""</f>
        <v/>
      </c>
      <c r="CK312" t="str">
        <f>""</f>
        <v/>
      </c>
      <c r="CL312" t="str">
        <f>""</f>
        <v/>
      </c>
      <c r="CM312" t="str">
        <f>""</f>
        <v/>
      </c>
      <c r="CN312" t="str">
        <f>""</f>
        <v/>
      </c>
      <c r="CO312" t="str">
        <f>""</f>
        <v/>
      </c>
      <c r="CP312" t="str">
        <f>""</f>
        <v/>
      </c>
      <c r="CQ312" t="str">
        <f>""</f>
        <v/>
      </c>
      <c r="CR312" t="str">
        <f>""</f>
        <v/>
      </c>
      <c r="CS312" t="str">
        <f>""</f>
        <v/>
      </c>
      <c r="CT312" t="str">
        <f>""</f>
        <v/>
      </c>
      <c r="CU312" t="str">
        <f>""</f>
        <v/>
      </c>
      <c r="CV312" t="str">
        <f>""</f>
        <v/>
      </c>
      <c r="CW312" t="str">
        <f>""</f>
        <v/>
      </c>
      <c r="CX312" t="str">
        <f>""</f>
        <v/>
      </c>
      <c r="CY312" t="str">
        <f>""</f>
        <v/>
      </c>
      <c r="CZ312" t="str">
        <f>""</f>
        <v/>
      </c>
      <c r="DA312" t="str">
        <f>""</f>
        <v/>
      </c>
      <c r="DB312" t="str">
        <f>""</f>
        <v/>
      </c>
      <c r="DC312" t="str">
        <f>""</f>
        <v/>
      </c>
      <c r="DD312" t="str">
        <f>""</f>
        <v/>
      </c>
      <c r="DE312" t="str">
        <f>""</f>
        <v/>
      </c>
      <c r="DF312" t="str">
        <f>""</f>
        <v/>
      </c>
      <c r="DG312" t="str">
        <f>""</f>
        <v/>
      </c>
      <c r="DH312" t="str">
        <f>""</f>
        <v/>
      </c>
      <c r="DI312" t="str">
        <f>""</f>
        <v/>
      </c>
      <c r="DJ312" t="str">
        <f>""</f>
        <v/>
      </c>
      <c r="DK312" t="str">
        <f>""</f>
        <v/>
      </c>
      <c r="DL312" t="str">
        <f>""</f>
        <v/>
      </c>
      <c r="DM312" t="str">
        <f>""</f>
        <v/>
      </c>
      <c r="DN312" t="str">
        <f>""</f>
        <v/>
      </c>
      <c r="DO312" t="str">
        <f>""</f>
        <v/>
      </c>
      <c r="DP312" t="str">
        <f>""</f>
        <v/>
      </c>
      <c r="DQ312" t="str">
        <f>""</f>
        <v/>
      </c>
      <c r="DR312" t="str">
        <f>""</f>
        <v/>
      </c>
      <c r="DS312" t="str">
        <f>""</f>
        <v/>
      </c>
      <c r="DT312" t="str">
        <f>""</f>
        <v/>
      </c>
      <c r="DU312" t="str">
        <f>""</f>
        <v/>
      </c>
    </row>
    <row r="313" spans="1:125">
      <c r="A313" t="str">
        <f>$A$141</f>
        <v xml:space="preserve">    Total Retail REITs</v>
      </c>
      <c r="B313" t="str">
        <f>$B$141</f>
        <v>RECFDVRT Index</v>
      </c>
      <c r="C313" t="str">
        <f>$C$141</f>
        <v>PR005</v>
      </c>
      <c r="D313" t="str">
        <f>$D$141</f>
        <v>PX_LAST</v>
      </c>
      <c r="E313" t="str">
        <f>$E$141</f>
        <v>动态</v>
      </c>
      <c r="F313" t="str">
        <f ca="1">BDH($B$141,$C$141,$B$181,$B$182,CONCATENATE("Per=",$B$179),"Dts=H","Dir=H",CONCATENATE("Points=",$B$180),"Sort=R","Days=A","Fill=B",CONCATENATE("FX=", $B$178) )</f>
        <v>#N/A Authorization</v>
      </c>
      <c r="BN313" t="str">
        <f>""</f>
        <v/>
      </c>
      <c r="BO313" t="str">
        <f>""</f>
        <v/>
      </c>
      <c r="BP313" t="str">
        <f>""</f>
        <v/>
      </c>
      <c r="BQ313" t="str">
        <f>""</f>
        <v/>
      </c>
      <c r="BR313" t="str">
        <f>""</f>
        <v/>
      </c>
      <c r="BS313" t="str">
        <f>""</f>
        <v/>
      </c>
      <c r="BT313" t="str">
        <f>""</f>
        <v/>
      </c>
      <c r="BU313" t="str">
        <f>""</f>
        <v/>
      </c>
      <c r="BV313" t="str">
        <f>""</f>
        <v/>
      </c>
      <c r="BW313" t="str">
        <f>""</f>
        <v/>
      </c>
      <c r="BX313" t="str">
        <f>""</f>
        <v/>
      </c>
      <c r="BY313" t="str">
        <f>""</f>
        <v/>
      </c>
      <c r="BZ313" t="str">
        <f>""</f>
        <v/>
      </c>
      <c r="CA313" t="str">
        <f>""</f>
        <v/>
      </c>
      <c r="CB313" t="str">
        <f>""</f>
        <v/>
      </c>
      <c r="CC313" t="str">
        <f>""</f>
        <v/>
      </c>
      <c r="CD313" t="str">
        <f>""</f>
        <v/>
      </c>
      <c r="CE313" t="str">
        <f>""</f>
        <v/>
      </c>
      <c r="CF313" t="str">
        <f>""</f>
        <v/>
      </c>
      <c r="CG313" t="str">
        <f>""</f>
        <v/>
      </c>
      <c r="CH313" t="str">
        <f>""</f>
        <v/>
      </c>
      <c r="CI313" t="str">
        <f>""</f>
        <v/>
      </c>
      <c r="CJ313" t="str">
        <f>""</f>
        <v/>
      </c>
      <c r="CK313" t="str">
        <f>""</f>
        <v/>
      </c>
      <c r="CL313" t="str">
        <f>""</f>
        <v/>
      </c>
      <c r="CM313" t="str">
        <f>""</f>
        <v/>
      </c>
      <c r="CN313" t="str">
        <f>""</f>
        <v/>
      </c>
      <c r="CO313" t="str">
        <f>""</f>
        <v/>
      </c>
      <c r="CP313" t="str">
        <f>""</f>
        <v/>
      </c>
      <c r="CQ313" t="str">
        <f>""</f>
        <v/>
      </c>
      <c r="CR313" t="str">
        <f>""</f>
        <v/>
      </c>
      <c r="CS313" t="str">
        <f>""</f>
        <v/>
      </c>
      <c r="CT313" t="str">
        <f>""</f>
        <v/>
      </c>
      <c r="CU313" t="str">
        <f>""</f>
        <v/>
      </c>
      <c r="CV313" t="str">
        <f>""</f>
        <v/>
      </c>
      <c r="CW313" t="str">
        <f>""</f>
        <v/>
      </c>
      <c r="CX313" t="str">
        <f>""</f>
        <v/>
      </c>
      <c r="CY313" t="str">
        <f>""</f>
        <v/>
      </c>
      <c r="CZ313" t="str">
        <f>""</f>
        <v/>
      </c>
      <c r="DA313" t="str">
        <f>""</f>
        <v/>
      </c>
      <c r="DB313" t="str">
        <f>""</f>
        <v/>
      </c>
      <c r="DC313" t="str">
        <f>""</f>
        <v/>
      </c>
      <c r="DD313" t="str">
        <f>""</f>
        <v/>
      </c>
      <c r="DE313" t="str">
        <f>""</f>
        <v/>
      </c>
      <c r="DF313" t="str">
        <f>""</f>
        <v/>
      </c>
      <c r="DG313" t="str">
        <f>""</f>
        <v/>
      </c>
      <c r="DH313" t="str">
        <f>""</f>
        <v/>
      </c>
      <c r="DI313" t="str">
        <f>""</f>
        <v/>
      </c>
      <c r="DJ313" t="str">
        <f>""</f>
        <v/>
      </c>
      <c r="DK313" t="str">
        <f>""</f>
        <v/>
      </c>
      <c r="DL313" t="str">
        <f>""</f>
        <v/>
      </c>
      <c r="DM313" t="str">
        <f>""</f>
        <v/>
      </c>
      <c r="DN313" t="str">
        <f>""</f>
        <v/>
      </c>
      <c r="DO313" t="str">
        <f>""</f>
        <v/>
      </c>
      <c r="DP313" t="str">
        <f>""</f>
        <v/>
      </c>
      <c r="DQ313" t="str">
        <f>""</f>
        <v/>
      </c>
      <c r="DR313" t="str">
        <f>""</f>
        <v/>
      </c>
      <c r="DS313" t="str">
        <f>""</f>
        <v/>
      </c>
      <c r="DT313" t="str">
        <f>""</f>
        <v/>
      </c>
      <c r="DU313" t="str">
        <f>""</f>
        <v/>
      </c>
    </row>
    <row r="314" spans="1:125">
      <c r="A314" t="str">
        <f>$A$142</f>
        <v xml:space="preserve">    Total Residential REITs</v>
      </c>
      <c r="B314" t="str">
        <f>$B$142</f>
        <v>RECFDVRS Index</v>
      </c>
      <c r="C314" t="str">
        <f>$C$142</f>
        <v>PR005</v>
      </c>
      <c r="D314" t="str">
        <f>$D$142</f>
        <v>PX_LAST</v>
      </c>
      <c r="E314" t="str">
        <f>$E$142</f>
        <v>动态</v>
      </c>
      <c r="F314" t="str">
        <f ca="1">BDH($B$142,$C$142,$B$181,$B$182,CONCATENATE("Per=",$B$179),"Dts=H","Dir=H",CONCATENATE("Points=",$B$180),"Sort=R","Days=A","Fill=B",CONCATENATE("FX=", $B$178) )</f>
        <v>#N/A Authorization</v>
      </c>
      <c r="BN314" t="str">
        <f>""</f>
        <v/>
      </c>
      <c r="BO314" t="str">
        <f>""</f>
        <v/>
      </c>
      <c r="BP314" t="str">
        <f>""</f>
        <v/>
      </c>
      <c r="BQ314" t="str">
        <f>""</f>
        <v/>
      </c>
      <c r="BR314" t="str">
        <f>""</f>
        <v/>
      </c>
      <c r="BS314" t="str">
        <f>""</f>
        <v/>
      </c>
      <c r="BT314" t="str">
        <f>""</f>
        <v/>
      </c>
      <c r="BU314" t="str">
        <f>""</f>
        <v/>
      </c>
      <c r="BV314" t="str">
        <f>""</f>
        <v/>
      </c>
      <c r="BW314" t="str">
        <f>""</f>
        <v/>
      </c>
      <c r="BX314" t="str">
        <f>""</f>
        <v/>
      </c>
      <c r="BY314" t="str">
        <f>""</f>
        <v/>
      </c>
      <c r="BZ314" t="str">
        <f>""</f>
        <v/>
      </c>
      <c r="CA314" t="str">
        <f>""</f>
        <v/>
      </c>
      <c r="CB314" t="str">
        <f>""</f>
        <v/>
      </c>
      <c r="CC314" t="str">
        <f>""</f>
        <v/>
      </c>
      <c r="CD314" t="str">
        <f>""</f>
        <v/>
      </c>
      <c r="CE314" t="str">
        <f>""</f>
        <v/>
      </c>
      <c r="CF314" t="str">
        <f>""</f>
        <v/>
      </c>
      <c r="CG314" t="str">
        <f>""</f>
        <v/>
      </c>
      <c r="CH314" t="str">
        <f>""</f>
        <v/>
      </c>
      <c r="CI314" t="str">
        <f>""</f>
        <v/>
      </c>
      <c r="CJ314" t="str">
        <f>""</f>
        <v/>
      </c>
      <c r="CK314" t="str">
        <f>""</f>
        <v/>
      </c>
      <c r="CL314" t="str">
        <f>""</f>
        <v/>
      </c>
      <c r="CM314" t="str">
        <f>""</f>
        <v/>
      </c>
      <c r="CN314" t="str">
        <f>""</f>
        <v/>
      </c>
      <c r="CO314" t="str">
        <f>""</f>
        <v/>
      </c>
      <c r="CP314" t="str">
        <f>""</f>
        <v/>
      </c>
      <c r="CQ314" t="str">
        <f>""</f>
        <v/>
      </c>
      <c r="CR314" t="str">
        <f>""</f>
        <v/>
      </c>
      <c r="CS314" t="str">
        <f>""</f>
        <v/>
      </c>
      <c r="CT314" t="str">
        <f>""</f>
        <v/>
      </c>
      <c r="CU314" t="str">
        <f>""</f>
        <v/>
      </c>
      <c r="CV314" t="str">
        <f>""</f>
        <v/>
      </c>
      <c r="CW314" t="str">
        <f>""</f>
        <v/>
      </c>
      <c r="CX314" t="str">
        <f>""</f>
        <v/>
      </c>
      <c r="CY314" t="str">
        <f>""</f>
        <v/>
      </c>
      <c r="CZ314" t="str">
        <f>""</f>
        <v/>
      </c>
      <c r="DA314" t="str">
        <f>""</f>
        <v/>
      </c>
      <c r="DB314" t="str">
        <f>""</f>
        <v/>
      </c>
      <c r="DC314" t="str">
        <f>""</f>
        <v/>
      </c>
      <c r="DD314" t="str">
        <f>""</f>
        <v/>
      </c>
      <c r="DE314" t="str">
        <f>""</f>
        <v/>
      </c>
      <c r="DF314" t="str">
        <f>""</f>
        <v/>
      </c>
      <c r="DG314" t="str">
        <f>""</f>
        <v/>
      </c>
      <c r="DH314" t="str">
        <f>""</f>
        <v/>
      </c>
      <c r="DI314" t="str">
        <f>""</f>
        <v/>
      </c>
      <c r="DJ314" t="str">
        <f>""</f>
        <v/>
      </c>
      <c r="DK314" t="str">
        <f>""</f>
        <v/>
      </c>
      <c r="DL314" t="str">
        <f>""</f>
        <v/>
      </c>
      <c r="DM314" t="str">
        <f>""</f>
        <v/>
      </c>
      <c r="DN314" t="str">
        <f>""</f>
        <v/>
      </c>
      <c r="DO314" t="str">
        <f>""</f>
        <v/>
      </c>
      <c r="DP314" t="str">
        <f>""</f>
        <v/>
      </c>
      <c r="DQ314" t="str">
        <f>""</f>
        <v/>
      </c>
      <c r="DR314" t="str">
        <f>""</f>
        <v/>
      </c>
      <c r="DS314" t="str">
        <f>""</f>
        <v/>
      </c>
      <c r="DT314" t="str">
        <f>""</f>
        <v/>
      </c>
      <c r="DU314" t="str">
        <f>""</f>
        <v/>
      </c>
    </row>
    <row r="315" spans="1:125">
      <c r="A315" t="str">
        <f>$A$143</f>
        <v xml:space="preserve">    Total Diversified REITs</v>
      </c>
      <c r="B315" t="str">
        <f>$B$143</f>
        <v>RECFDVDV Index</v>
      </c>
      <c r="C315" t="str">
        <f>$C$143</f>
        <v>PR005</v>
      </c>
      <c r="D315" t="str">
        <f>$D$143</f>
        <v>PX_LAST</v>
      </c>
      <c r="E315" t="str">
        <f>$E$143</f>
        <v>动态</v>
      </c>
      <c r="F315" t="str">
        <f ca="1">BDH($B$143,$C$143,$B$181,$B$182,CONCATENATE("Per=",$B$179),"Dts=H","Dir=H",CONCATENATE("Points=",$B$180),"Sort=R","Days=A","Fill=B",CONCATENATE("FX=", $B$178) )</f>
        <v>#N/A Authorization</v>
      </c>
      <c r="BN315" t="str">
        <f>""</f>
        <v/>
      </c>
      <c r="BO315" t="str">
        <f>""</f>
        <v/>
      </c>
      <c r="BP315" t="str">
        <f>""</f>
        <v/>
      </c>
      <c r="BQ315" t="str">
        <f>""</f>
        <v/>
      </c>
      <c r="BR315" t="str">
        <f>""</f>
        <v/>
      </c>
      <c r="BS315" t="str">
        <f>""</f>
        <v/>
      </c>
      <c r="BT315" t="str">
        <f>""</f>
        <v/>
      </c>
      <c r="BU315" t="str">
        <f>""</f>
        <v/>
      </c>
      <c r="BV315" t="str">
        <f>""</f>
        <v/>
      </c>
      <c r="BW315" t="str">
        <f>""</f>
        <v/>
      </c>
      <c r="BX315" t="str">
        <f>""</f>
        <v/>
      </c>
      <c r="BY315" t="str">
        <f>""</f>
        <v/>
      </c>
      <c r="BZ315" t="str">
        <f>""</f>
        <v/>
      </c>
      <c r="CA315" t="str">
        <f>""</f>
        <v/>
      </c>
      <c r="CB315" t="str">
        <f>""</f>
        <v/>
      </c>
      <c r="CC315" t="str">
        <f>""</f>
        <v/>
      </c>
      <c r="CD315" t="str">
        <f>""</f>
        <v/>
      </c>
      <c r="CE315" t="str">
        <f>""</f>
        <v/>
      </c>
      <c r="CF315" t="str">
        <f>""</f>
        <v/>
      </c>
      <c r="CG315" t="str">
        <f>""</f>
        <v/>
      </c>
      <c r="CH315" t="str">
        <f>""</f>
        <v/>
      </c>
      <c r="CI315" t="str">
        <f>""</f>
        <v/>
      </c>
      <c r="CJ315" t="str">
        <f>""</f>
        <v/>
      </c>
      <c r="CK315" t="str">
        <f>""</f>
        <v/>
      </c>
      <c r="CL315" t="str">
        <f>""</f>
        <v/>
      </c>
      <c r="CM315" t="str">
        <f>""</f>
        <v/>
      </c>
      <c r="CN315" t="str">
        <f>""</f>
        <v/>
      </c>
      <c r="CO315" t="str">
        <f>""</f>
        <v/>
      </c>
      <c r="CP315" t="str">
        <f>""</f>
        <v/>
      </c>
      <c r="CQ315" t="str">
        <f>""</f>
        <v/>
      </c>
      <c r="CR315" t="str">
        <f>""</f>
        <v/>
      </c>
      <c r="CS315" t="str">
        <f>""</f>
        <v/>
      </c>
      <c r="CT315" t="str">
        <f>""</f>
        <v/>
      </c>
      <c r="CU315" t="str">
        <f>""</f>
        <v/>
      </c>
      <c r="CV315" t="str">
        <f>""</f>
        <v/>
      </c>
      <c r="CW315" t="str">
        <f>""</f>
        <v/>
      </c>
      <c r="CX315" t="str">
        <f>""</f>
        <v/>
      </c>
      <c r="CY315" t="str">
        <f>""</f>
        <v/>
      </c>
      <c r="CZ315" t="str">
        <f>""</f>
        <v/>
      </c>
      <c r="DA315" t="str">
        <f>""</f>
        <v/>
      </c>
      <c r="DB315" t="str">
        <f>""</f>
        <v/>
      </c>
      <c r="DC315" t="str">
        <f>""</f>
        <v/>
      </c>
      <c r="DD315" t="str">
        <f>""</f>
        <v/>
      </c>
      <c r="DE315" t="str">
        <f>""</f>
        <v/>
      </c>
      <c r="DF315" t="str">
        <f>""</f>
        <v/>
      </c>
      <c r="DG315" t="str">
        <f>""</f>
        <v/>
      </c>
      <c r="DH315" t="str">
        <f>""</f>
        <v/>
      </c>
      <c r="DI315" t="str">
        <f>""</f>
        <v/>
      </c>
      <c r="DJ315" t="str">
        <f>""</f>
        <v/>
      </c>
      <c r="DK315" t="str">
        <f>""</f>
        <v/>
      </c>
      <c r="DL315" t="str">
        <f>""</f>
        <v/>
      </c>
      <c r="DM315" t="str">
        <f>""</f>
        <v/>
      </c>
      <c r="DN315" t="str">
        <f>""</f>
        <v/>
      </c>
      <c r="DO315" t="str">
        <f>""</f>
        <v/>
      </c>
      <c r="DP315" t="str">
        <f>""</f>
        <v/>
      </c>
      <c r="DQ315" t="str">
        <f>""</f>
        <v/>
      </c>
      <c r="DR315" t="str">
        <f>""</f>
        <v/>
      </c>
      <c r="DS315" t="str">
        <f>""</f>
        <v/>
      </c>
      <c r="DT315" t="str">
        <f>""</f>
        <v/>
      </c>
      <c r="DU315" t="str">
        <f>""</f>
        <v/>
      </c>
    </row>
    <row r="316" spans="1:125">
      <c r="A316" t="str">
        <f>$A$144</f>
        <v xml:space="preserve">    Total Lodging/Resort REITs</v>
      </c>
      <c r="B316" t="str">
        <f>$B$144</f>
        <v>RECFDVLR Index</v>
      </c>
      <c r="C316" t="str">
        <f>$C$144</f>
        <v>PR005</v>
      </c>
      <c r="D316" t="str">
        <f>$D$144</f>
        <v>PX_LAST</v>
      </c>
      <c r="E316" t="str">
        <f>$E$144</f>
        <v>动态</v>
      </c>
      <c r="F316" t="str">
        <f ca="1">BDH($B$144,$C$144,$B$181,$B$182,CONCATENATE("Per=",$B$179),"Dts=H","Dir=H",CONCATENATE("Points=",$B$180),"Sort=R","Days=A","Fill=B",CONCATENATE("FX=", $B$178) )</f>
        <v>#N/A Authorization</v>
      </c>
      <c r="BN316" t="str">
        <f>""</f>
        <v/>
      </c>
      <c r="BO316" t="str">
        <f>""</f>
        <v/>
      </c>
      <c r="BP316" t="str">
        <f>""</f>
        <v/>
      </c>
      <c r="BQ316" t="str">
        <f>""</f>
        <v/>
      </c>
      <c r="BR316" t="str">
        <f>""</f>
        <v/>
      </c>
      <c r="BS316" t="str">
        <f>""</f>
        <v/>
      </c>
      <c r="BT316" t="str">
        <f>""</f>
        <v/>
      </c>
      <c r="BU316" t="str">
        <f>""</f>
        <v/>
      </c>
      <c r="BV316" t="str">
        <f>""</f>
        <v/>
      </c>
      <c r="BW316" t="str">
        <f>""</f>
        <v/>
      </c>
      <c r="BX316" t="str">
        <f>""</f>
        <v/>
      </c>
      <c r="BY316" t="str">
        <f>""</f>
        <v/>
      </c>
      <c r="BZ316" t="str">
        <f>""</f>
        <v/>
      </c>
      <c r="CA316" t="str">
        <f>""</f>
        <v/>
      </c>
      <c r="CB316" t="str">
        <f>""</f>
        <v/>
      </c>
      <c r="CC316" t="str">
        <f>""</f>
        <v/>
      </c>
      <c r="CD316" t="str">
        <f>""</f>
        <v/>
      </c>
      <c r="CE316" t="str">
        <f>""</f>
        <v/>
      </c>
      <c r="CF316" t="str">
        <f>""</f>
        <v/>
      </c>
      <c r="CG316" t="str">
        <f>""</f>
        <v/>
      </c>
      <c r="CH316" t="str">
        <f>""</f>
        <v/>
      </c>
      <c r="CI316" t="str">
        <f>""</f>
        <v/>
      </c>
      <c r="CJ316" t="str">
        <f>""</f>
        <v/>
      </c>
      <c r="CK316" t="str">
        <f>""</f>
        <v/>
      </c>
      <c r="CL316" t="str">
        <f>""</f>
        <v/>
      </c>
      <c r="CM316" t="str">
        <f>""</f>
        <v/>
      </c>
      <c r="CN316" t="str">
        <f>""</f>
        <v/>
      </c>
      <c r="CO316" t="str">
        <f>""</f>
        <v/>
      </c>
      <c r="CP316" t="str">
        <f>""</f>
        <v/>
      </c>
      <c r="CQ316" t="str">
        <f>""</f>
        <v/>
      </c>
      <c r="CR316" t="str">
        <f>""</f>
        <v/>
      </c>
      <c r="CS316" t="str">
        <f>""</f>
        <v/>
      </c>
      <c r="CT316" t="str">
        <f>""</f>
        <v/>
      </c>
      <c r="CU316" t="str">
        <f>""</f>
        <v/>
      </c>
      <c r="CV316" t="str">
        <f>""</f>
        <v/>
      </c>
      <c r="CW316" t="str">
        <f>""</f>
        <v/>
      </c>
      <c r="CX316" t="str">
        <f>""</f>
        <v/>
      </c>
      <c r="CY316" t="str">
        <f>""</f>
        <v/>
      </c>
      <c r="CZ316" t="str">
        <f>""</f>
        <v/>
      </c>
      <c r="DA316" t="str">
        <f>""</f>
        <v/>
      </c>
      <c r="DB316" t="str">
        <f>""</f>
        <v/>
      </c>
      <c r="DC316" t="str">
        <f>""</f>
        <v/>
      </c>
      <c r="DD316" t="str">
        <f>""</f>
        <v/>
      </c>
      <c r="DE316" t="str">
        <f>""</f>
        <v/>
      </c>
      <c r="DF316" t="str">
        <f>""</f>
        <v/>
      </c>
      <c r="DG316" t="str">
        <f>""</f>
        <v/>
      </c>
      <c r="DH316" t="str">
        <f>""</f>
        <v/>
      </c>
      <c r="DI316" t="str">
        <f>""</f>
        <v/>
      </c>
      <c r="DJ316" t="str">
        <f>""</f>
        <v/>
      </c>
      <c r="DK316" t="str">
        <f>""</f>
        <v/>
      </c>
      <c r="DL316" t="str">
        <f>""</f>
        <v/>
      </c>
      <c r="DM316" t="str">
        <f>""</f>
        <v/>
      </c>
      <c r="DN316" t="str">
        <f>""</f>
        <v/>
      </c>
      <c r="DO316" t="str">
        <f>""</f>
        <v/>
      </c>
      <c r="DP316" t="str">
        <f>""</f>
        <v/>
      </c>
      <c r="DQ316" t="str">
        <f>""</f>
        <v/>
      </c>
      <c r="DR316" t="str">
        <f>""</f>
        <v/>
      </c>
      <c r="DS316" t="str">
        <f>""</f>
        <v/>
      </c>
      <c r="DT316" t="str">
        <f>""</f>
        <v/>
      </c>
      <c r="DU316" t="str">
        <f>""</f>
        <v/>
      </c>
    </row>
    <row r="317" spans="1:125">
      <c r="A317" t="str">
        <f>$A$145</f>
        <v xml:space="preserve">    Total Self Storage REITs</v>
      </c>
      <c r="B317" t="str">
        <f>$B$145</f>
        <v>RECFDVSS Index</v>
      </c>
      <c r="C317" t="str">
        <f>$C$145</f>
        <v>PR005</v>
      </c>
      <c r="D317" t="str">
        <f>$D$145</f>
        <v>PX_LAST</v>
      </c>
      <c r="E317" t="str">
        <f>$E$145</f>
        <v>动态</v>
      </c>
      <c r="F317" t="str">
        <f ca="1">BDH($B$145,$C$145,$B$181,$B$182,CONCATENATE("Per=",$B$179),"Dts=H","Dir=H",CONCATENATE("Points=",$B$180),"Sort=R","Days=A","Fill=B",CONCATENATE("FX=", $B$178) )</f>
        <v>#N/A Authorization</v>
      </c>
      <c r="BN317" t="str">
        <f>""</f>
        <v/>
      </c>
      <c r="BO317" t="str">
        <f>""</f>
        <v/>
      </c>
      <c r="BP317" t="str">
        <f>""</f>
        <v/>
      </c>
      <c r="BQ317" t="str">
        <f>""</f>
        <v/>
      </c>
      <c r="BR317" t="str">
        <f>""</f>
        <v/>
      </c>
      <c r="BS317" t="str">
        <f>""</f>
        <v/>
      </c>
      <c r="BT317" t="str">
        <f>""</f>
        <v/>
      </c>
      <c r="BU317" t="str">
        <f>""</f>
        <v/>
      </c>
      <c r="BV317" t="str">
        <f>""</f>
        <v/>
      </c>
      <c r="BW317" t="str">
        <f>""</f>
        <v/>
      </c>
      <c r="BX317" t="str">
        <f>""</f>
        <v/>
      </c>
      <c r="BY317" t="str">
        <f>""</f>
        <v/>
      </c>
      <c r="BZ317" t="str">
        <f>""</f>
        <v/>
      </c>
      <c r="CA317" t="str">
        <f>""</f>
        <v/>
      </c>
      <c r="CB317" t="str">
        <f>""</f>
        <v/>
      </c>
      <c r="CC317" t="str">
        <f>""</f>
        <v/>
      </c>
      <c r="CD317" t="str">
        <f>""</f>
        <v/>
      </c>
      <c r="CE317" t="str">
        <f>""</f>
        <v/>
      </c>
      <c r="CF317" t="str">
        <f>""</f>
        <v/>
      </c>
      <c r="CG317" t="str">
        <f>""</f>
        <v/>
      </c>
      <c r="CH317" t="str">
        <f>""</f>
        <v/>
      </c>
      <c r="CI317" t="str">
        <f>""</f>
        <v/>
      </c>
      <c r="CJ317" t="str">
        <f>""</f>
        <v/>
      </c>
      <c r="CK317" t="str">
        <f>""</f>
        <v/>
      </c>
      <c r="CL317" t="str">
        <f>""</f>
        <v/>
      </c>
      <c r="CM317" t="str">
        <f>""</f>
        <v/>
      </c>
      <c r="CN317" t="str">
        <f>""</f>
        <v/>
      </c>
      <c r="CO317" t="str">
        <f>""</f>
        <v/>
      </c>
      <c r="CP317" t="str">
        <f>""</f>
        <v/>
      </c>
      <c r="CQ317" t="str">
        <f>""</f>
        <v/>
      </c>
      <c r="CR317" t="str">
        <f>""</f>
        <v/>
      </c>
      <c r="CS317" t="str">
        <f>""</f>
        <v/>
      </c>
      <c r="CT317" t="str">
        <f>""</f>
        <v/>
      </c>
      <c r="CU317" t="str">
        <f>""</f>
        <v/>
      </c>
      <c r="CV317" t="str">
        <f>""</f>
        <v/>
      </c>
      <c r="CW317" t="str">
        <f>""</f>
        <v/>
      </c>
      <c r="CX317" t="str">
        <f>""</f>
        <v/>
      </c>
      <c r="CY317" t="str">
        <f>""</f>
        <v/>
      </c>
      <c r="CZ317" t="str">
        <f>""</f>
        <v/>
      </c>
      <c r="DA317" t="str">
        <f>""</f>
        <v/>
      </c>
      <c r="DB317" t="str">
        <f>""</f>
        <v/>
      </c>
      <c r="DC317" t="str">
        <f>""</f>
        <v/>
      </c>
      <c r="DD317" t="str">
        <f>""</f>
        <v/>
      </c>
      <c r="DE317" t="str">
        <f>""</f>
        <v/>
      </c>
      <c r="DF317" t="str">
        <f>""</f>
        <v/>
      </c>
      <c r="DG317" t="str">
        <f>""</f>
        <v/>
      </c>
      <c r="DH317" t="str">
        <f>""</f>
        <v/>
      </c>
      <c r="DI317" t="str">
        <f>""</f>
        <v/>
      </c>
      <c r="DJ317" t="str">
        <f>""</f>
        <v/>
      </c>
      <c r="DK317" t="str">
        <f>""</f>
        <v/>
      </c>
      <c r="DL317" t="str">
        <f>""</f>
        <v/>
      </c>
      <c r="DM317" t="str">
        <f>""</f>
        <v/>
      </c>
      <c r="DN317" t="str">
        <f>""</f>
        <v/>
      </c>
      <c r="DO317" t="str">
        <f>""</f>
        <v/>
      </c>
      <c r="DP317" t="str">
        <f>""</f>
        <v/>
      </c>
      <c r="DQ317" t="str">
        <f>""</f>
        <v/>
      </c>
      <c r="DR317" t="str">
        <f>""</f>
        <v/>
      </c>
      <c r="DS317" t="str">
        <f>""</f>
        <v/>
      </c>
      <c r="DT317" t="str">
        <f>""</f>
        <v/>
      </c>
      <c r="DU317" t="str">
        <f>""</f>
        <v/>
      </c>
    </row>
    <row r="318" spans="1:125">
      <c r="A318" t="str">
        <f>$A$146</f>
        <v xml:space="preserve">    Total Health Care REITs</v>
      </c>
      <c r="B318" t="str">
        <f>$B$146</f>
        <v>RECFDVHC Index</v>
      </c>
      <c r="C318" t="str">
        <f>$C$146</f>
        <v>PR005</v>
      </c>
      <c r="D318" t="str">
        <f>$D$146</f>
        <v>PX_LAST</v>
      </c>
      <c r="E318" t="str">
        <f>$E$146</f>
        <v>动态</v>
      </c>
      <c r="F318" t="str">
        <f ca="1">BDH($B$146,$C$146,$B$181,$B$182,CONCATENATE("Per=",$B$179),"Dts=H","Dir=H",CONCATENATE("Points=",$B$180),"Sort=R","Days=A","Fill=B",CONCATENATE("FX=", $B$178) )</f>
        <v>#N/A Authorization</v>
      </c>
      <c r="BN318" t="str">
        <f>""</f>
        <v/>
      </c>
      <c r="BO318" t="str">
        <f>""</f>
        <v/>
      </c>
      <c r="BP318" t="str">
        <f>""</f>
        <v/>
      </c>
      <c r="BQ318" t="str">
        <f>""</f>
        <v/>
      </c>
      <c r="BR318" t="str">
        <f>""</f>
        <v/>
      </c>
      <c r="BS318" t="str">
        <f>""</f>
        <v/>
      </c>
      <c r="BT318" t="str">
        <f>""</f>
        <v/>
      </c>
      <c r="BU318" t="str">
        <f>""</f>
        <v/>
      </c>
      <c r="BV318" t="str">
        <f>""</f>
        <v/>
      </c>
      <c r="BW318" t="str">
        <f>""</f>
        <v/>
      </c>
      <c r="BX318" t="str">
        <f>""</f>
        <v/>
      </c>
      <c r="BY318" t="str">
        <f>""</f>
        <v/>
      </c>
      <c r="BZ318" t="str">
        <f>""</f>
        <v/>
      </c>
      <c r="CA318" t="str">
        <f>""</f>
        <v/>
      </c>
      <c r="CB318" t="str">
        <f>""</f>
        <v/>
      </c>
      <c r="CC318" t="str">
        <f>""</f>
        <v/>
      </c>
      <c r="CD318" t="str">
        <f>""</f>
        <v/>
      </c>
      <c r="CE318" t="str">
        <f>""</f>
        <v/>
      </c>
      <c r="CF318" t="str">
        <f>""</f>
        <v/>
      </c>
      <c r="CG318" t="str">
        <f>""</f>
        <v/>
      </c>
      <c r="CH318" t="str">
        <f>""</f>
        <v/>
      </c>
      <c r="CI318" t="str">
        <f>""</f>
        <v/>
      </c>
      <c r="CJ318" t="str">
        <f>""</f>
        <v/>
      </c>
      <c r="CK318" t="str">
        <f>""</f>
        <v/>
      </c>
      <c r="CL318" t="str">
        <f>""</f>
        <v/>
      </c>
      <c r="CM318" t="str">
        <f>""</f>
        <v/>
      </c>
      <c r="CN318" t="str">
        <f>""</f>
        <v/>
      </c>
      <c r="CO318" t="str">
        <f>""</f>
        <v/>
      </c>
      <c r="CP318" t="str">
        <f>""</f>
        <v/>
      </c>
      <c r="CQ318" t="str">
        <f>""</f>
        <v/>
      </c>
      <c r="CR318" t="str">
        <f>""</f>
        <v/>
      </c>
      <c r="CS318" t="str">
        <f>""</f>
        <v/>
      </c>
      <c r="CT318" t="str">
        <f>""</f>
        <v/>
      </c>
      <c r="CU318" t="str">
        <f>""</f>
        <v/>
      </c>
      <c r="CV318" t="str">
        <f>""</f>
        <v/>
      </c>
      <c r="CW318" t="str">
        <f>""</f>
        <v/>
      </c>
      <c r="CX318" t="str">
        <f>""</f>
        <v/>
      </c>
      <c r="CY318" t="str">
        <f>""</f>
        <v/>
      </c>
      <c r="CZ318" t="str">
        <f>""</f>
        <v/>
      </c>
      <c r="DA318" t="str">
        <f>""</f>
        <v/>
      </c>
      <c r="DB318" t="str">
        <f>""</f>
        <v/>
      </c>
      <c r="DC318" t="str">
        <f>""</f>
        <v/>
      </c>
      <c r="DD318" t="str">
        <f>""</f>
        <v/>
      </c>
      <c r="DE318" t="str">
        <f>""</f>
        <v/>
      </c>
      <c r="DF318" t="str">
        <f>""</f>
        <v/>
      </c>
      <c r="DG318" t="str">
        <f>""</f>
        <v/>
      </c>
      <c r="DH318" t="str">
        <f>""</f>
        <v/>
      </c>
      <c r="DI318" t="str">
        <f>""</f>
        <v/>
      </c>
      <c r="DJ318" t="str">
        <f>""</f>
        <v/>
      </c>
      <c r="DK318" t="str">
        <f>""</f>
        <v/>
      </c>
      <c r="DL318" t="str">
        <f>""</f>
        <v/>
      </c>
      <c r="DM318" t="str">
        <f>""</f>
        <v/>
      </c>
      <c r="DN318" t="str">
        <f>""</f>
        <v/>
      </c>
      <c r="DO318" t="str">
        <f>""</f>
        <v/>
      </c>
      <c r="DP318" t="str">
        <f>""</f>
        <v/>
      </c>
      <c r="DQ318" t="str">
        <f>""</f>
        <v/>
      </c>
      <c r="DR318" t="str">
        <f>""</f>
        <v/>
      </c>
      <c r="DS318" t="str">
        <f>""</f>
        <v/>
      </c>
      <c r="DT318" t="str">
        <f>""</f>
        <v/>
      </c>
      <c r="DU318" t="str">
        <f>""</f>
        <v/>
      </c>
    </row>
    <row r="319" spans="1:125">
      <c r="A319" t="str">
        <f>$A$147</f>
        <v xml:space="preserve">    Total Data Center REITs</v>
      </c>
      <c r="B319" t="str">
        <f>$B$147</f>
        <v>RECFDVDC Index</v>
      </c>
      <c r="C319" t="str">
        <f>$C$147</f>
        <v>PR005</v>
      </c>
      <c r="D319" t="str">
        <f>$D$147</f>
        <v>PX_LAST</v>
      </c>
      <c r="E319" t="str">
        <f>$E$147</f>
        <v>动态</v>
      </c>
      <c r="F319" t="str">
        <f ca="1">BDH($B$147,$C$147,$B$181,$B$182,CONCATENATE("Per=",$B$179),"Dts=H","Dir=H",CONCATENATE("Points=",$B$180),"Sort=R","Days=A","Fill=B",CONCATENATE("FX=", $B$178) )</f>
        <v>#N/A Authorization</v>
      </c>
      <c r="BN319" t="str">
        <f>""</f>
        <v/>
      </c>
      <c r="BO319" t="str">
        <f>""</f>
        <v/>
      </c>
      <c r="BP319" t="str">
        <f>""</f>
        <v/>
      </c>
      <c r="BQ319" t="str">
        <f>""</f>
        <v/>
      </c>
      <c r="BR319" t="str">
        <f>""</f>
        <v/>
      </c>
      <c r="BS319" t="str">
        <f>""</f>
        <v/>
      </c>
      <c r="BT319" t="str">
        <f>""</f>
        <v/>
      </c>
      <c r="BU319" t="str">
        <f>""</f>
        <v/>
      </c>
      <c r="BV319" t="str">
        <f>""</f>
        <v/>
      </c>
      <c r="BW319" t="str">
        <f>""</f>
        <v/>
      </c>
      <c r="BX319" t="str">
        <f>""</f>
        <v/>
      </c>
      <c r="BY319" t="str">
        <f>""</f>
        <v/>
      </c>
      <c r="BZ319" t="str">
        <f>""</f>
        <v/>
      </c>
      <c r="CA319" t="str">
        <f>""</f>
        <v/>
      </c>
      <c r="CB319" t="str">
        <f>""</f>
        <v/>
      </c>
      <c r="CC319" t="str">
        <f>""</f>
        <v/>
      </c>
      <c r="CD319" t="str">
        <f>""</f>
        <v/>
      </c>
      <c r="CE319" t="str">
        <f>""</f>
        <v/>
      </c>
      <c r="CF319" t="str">
        <f>""</f>
        <v/>
      </c>
      <c r="CG319" t="str">
        <f>""</f>
        <v/>
      </c>
      <c r="CH319" t="str">
        <f>""</f>
        <v/>
      </c>
      <c r="CI319" t="str">
        <f>""</f>
        <v/>
      </c>
      <c r="CJ319" t="str">
        <f>""</f>
        <v/>
      </c>
      <c r="CK319" t="str">
        <f>""</f>
        <v/>
      </c>
      <c r="CL319" t="str">
        <f>""</f>
        <v/>
      </c>
      <c r="CM319" t="str">
        <f>""</f>
        <v/>
      </c>
      <c r="CN319" t="str">
        <f>""</f>
        <v/>
      </c>
      <c r="CO319" t="str">
        <f>""</f>
        <v/>
      </c>
      <c r="CP319" t="str">
        <f>""</f>
        <v/>
      </c>
      <c r="CQ319" t="str">
        <f>""</f>
        <v/>
      </c>
      <c r="CR319" t="str">
        <f>""</f>
        <v/>
      </c>
      <c r="CS319" t="str">
        <f>""</f>
        <v/>
      </c>
      <c r="CT319" t="str">
        <f>""</f>
        <v/>
      </c>
      <c r="CU319" t="str">
        <f>""</f>
        <v/>
      </c>
      <c r="CV319" t="str">
        <f>""</f>
        <v/>
      </c>
      <c r="CW319" t="str">
        <f>""</f>
        <v/>
      </c>
      <c r="CX319" t="str">
        <f>""</f>
        <v/>
      </c>
      <c r="CY319" t="str">
        <f>""</f>
        <v/>
      </c>
      <c r="CZ319" t="str">
        <f>""</f>
        <v/>
      </c>
      <c r="DA319" t="str">
        <f>""</f>
        <v/>
      </c>
      <c r="DB319" t="str">
        <f>""</f>
        <v/>
      </c>
      <c r="DC319" t="str">
        <f>""</f>
        <v/>
      </c>
      <c r="DD319" t="str">
        <f>""</f>
        <v/>
      </c>
      <c r="DE319" t="str">
        <f>""</f>
        <v/>
      </c>
      <c r="DF319" t="str">
        <f>""</f>
        <v/>
      </c>
      <c r="DG319" t="str">
        <f>""</f>
        <v/>
      </c>
      <c r="DH319" t="str">
        <f>""</f>
        <v/>
      </c>
      <c r="DI319" t="str">
        <f>""</f>
        <v/>
      </c>
      <c r="DJ319" t="str">
        <f>""</f>
        <v/>
      </c>
      <c r="DK319" t="str">
        <f>""</f>
        <v/>
      </c>
      <c r="DL319" t="str">
        <f>""</f>
        <v/>
      </c>
      <c r="DM319" t="str">
        <f>""</f>
        <v/>
      </c>
      <c r="DN319" t="str">
        <f>""</f>
        <v/>
      </c>
      <c r="DO319" t="str">
        <f>""</f>
        <v/>
      </c>
      <c r="DP319" t="str">
        <f>""</f>
        <v/>
      </c>
      <c r="DQ319" t="str">
        <f>""</f>
        <v/>
      </c>
      <c r="DR319" t="str">
        <f>""</f>
        <v/>
      </c>
      <c r="DS319" t="str">
        <f>""</f>
        <v/>
      </c>
      <c r="DT319" t="str">
        <f>""</f>
        <v/>
      </c>
      <c r="DU319" t="str">
        <f>""</f>
        <v/>
      </c>
    </row>
    <row r="320" spans="1:125">
      <c r="A320" t="str">
        <f>$A$148</f>
        <v xml:space="preserve">    Total Specialty REITs</v>
      </c>
      <c r="B320" t="str">
        <f>$B$148</f>
        <v>RECFDVSP Index</v>
      </c>
      <c r="C320" t="str">
        <f>$C$148</f>
        <v>PR005</v>
      </c>
      <c r="D320" t="str">
        <f>$D$148</f>
        <v>PX_LAST</v>
      </c>
      <c r="E320" t="str">
        <f>$E$148</f>
        <v>动态</v>
      </c>
      <c r="F320" t="str">
        <f ca="1">BDH($B$148,$C$148,$B$181,$B$182,CONCATENATE("Per=",$B$179),"Dts=H","Dir=H",CONCATENATE("Points=",$B$180),"Sort=R","Days=A","Fill=B",CONCATENATE("FX=", $B$178) )</f>
        <v>#N/A Authorization</v>
      </c>
      <c r="BN320" t="str">
        <f>""</f>
        <v/>
      </c>
      <c r="BO320" t="str">
        <f>""</f>
        <v/>
      </c>
      <c r="BP320" t="str">
        <f>""</f>
        <v/>
      </c>
      <c r="BQ320" t="str">
        <f>""</f>
        <v/>
      </c>
      <c r="BR320" t="str">
        <f>""</f>
        <v/>
      </c>
      <c r="BS320" t="str">
        <f>""</f>
        <v/>
      </c>
      <c r="BT320" t="str">
        <f>""</f>
        <v/>
      </c>
      <c r="BU320" t="str">
        <f>""</f>
        <v/>
      </c>
      <c r="BV320" t="str">
        <f>""</f>
        <v/>
      </c>
      <c r="BW320" t="str">
        <f>""</f>
        <v/>
      </c>
      <c r="BX320" t="str">
        <f>""</f>
        <v/>
      </c>
      <c r="BY320" t="str">
        <f>""</f>
        <v/>
      </c>
      <c r="BZ320" t="str">
        <f>""</f>
        <v/>
      </c>
      <c r="CA320" t="str">
        <f>""</f>
        <v/>
      </c>
      <c r="CB320" t="str">
        <f>""</f>
        <v/>
      </c>
      <c r="CC320" t="str">
        <f>""</f>
        <v/>
      </c>
      <c r="CD320" t="str">
        <f>""</f>
        <v/>
      </c>
      <c r="CE320" t="str">
        <f>""</f>
        <v/>
      </c>
      <c r="CF320" t="str">
        <f>""</f>
        <v/>
      </c>
      <c r="CG320" t="str">
        <f>""</f>
        <v/>
      </c>
      <c r="CH320" t="str">
        <f>""</f>
        <v/>
      </c>
      <c r="CI320" t="str">
        <f>""</f>
        <v/>
      </c>
      <c r="CJ320" t="str">
        <f>""</f>
        <v/>
      </c>
      <c r="CK320" t="str">
        <f>""</f>
        <v/>
      </c>
      <c r="CL320" t="str">
        <f>""</f>
        <v/>
      </c>
      <c r="CM320" t="str">
        <f>""</f>
        <v/>
      </c>
      <c r="CN320" t="str">
        <f>""</f>
        <v/>
      </c>
      <c r="CO320" t="str">
        <f>""</f>
        <v/>
      </c>
      <c r="CP320" t="str">
        <f>""</f>
        <v/>
      </c>
      <c r="CQ320" t="str">
        <f>""</f>
        <v/>
      </c>
      <c r="CR320" t="str">
        <f>""</f>
        <v/>
      </c>
      <c r="CS320" t="str">
        <f>""</f>
        <v/>
      </c>
      <c r="CT320" t="str">
        <f>""</f>
        <v/>
      </c>
      <c r="CU320" t="str">
        <f>""</f>
        <v/>
      </c>
      <c r="CV320" t="str">
        <f>""</f>
        <v/>
      </c>
      <c r="CW320" t="str">
        <f>""</f>
        <v/>
      </c>
      <c r="CX320" t="str">
        <f>""</f>
        <v/>
      </c>
      <c r="CY320" t="str">
        <f>""</f>
        <v/>
      </c>
      <c r="CZ320" t="str">
        <f>""</f>
        <v/>
      </c>
      <c r="DA320" t="str">
        <f>""</f>
        <v/>
      </c>
      <c r="DB320" t="str">
        <f>""</f>
        <v/>
      </c>
      <c r="DC320" t="str">
        <f>""</f>
        <v/>
      </c>
      <c r="DD320" t="str">
        <f>""</f>
        <v/>
      </c>
      <c r="DE320" t="str">
        <f>""</f>
        <v/>
      </c>
      <c r="DF320" t="str">
        <f>""</f>
        <v/>
      </c>
      <c r="DG320" t="str">
        <f>""</f>
        <v/>
      </c>
      <c r="DH320" t="str">
        <f>""</f>
        <v/>
      </c>
      <c r="DI320" t="str">
        <f>""</f>
        <v/>
      </c>
      <c r="DJ320" t="str">
        <f>""</f>
        <v/>
      </c>
      <c r="DK320" t="str">
        <f>""</f>
        <v/>
      </c>
      <c r="DL320" t="str">
        <f>""</f>
        <v/>
      </c>
      <c r="DM320" t="str">
        <f>""</f>
        <v/>
      </c>
      <c r="DN320" t="str">
        <f>""</f>
        <v/>
      </c>
      <c r="DO320" t="str">
        <f>""</f>
        <v/>
      </c>
      <c r="DP320" t="str">
        <f>""</f>
        <v/>
      </c>
      <c r="DQ320" t="str">
        <f>""</f>
        <v/>
      </c>
      <c r="DR320" t="str">
        <f>""</f>
        <v/>
      </c>
      <c r="DS320" t="str">
        <f>""</f>
        <v/>
      </c>
      <c r="DT320" t="str">
        <f>""</f>
        <v/>
      </c>
      <c r="DU320" t="str">
        <f>""</f>
        <v/>
      </c>
    </row>
    <row r="321" spans="1:125">
      <c r="A321" t="str">
        <f>$A$151</f>
        <v xml:space="preserve">    All Equity REITs</v>
      </c>
      <c r="B321" t="str">
        <f>$B$151</f>
        <v>RECFAVEQ Index</v>
      </c>
      <c r="C321" t="str">
        <f>$C$151</f>
        <v>PR005</v>
      </c>
      <c r="D321" t="str">
        <f>$D$151</f>
        <v>PX_LAST</v>
      </c>
      <c r="E321" t="str">
        <f>$E$151</f>
        <v>动态</v>
      </c>
      <c r="F321" t="str">
        <f ca="1">BDH($B$151,$C$151,$B$181,$B$182,CONCATENATE("Per=",$B$179),"Dts=H","Dir=H",CONCATENATE("Points=",$B$180),"Sort=R","Days=A","Fill=B",CONCATENATE("FX=", $B$178) )</f>
        <v>#N/A Authorization</v>
      </c>
      <c r="BN321" t="str">
        <f>""</f>
        <v/>
      </c>
      <c r="BO321" t="str">
        <f>""</f>
        <v/>
      </c>
      <c r="BP321" t="str">
        <f>""</f>
        <v/>
      </c>
      <c r="BQ321" t="str">
        <f>""</f>
        <v/>
      </c>
      <c r="BR321" t="str">
        <f>""</f>
        <v/>
      </c>
      <c r="BS321" t="str">
        <f>""</f>
        <v/>
      </c>
      <c r="BT321" t="str">
        <f>""</f>
        <v/>
      </c>
      <c r="BU321" t="str">
        <f>""</f>
        <v/>
      </c>
      <c r="BV321" t="str">
        <f>""</f>
        <v/>
      </c>
      <c r="BW321" t="str">
        <f>""</f>
        <v/>
      </c>
      <c r="BX321" t="str">
        <f>""</f>
        <v/>
      </c>
      <c r="BY321" t="str">
        <f>""</f>
        <v/>
      </c>
      <c r="BZ321" t="str">
        <f>""</f>
        <v/>
      </c>
      <c r="CA321" t="str">
        <f>""</f>
        <v/>
      </c>
      <c r="CB321" t="str">
        <f>""</f>
        <v/>
      </c>
      <c r="CC321" t="str">
        <f>""</f>
        <v/>
      </c>
      <c r="CD321" t="str">
        <f>""</f>
        <v/>
      </c>
      <c r="CE321" t="str">
        <f>""</f>
        <v/>
      </c>
      <c r="CF321" t="str">
        <f>""</f>
        <v/>
      </c>
      <c r="CG321" t="str">
        <f>""</f>
        <v/>
      </c>
      <c r="CH321" t="str">
        <f>""</f>
        <v/>
      </c>
      <c r="CI321" t="str">
        <f>""</f>
        <v/>
      </c>
      <c r="CJ321" t="str">
        <f>""</f>
        <v/>
      </c>
      <c r="CK321" t="str">
        <f>""</f>
        <v/>
      </c>
      <c r="CL321" t="str">
        <f>""</f>
        <v/>
      </c>
      <c r="CM321" t="str">
        <f>""</f>
        <v/>
      </c>
      <c r="CN321" t="str">
        <f>""</f>
        <v/>
      </c>
      <c r="CO321" t="str">
        <f>""</f>
        <v/>
      </c>
      <c r="CP321" t="str">
        <f>""</f>
        <v/>
      </c>
      <c r="CQ321" t="str">
        <f>""</f>
        <v/>
      </c>
      <c r="CR321" t="str">
        <f>""</f>
        <v/>
      </c>
      <c r="CS321" t="str">
        <f>""</f>
        <v/>
      </c>
      <c r="CT321" t="str">
        <f>""</f>
        <v/>
      </c>
      <c r="CU321" t="str">
        <f>""</f>
        <v/>
      </c>
      <c r="CV321" t="str">
        <f>""</f>
        <v/>
      </c>
      <c r="CW321" t="str">
        <f>""</f>
        <v/>
      </c>
      <c r="CX321" t="str">
        <f>""</f>
        <v/>
      </c>
      <c r="CY321" t="str">
        <f>""</f>
        <v/>
      </c>
      <c r="CZ321" t="str">
        <f>""</f>
        <v/>
      </c>
      <c r="DA321" t="str">
        <f>""</f>
        <v/>
      </c>
      <c r="DB321" t="str">
        <f>""</f>
        <v/>
      </c>
      <c r="DC321" t="str">
        <f>""</f>
        <v/>
      </c>
      <c r="DD321" t="str">
        <f>""</f>
        <v/>
      </c>
      <c r="DE321" t="str">
        <f>""</f>
        <v/>
      </c>
      <c r="DF321" t="str">
        <f>""</f>
        <v/>
      </c>
      <c r="DG321" t="str">
        <f>""</f>
        <v/>
      </c>
      <c r="DH321" t="str">
        <f>""</f>
        <v/>
      </c>
      <c r="DI321" t="str">
        <f>""</f>
        <v/>
      </c>
      <c r="DJ321" t="str">
        <f>""</f>
        <v/>
      </c>
      <c r="DK321" t="str">
        <f>""</f>
        <v/>
      </c>
      <c r="DL321" t="str">
        <f>""</f>
        <v/>
      </c>
      <c r="DM321" t="str">
        <f>""</f>
        <v/>
      </c>
      <c r="DN321" t="str">
        <f>""</f>
        <v/>
      </c>
      <c r="DO321" t="str">
        <f>""</f>
        <v/>
      </c>
      <c r="DP321" t="str">
        <f>""</f>
        <v/>
      </c>
      <c r="DQ321" t="str">
        <f>""</f>
        <v/>
      </c>
      <c r="DR321" t="str">
        <f>""</f>
        <v/>
      </c>
      <c r="DS321" t="str">
        <f>""</f>
        <v/>
      </c>
      <c r="DT321" t="str">
        <f>""</f>
        <v/>
      </c>
      <c r="DU321" t="str">
        <f>""</f>
        <v/>
      </c>
    </row>
    <row r="322" spans="1:125">
      <c r="A322" t="str">
        <f>$A$152</f>
        <v xml:space="preserve">    Apartment REITs</v>
      </c>
      <c r="B322" t="str">
        <f>$B$152</f>
        <v>RECFAVAP Index</v>
      </c>
      <c r="C322" t="str">
        <f>$C$152</f>
        <v>PR005</v>
      </c>
      <c r="D322" t="str">
        <f>$D$152</f>
        <v>PX_LAST</v>
      </c>
      <c r="E322" t="str">
        <f>$E$152</f>
        <v>动态</v>
      </c>
      <c r="F322" t="str">
        <f ca="1">BDH($B$152,$C$152,$B$181,$B$182,CONCATENATE("Per=",$B$179),"Dts=H","Dir=H",CONCATENATE("Points=",$B$180),"Sort=R","Days=A","Fill=B",CONCATENATE("FX=", $B$178) )</f>
        <v>#N/A Authorization</v>
      </c>
      <c r="BN322" t="str">
        <f>""</f>
        <v/>
      </c>
      <c r="BO322" t="str">
        <f>""</f>
        <v/>
      </c>
      <c r="BP322" t="str">
        <f>""</f>
        <v/>
      </c>
      <c r="BQ322" t="str">
        <f>""</f>
        <v/>
      </c>
      <c r="BR322" t="str">
        <f>""</f>
        <v/>
      </c>
      <c r="BS322" t="str">
        <f>""</f>
        <v/>
      </c>
      <c r="BT322" t="str">
        <f>""</f>
        <v/>
      </c>
      <c r="BU322" t="str">
        <f>""</f>
        <v/>
      </c>
      <c r="BV322" t="str">
        <f>""</f>
        <v/>
      </c>
      <c r="BW322" t="str">
        <f>""</f>
        <v/>
      </c>
      <c r="BX322" t="str">
        <f>""</f>
        <v/>
      </c>
      <c r="BY322" t="str">
        <f>""</f>
        <v/>
      </c>
      <c r="BZ322" t="str">
        <f>""</f>
        <v/>
      </c>
      <c r="CA322" t="str">
        <f>""</f>
        <v/>
      </c>
      <c r="CB322" t="str">
        <f>""</f>
        <v/>
      </c>
      <c r="CC322" t="str">
        <f>""</f>
        <v/>
      </c>
      <c r="CD322" t="str">
        <f>""</f>
        <v/>
      </c>
      <c r="CE322" t="str">
        <f>""</f>
        <v/>
      </c>
      <c r="CF322" t="str">
        <f>""</f>
        <v/>
      </c>
      <c r="CG322" t="str">
        <f>""</f>
        <v/>
      </c>
      <c r="CH322" t="str">
        <f>""</f>
        <v/>
      </c>
      <c r="CI322" t="str">
        <f>""</f>
        <v/>
      </c>
      <c r="CJ322" t="str">
        <f>""</f>
        <v/>
      </c>
      <c r="CK322" t="str">
        <f>""</f>
        <v/>
      </c>
      <c r="CL322" t="str">
        <f>""</f>
        <v/>
      </c>
      <c r="CM322" t="str">
        <f>""</f>
        <v/>
      </c>
      <c r="CN322" t="str">
        <f>""</f>
        <v/>
      </c>
      <c r="CO322" t="str">
        <f>""</f>
        <v/>
      </c>
      <c r="CP322" t="str">
        <f>""</f>
        <v/>
      </c>
      <c r="CQ322" t="str">
        <f>""</f>
        <v/>
      </c>
      <c r="CR322" t="str">
        <f>""</f>
        <v/>
      </c>
      <c r="CS322" t="str">
        <f>""</f>
        <v/>
      </c>
      <c r="CT322" t="str">
        <f>""</f>
        <v/>
      </c>
      <c r="CU322" t="str">
        <f>""</f>
        <v/>
      </c>
      <c r="CV322" t="str">
        <f>""</f>
        <v/>
      </c>
      <c r="CW322" t="str">
        <f>""</f>
        <v/>
      </c>
      <c r="CX322" t="str">
        <f>""</f>
        <v/>
      </c>
      <c r="CY322" t="str">
        <f>""</f>
        <v/>
      </c>
      <c r="CZ322" t="str">
        <f>""</f>
        <v/>
      </c>
      <c r="DA322" t="str">
        <f>""</f>
        <v/>
      </c>
      <c r="DB322" t="str">
        <f>""</f>
        <v/>
      </c>
      <c r="DC322" t="str">
        <f>""</f>
        <v/>
      </c>
      <c r="DD322" t="str">
        <f>""</f>
        <v/>
      </c>
      <c r="DE322" t="str">
        <f>""</f>
        <v/>
      </c>
      <c r="DF322" t="str">
        <f>""</f>
        <v/>
      </c>
      <c r="DG322" t="str">
        <f>""</f>
        <v/>
      </c>
      <c r="DH322" t="str">
        <f>""</f>
        <v/>
      </c>
      <c r="DI322" t="str">
        <f>""</f>
        <v/>
      </c>
      <c r="DJ322" t="str">
        <f>""</f>
        <v/>
      </c>
      <c r="DK322" t="str">
        <f>""</f>
        <v/>
      </c>
      <c r="DL322" t="str">
        <f>""</f>
        <v/>
      </c>
      <c r="DM322" t="str">
        <f>""</f>
        <v/>
      </c>
      <c r="DN322" t="str">
        <f>""</f>
        <v/>
      </c>
      <c r="DO322" t="str">
        <f>""</f>
        <v/>
      </c>
      <c r="DP322" t="str">
        <f>""</f>
        <v/>
      </c>
      <c r="DQ322" t="str">
        <f>""</f>
        <v/>
      </c>
      <c r="DR322" t="str">
        <f>""</f>
        <v/>
      </c>
      <c r="DS322" t="str">
        <f>""</f>
        <v/>
      </c>
      <c r="DT322" t="str">
        <f>""</f>
        <v/>
      </c>
      <c r="DU322" t="str">
        <f>""</f>
        <v/>
      </c>
    </row>
    <row r="323" spans="1:125">
      <c r="A323" t="str">
        <f>$A$153</f>
        <v xml:space="preserve">    Retail REITs</v>
      </c>
      <c r="B323" t="str">
        <f>$B$153</f>
        <v>RECFAVRT Index</v>
      </c>
      <c r="C323" t="str">
        <f>$C$153</f>
        <v>PR005</v>
      </c>
      <c r="D323" t="str">
        <f>$D$153</f>
        <v>PX_LAST</v>
      </c>
      <c r="E323" t="str">
        <f>$E$153</f>
        <v>动态</v>
      </c>
      <c r="F323" t="str">
        <f ca="1">BDH($B$153,$C$153,$B$181,$B$182,CONCATENATE("Per=",$B$179),"Dts=H","Dir=H",CONCATENATE("Points=",$B$180),"Sort=R","Days=A","Fill=B",CONCATENATE("FX=", $B$178) )</f>
        <v>#N/A Authorization</v>
      </c>
      <c r="BN323" t="str">
        <f>""</f>
        <v/>
      </c>
      <c r="BO323" t="str">
        <f>""</f>
        <v/>
      </c>
      <c r="BP323" t="str">
        <f>""</f>
        <v/>
      </c>
      <c r="BQ323" t="str">
        <f>""</f>
        <v/>
      </c>
      <c r="BR323" t="str">
        <f>""</f>
        <v/>
      </c>
      <c r="BS323" t="str">
        <f>""</f>
        <v/>
      </c>
      <c r="BT323" t="str">
        <f>""</f>
        <v/>
      </c>
      <c r="BU323" t="str">
        <f>""</f>
        <v/>
      </c>
      <c r="BV323" t="str">
        <f>""</f>
        <v/>
      </c>
      <c r="BW323" t="str">
        <f>""</f>
        <v/>
      </c>
      <c r="BX323" t="str">
        <f>""</f>
        <v/>
      </c>
      <c r="BY323" t="str">
        <f>""</f>
        <v/>
      </c>
      <c r="BZ323" t="str">
        <f>""</f>
        <v/>
      </c>
      <c r="CA323" t="str">
        <f>""</f>
        <v/>
      </c>
      <c r="CB323" t="str">
        <f>""</f>
        <v/>
      </c>
      <c r="CC323" t="str">
        <f>""</f>
        <v/>
      </c>
      <c r="CD323" t="str">
        <f>""</f>
        <v/>
      </c>
      <c r="CE323" t="str">
        <f>""</f>
        <v/>
      </c>
      <c r="CF323" t="str">
        <f>""</f>
        <v/>
      </c>
      <c r="CG323" t="str">
        <f>""</f>
        <v/>
      </c>
      <c r="CH323" t="str">
        <f>""</f>
        <v/>
      </c>
      <c r="CI323" t="str">
        <f>""</f>
        <v/>
      </c>
      <c r="CJ323" t="str">
        <f>""</f>
        <v/>
      </c>
      <c r="CK323" t="str">
        <f>""</f>
        <v/>
      </c>
      <c r="CL323" t="str">
        <f>""</f>
        <v/>
      </c>
      <c r="CM323" t="str">
        <f>""</f>
        <v/>
      </c>
      <c r="CN323" t="str">
        <f>""</f>
        <v/>
      </c>
      <c r="CO323" t="str">
        <f>""</f>
        <v/>
      </c>
      <c r="CP323" t="str">
        <f>""</f>
        <v/>
      </c>
      <c r="CQ323" t="str">
        <f>""</f>
        <v/>
      </c>
      <c r="CR323" t="str">
        <f>""</f>
        <v/>
      </c>
      <c r="CS323" t="str">
        <f>""</f>
        <v/>
      </c>
      <c r="CT323" t="str">
        <f>""</f>
        <v/>
      </c>
      <c r="CU323" t="str">
        <f>""</f>
        <v/>
      </c>
      <c r="CV323" t="str">
        <f>""</f>
        <v/>
      </c>
      <c r="CW323" t="str">
        <f>""</f>
        <v/>
      </c>
      <c r="CX323" t="str">
        <f>""</f>
        <v/>
      </c>
      <c r="CY323" t="str">
        <f>""</f>
        <v/>
      </c>
      <c r="CZ323" t="str">
        <f>""</f>
        <v/>
      </c>
      <c r="DA323" t="str">
        <f>""</f>
        <v/>
      </c>
      <c r="DB323" t="str">
        <f>""</f>
        <v/>
      </c>
      <c r="DC323" t="str">
        <f>""</f>
        <v/>
      </c>
      <c r="DD323" t="str">
        <f>""</f>
        <v/>
      </c>
      <c r="DE323" t="str">
        <f>""</f>
        <v/>
      </c>
      <c r="DF323" t="str">
        <f>""</f>
        <v/>
      </c>
      <c r="DG323" t="str">
        <f>""</f>
        <v/>
      </c>
      <c r="DH323" t="str">
        <f>""</f>
        <v/>
      </c>
      <c r="DI323" t="str">
        <f>""</f>
        <v/>
      </c>
      <c r="DJ323" t="str">
        <f>""</f>
        <v/>
      </c>
      <c r="DK323" t="str">
        <f>""</f>
        <v/>
      </c>
      <c r="DL323" t="str">
        <f>""</f>
        <v/>
      </c>
      <c r="DM323" t="str">
        <f>""</f>
        <v/>
      </c>
      <c r="DN323" t="str">
        <f>""</f>
        <v/>
      </c>
      <c r="DO323" t="str">
        <f>""</f>
        <v/>
      </c>
      <c r="DP323" t="str">
        <f>""</f>
        <v/>
      </c>
      <c r="DQ323" t="str">
        <f>""</f>
        <v/>
      </c>
      <c r="DR323" t="str">
        <f>""</f>
        <v/>
      </c>
      <c r="DS323" t="str">
        <f>""</f>
        <v/>
      </c>
      <c r="DT323" t="str">
        <f>""</f>
        <v/>
      </c>
      <c r="DU323" t="str">
        <f>""</f>
        <v/>
      </c>
    </row>
    <row r="324" spans="1:125">
      <c r="A324" t="str">
        <f>$A$154</f>
        <v xml:space="preserve">    Industrial REITs</v>
      </c>
      <c r="B324" t="str">
        <f>$B$154</f>
        <v>RECFAVIN Index</v>
      </c>
      <c r="C324" t="str">
        <f>$C$154</f>
        <v>PR005</v>
      </c>
      <c r="D324" t="str">
        <f>$D$154</f>
        <v>PX_LAST</v>
      </c>
      <c r="E324" t="str">
        <f>$E$154</f>
        <v>动态</v>
      </c>
      <c r="F324" t="str">
        <f ca="1">BDH($B$154,$C$154,$B$181,$B$182,CONCATENATE("Per=",$B$179),"Dts=H","Dir=H",CONCATENATE("Points=",$B$180),"Sort=R","Days=A","Fill=B",CONCATENATE("FX=", $B$178) )</f>
        <v>#N/A Authorization</v>
      </c>
      <c r="BN324" t="str">
        <f>""</f>
        <v/>
      </c>
      <c r="BO324" t="str">
        <f>""</f>
        <v/>
      </c>
      <c r="BP324" t="str">
        <f>""</f>
        <v/>
      </c>
      <c r="BQ324" t="str">
        <f>""</f>
        <v/>
      </c>
      <c r="BR324" t="str">
        <f>""</f>
        <v/>
      </c>
      <c r="BS324" t="str">
        <f>""</f>
        <v/>
      </c>
      <c r="BT324" t="str">
        <f>""</f>
        <v/>
      </c>
      <c r="BU324" t="str">
        <f>""</f>
        <v/>
      </c>
      <c r="BV324" t="str">
        <f>""</f>
        <v/>
      </c>
      <c r="BW324" t="str">
        <f>""</f>
        <v/>
      </c>
      <c r="BX324" t="str">
        <f>""</f>
        <v/>
      </c>
      <c r="BY324" t="str">
        <f>""</f>
        <v/>
      </c>
      <c r="BZ324" t="str">
        <f>""</f>
        <v/>
      </c>
      <c r="CA324" t="str">
        <f>""</f>
        <v/>
      </c>
      <c r="CB324" t="str">
        <f>""</f>
        <v/>
      </c>
      <c r="CC324" t="str">
        <f>""</f>
        <v/>
      </c>
      <c r="CD324" t="str">
        <f>""</f>
        <v/>
      </c>
      <c r="CE324" t="str">
        <f>""</f>
        <v/>
      </c>
      <c r="CF324" t="str">
        <f>""</f>
        <v/>
      </c>
      <c r="CG324" t="str">
        <f>""</f>
        <v/>
      </c>
      <c r="CH324" t="str">
        <f>""</f>
        <v/>
      </c>
      <c r="CI324" t="str">
        <f>""</f>
        <v/>
      </c>
      <c r="CJ324" t="str">
        <f>""</f>
        <v/>
      </c>
      <c r="CK324" t="str">
        <f>""</f>
        <v/>
      </c>
      <c r="CL324" t="str">
        <f>""</f>
        <v/>
      </c>
      <c r="CM324" t="str">
        <f>""</f>
        <v/>
      </c>
      <c r="CN324" t="str">
        <f>""</f>
        <v/>
      </c>
      <c r="CO324" t="str">
        <f>""</f>
        <v/>
      </c>
      <c r="CP324" t="str">
        <f>""</f>
        <v/>
      </c>
      <c r="CQ324" t="str">
        <f>""</f>
        <v/>
      </c>
      <c r="CR324" t="str">
        <f>""</f>
        <v/>
      </c>
      <c r="CS324" t="str">
        <f>""</f>
        <v/>
      </c>
      <c r="CT324" t="str">
        <f>""</f>
        <v/>
      </c>
      <c r="CU324" t="str">
        <f>""</f>
        <v/>
      </c>
      <c r="CV324" t="str">
        <f>""</f>
        <v/>
      </c>
      <c r="CW324" t="str">
        <f>""</f>
        <v/>
      </c>
      <c r="CX324" t="str">
        <f>""</f>
        <v/>
      </c>
      <c r="CY324" t="str">
        <f>""</f>
        <v/>
      </c>
      <c r="CZ324" t="str">
        <f>""</f>
        <v/>
      </c>
      <c r="DA324" t="str">
        <f>""</f>
        <v/>
      </c>
      <c r="DB324" t="str">
        <f>""</f>
        <v/>
      </c>
      <c r="DC324" t="str">
        <f>""</f>
        <v/>
      </c>
      <c r="DD324" t="str">
        <f>""</f>
        <v/>
      </c>
      <c r="DE324" t="str">
        <f>""</f>
        <v/>
      </c>
      <c r="DF324" t="str">
        <f>""</f>
        <v/>
      </c>
      <c r="DG324" t="str">
        <f>""</f>
        <v/>
      </c>
      <c r="DH324" t="str">
        <f>""</f>
        <v/>
      </c>
      <c r="DI324" t="str">
        <f>""</f>
        <v/>
      </c>
      <c r="DJ324" t="str">
        <f>""</f>
        <v/>
      </c>
      <c r="DK324" t="str">
        <f>""</f>
        <v/>
      </c>
      <c r="DL324" t="str">
        <f>""</f>
        <v/>
      </c>
      <c r="DM324" t="str">
        <f>""</f>
        <v/>
      </c>
      <c r="DN324" t="str">
        <f>""</f>
        <v/>
      </c>
      <c r="DO324" t="str">
        <f>""</f>
        <v/>
      </c>
      <c r="DP324" t="str">
        <f>""</f>
        <v/>
      </c>
      <c r="DQ324" t="str">
        <f>""</f>
        <v/>
      </c>
      <c r="DR324" t="str">
        <f>""</f>
        <v/>
      </c>
      <c r="DS324" t="str">
        <f>""</f>
        <v/>
      </c>
      <c r="DT324" t="str">
        <f>""</f>
        <v/>
      </c>
      <c r="DU324" t="str">
        <f>""</f>
        <v/>
      </c>
    </row>
    <row r="325" spans="1:125">
      <c r="A325" t="str">
        <f>$A$155</f>
        <v xml:space="preserve">    Office REITs</v>
      </c>
      <c r="B325" t="str">
        <f>$B$155</f>
        <v>RECFAVOF Index</v>
      </c>
      <c r="C325" t="str">
        <f>$C$155</f>
        <v>PR005</v>
      </c>
      <c r="D325" t="str">
        <f>$D$155</f>
        <v>PX_LAST</v>
      </c>
      <c r="E325" t="str">
        <f>$E$155</f>
        <v>动态</v>
      </c>
      <c r="F325" t="str">
        <f ca="1">BDH($B$155,$C$155,$B$181,$B$182,CONCATENATE("Per=",$B$179),"Dts=H","Dir=H",CONCATENATE("Points=",$B$180),"Sort=R","Days=A","Fill=B",CONCATENATE("FX=", $B$178) )</f>
        <v>#N/A Authorization</v>
      </c>
      <c r="BN325" t="str">
        <f>""</f>
        <v/>
      </c>
      <c r="BO325" t="str">
        <f>""</f>
        <v/>
      </c>
      <c r="BP325" t="str">
        <f>""</f>
        <v/>
      </c>
      <c r="BQ325" t="str">
        <f>""</f>
        <v/>
      </c>
      <c r="BR325" t="str">
        <f>""</f>
        <v/>
      </c>
      <c r="BS325" t="str">
        <f>""</f>
        <v/>
      </c>
      <c r="BT325" t="str">
        <f>""</f>
        <v/>
      </c>
      <c r="BU325" t="str">
        <f>""</f>
        <v/>
      </c>
      <c r="BV325" t="str">
        <f>""</f>
        <v/>
      </c>
      <c r="BW325" t="str">
        <f>""</f>
        <v/>
      </c>
      <c r="BX325" t="str">
        <f>""</f>
        <v/>
      </c>
      <c r="BY325" t="str">
        <f>""</f>
        <v/>
      </c>
      <c r="BZ325" t="str">
        <f>""</f>
        <v/>
      </c>
      <c r="CA325" t="str">
        <f>""</f>
        <v/>
      </c>
      <c r="CB325" t="str">
        <f>""</f>
        <v/>
      </c>
      <c r="CC325" t="str">
        <f>""</f>
        <v/>
      </c>
      <c r="CD325" t="str">
        <f>""</f>
        <v/>
      </c>
      <c r="CE325" t="str">
        <f>""</f>
        <v/>
      </c>
      <c r="CF325" t="str">
        <f>""</f>
        <v/>
      </c>
      <c r="CG325" t="str">
        <f>""</f>
        <v/>
      </c>
      <c r="CH325" t="str">
        <f>""</f>
        <v/>
      </c>
      <c r="CI325" t="str">
        <f>""</f>
        <v/>
      </c>
      <c r="CJ325" t="str">
        <f>""</f>
        <v/>
      </c>
      <c r="CK325" t="str">
        <f>""</f>
        <v/>
      </c>
      <c r="CL325" t="str">
        <f>""</f>
        <v/>
      </c>
      <c r="CM325" t="str">
        <f>""</f>
        <v/>
      </c>
      <c r="CN325" t="str">
        <f>""</f>
        <v/>
      </c>
      <c r="CO325" t="str">
        <f>""</f>
        <v/>
      </c>
      <c r="CP325" t="str">
        <f>""</f>
        <v/>
      </c>
      <c r="CQ325" t="str">
        <f>""</f>
        <v/>
      </c>
      <c r="CR325" t="str">
        <f>""</f>
        <v/>
      </c>
      <c r="CS325" t="str">
        <f>""</f>
        <v/>
      </c>
      <c r="CT325" t="str">
        <f>""</f>
        <v/>
      </c>
      <c r="CU325" t="str">
        <f>""</f>
        <v/>
      </c>
      <c r="CV325" t="str">
        <f>""</f>
        <v/>
      </c>
      <c r="CW325" t="str">
        <f>""</f>
        <v/>
      </c>
      <c r="CX325" t="str">
        <f>""</f>
        <v/>
      </c>
      <c r="CY325" t="str">
        <f>""</f>
        <v/>
      </c>
      <c r="CZ325" t="str">
        <f>""</f>
        <v/>
      </c>
      <c r="DA325" t="str">
        <f>""</f>
        <v/>
      </c>
      <c r="DB325" t="str">
        <f>""</f>
        <v/>
      </c>
      <c r="DC325" t="str">
        <f>""</f>
        <v/>
      </c>
      <c r="DD325" t="str">
        <f>""</f>
        <v/>
      </c>
      <c r="DE325" t="str">
        <f>""</f>
        <v/>
      </c>
      <c r="DF325" t="str">
        <f>""</f>
        <v/>
      </c>
      <c r="DG325" t="str">
        <f>""</f>
        <v/>
      </c>
      <c r="DH325" t="str">
        <f>""</f>
        <v/>
      </c>
      <c r="DI325" t="str">
        <f>""</f>
        <v/>
      </c>
      <c r="DJ325" t="str">
        <f>""</f>
        <v/>
      </c>
      <c r="DK325" t="str">
        <f>""</f>
        <v/>
      </c>
      <c r="DL325" t="str">
        <f>""</f>
        <v/>
      </c>
      <c r="DM325" t="str">
        <f>""</f>
        <v/>
      </c>
      <c r="DN325" t="str">
        <f>""</f>
        <v/>
      </c>
      <c r="DO325" t="str">
        <f>""</f>
        <v/>
      </c>
      <c r="DP325" t="str">
        <f>""</f>
        <v/>
      </c>
      <c r="DQ325" t="str">
        <f>""</f>
        <v/>
      </c>
      <c r="DR325" t="str">
        <f>""</f>
        <v/>
      </c>
      <c r="DS325" t="str">
        <f>""</f>
        <v/>
      </c>
      <c r="DT325" t="str">
        <f>""</f>
        <v/>
      </c>
      <c r="DU325" t="str">
        <f>""</f>
        <v/>
      </c>
    </row>
    <row r="326" spans="1:125">
      <c r="A326" t="str">
        <f>$A$158</f>
        <v xml:space="preserve">    NAREIT Average Price-to-FFO - All Equity REITs</v>
      </c>
      <c r="B326" t="str">
        <f>$B$158</f>
        <v>RECFAVPF Index</v>
      </c>
      <c r="C326" t="str">
        <f>$C$158</f>
        <v>PR005</v>
      </c>
      <c r="D326" t="str">
        <f>$D$158</f>
        <v>PX_LAST</v>
      </c>
      <c r="E326" t="str">
        <f>$E$158</f>
        <v>动态</v>
      </c>
      <c r="F326" t="str">
        <f ca="1">BDH($B$158,$C$158,$B$181,$B$182,CONCATENATE("Per=",$B$179),"Dts=H","Dir=H",CONCATENATE("Points=",$B$180),"Sort=R","Days=A","Fill=B",CONCATENATE("FX=", $B$178) )</f>
        <v>#N/A Authorization</v>
      </c>
      <c r="BN326" t="str">
        <f>""</f>
        <v/>
      </c>
      <c r="BO326" t="str">
        <f>""</f>
        <v/>
      </c>
      <c r="BP326" t="str">
        <f>""</f>
        <v/>
      </c>
      <c r="BQ326" t="str">
        <f>""</f>
        <v/>
      </c>
      <c r="BR326" t="str">
        <f>""</f>
        <v/>
      </c>
      <c r="BS326" t="str">
        <f>""</f>
        <v/>
      </c>
      <c r="BT326" t="str">
        <f>""</f>
        <v/>
      </c>
      <c r="BU326" t="str">
        <f>""</f>
        <v/>
      </c>
      <c r="BV326" t="str">
        <f>""</f>
        <v/>
      </c>
      <c r="BW326" t="str">
        <f>""</f>
        <v/>
      </c>
      <c r="BX326" t="str">
        <f>""</f>
        <v/>
      </c>
      <c r="BY326" t="str">
        <f>""</f>
        <v/>
      </c>
      <c r="BZ326" t="str">
        <f>""</f>
        <v/>
      </c>
      <c r="CA326" t="str">
        <f>""</f>
        <v/>
      </c>
      <c r="CB326" t="str">
        <f>""</f>
        <v/>
      </c>
      <c r="CC326" t="str">
        <f>""</f>
        <v/>
      </c>
      <c r="CD326" t="str">
        <f>""</f>
        <v/>
      </c>
      <c r="CE326" t="str">
        <f>""</f>
        <v/>
      </c>
      <c r="CF326" t="str">
        <f>""</f>
        <v/>
      </c>
      <c r="CG326" t="str">
        <f>""</f>
        <v/>
      </c>
      <c r="CH326" t="str">
        <f>""</f>
        <v/>
      </c>
      <c r="CI326" t="str">
        <f>""</f>
        <v/>
      </c>
      <c r="CJ326" t="str">
        <f>""</f>
        <v/>
      </c>
      <c r="CK326" t="str">
        <f>""</f>
        <v/>
      </c>
      <c r="CL326" t="str">
        <f>""</f>
        <v/>
      </c>
      <c r="CM326" t="str">
        <f>""</f>
        <v/>
      </c>
      <c r="CN326" t="str">
        <f>""</f>
        <v/>
      </c>
      <c r="CO326" t="str">
        <f>""</f>
        <v/>
      </c>
      <c r="CP326" t="str">
        <f>""</f>
        <v/>
      </c>
      <c r="CQ326" t="str">
        <f>""</f>
        <v/>
      </c>
      <c r="CR326" t="str">
        <f>""</f>
        <v/>
      </c>
      <c r="CS326" t="str">
        <f>""</f>
        <v/>
      </c>
      <c r="CT326" t="str">
        <f>""</f>
        <v/>
      </c>
      <c r="CU326" t="str">
        <f>""</f>
        <v/>
      </c>
      <c r="CV326" t="str">
        <f>""</f>
        <v/>
      </c>
      <c r="CW326" t="str">
        <f>""</f>
        <v/>
      </c>
      <c r="CX326" t="str">
        <f>""</f>
        <v/>
      </c>
      <c r="CY326" t="str">
        <f>""</f>
        <v/>
      </c>
      <c r="CZ326" t="str">
        <f>""</f>
        <v/>
      </c>
      <c r="DA326" t="str">
        <f>""</f>
        <v/>
      </c>
      <c r="DB326" t="str">
        <f>""</f>
        <v/>
      </c>
      <c r="DC326" t="str">
        <f>""</f>
        <v/>
      </c>
      <c r="DD326" t="str">
        <f>""</f>
        <v/>
      </c>
      <c r="DE326" t="str">
        <f>""</f>
        <v/>
      </c>
      <c r="DF326" t="str">
        <f>""</f>
        <v/>
      </c>
      <c r="DG326" t="str">
        <f>""</f>
        <v/>
      </c>
      <c r="DH326" t="str">
        <f>""</f>
        <v/>
      </c>
      <c r="DI326" t="str">
        <f>""</f>
        <v/>
      </c>
      <c r="DJ326" t="str">
        <f>""</f>
        <v/>
      </c>
      <c r="DK326" t="str">
        <f>""</f>
        <v/>
      </c>
      <c r="DL326" t="str">
        <f>""</f>
        <v/>
      </c>
      <c r="DM326" t="str">
        <f>""</f>
        <v/>
      </c>
      <c r="DN326" t="str">
        <f>""</f>
        <v/>
      </c>
      <c r="DO326" t="str">
        <f>""</f>
        <v/>
      </c>
      <c r="DP326" t="str">
        <f>""</f>
        <v/>
      </c>
      <c r="DQ326" t="str">
        <f>""</f>
        <v/>
      </c>
      <c r="DR326" t="str">
        <f>""</f>
        <v/>
      </c>
      <c r="DS326" t="str">
        <f>""</f>
        <v/>
      </c>
      <c r="DT326" t="str">
        <f>""</f>
        <v/>
      </c>
      <c r="DU326" t="str">
        <f>""</f>
        <v/>
      </c>
    </row>
    <row r="327" spans="1:125">
      <c r="A327" t="str">
        <f>$A$159</f>
        <v xml:space="preserve">    房地产投资信托平均债务/资产账面价值</v>
      </c>
      <c r="B327" t="str">
        <f>$B$159</f>
        <v>RECFAVDB Index</v>
      </c>
      <c r="C327" t="str">
        <f>$C$159</f>
        <v>PR005</v>
      </c>
      <c r="D327" t="str">
        <f>$D$159</f>
        <v>PX_LAST</v>
      </c>
      <c r="E327" t="str">
        <f>$E$159</f>
        <v>动态</v>
      </c>
      <c r="F327" t="str">
        <f ca="1">BDH($B$159,$C$159,$B$181,$B$182,CONCATENATE("Per=",$B$179),"Dts=H","Dir=H",CONCATENATE("Points=",$B$180),"Sort=R","Days=A","Fill=B",CONCATENATE("FX=", $B$178) )</f>
        <v>#N/A Authorization</v>
      </c>
      <c r="BN327" t="str">
        <f>""</f>
        <v/>
      </c>
      <c r="BO327" t="str">
        <f>""</f>
        <v/>
      </c>
      <c r="BP327" t="str">
        <f>""</f>
        <v/>
      </c>
      <c r="BQ327" t="str">
        <f>""</f>
        <v/>
      </c>
      <c r="BR327" t="str">
        <f>""</f>
        <v/>
      </c>
      <c r="BS327" t="str">
        <f>""</f>
        <v/>
      </c>
      <c r="BT327" t="str">
        <f>""</f>
        <v/>
      </c>
      <c r="BU327" t="str">
        <f>""</f>
        <v/>
      </c>
      <c r="BV327" t="str">
        <f>""</f>
        <v/>
      </c>
      <c r="BW327" t="str">
        <f>""</f>
        <v/>
      </c>
      <c r="BX327" t="str">
        <f>""</f>
        <v/>
      </c>
      <c r="BY327" t="str">
        <f>""</f>
        <v/>
      </c>
      <c r="BZ327" t="str">
        <f>""</f>
        <v/>
      </c>
      <c r="CA327" t="str">
        <f>""</f>
        <v/>
      </c>
      <c r="CB327" t="str">
        <f>""</f>
        <v/>
      </c>
      <c r="CC327" t="str">
        <f>""</f>
        <v/>
      </c>
      <c r="CD327" t="str">
        <f>""</f>
        <v/>
      </c>
      <c r="CE327" t="str">
        <f>""</f>
        <v/>
      </c>
      <c r="CF327" t="str">
        <f>""</f>
        <v/>
      </c>
      <c r="CG327" t="str">
        <f>""</f>
        <v/>
      </c>
      <c r="CH327" t="str">
        <f>""</f>
        <v/>
      </c>
      <c r="CI327" t="str">
        <f>""</f>
        <v/>
      </c>
      <c r="CJ327" t="str">
        <f>""</f>
        <v/>
      </c>
      <c r="CK327" t="str">
        <f>""</f>
        <v/>
      </c>
      <c r="CL327" t="str">
        <f>""</f>
        <v/>
      </c>
      <c r="CM327" t="str">
        <f>""</f>
        <v/>
      </c>
      <c r="CN327" t="str">
        <f>""</f>
        <v/>
      </c>
      <c r="CO327" t="str">
        <f>""</f>
        <v/>
      </c>
      <c r="CP327" t="str">
        <f>""</f>
        <v/>
      </c>
      <c r="CQ327" t="str">
        <f>""</f>
        <v/>
      </c>
      <c r="CR327" t="str">
        <f>""</f>
        <v/>
      </c>
      <c r="CS327" t="str">
        <f>""</f>
        <v/>
      </c>
      <c r="CT327" t="str">
        <f>""</f>
        <v/>
      </c>
      <c r="CU327" t="str">
        <f>""</f>
        <v/>
      </c>
      <c r="CV327" t="str">
        <f>""</f>
        <v/>
      </c>
      <c r="CW327" t="str">
        <f>""</f>
        <v/>
      </c>
      <c r="CX327" t="str">
        <f>""</f>
        <v/>
      </c>
      <c r="CY327" t="str">
        <f>""</f>
        <v/>
      </c>
      <c r="CZ327" t="str">
        <f>""</f>
        <v/>
      </c>
      <c r="DA327" t="str">
        <f>""</f>
        <v/>
      </c>
      <c r="DB327" t="str">
        <f>""</f>
        <v/>
      </c>
      <c r="DC327" t="str">
        <f>""</f>
        <v/>
      </c>
      <c r="DD327" t="str">
        <f>""</f>
        <v/>
      </c>
      <c r="DE327" t="str">
        <f>""</f>
        <v/>
      </c>
      <c r="DF327" t="str">
        <f>""</f>
        <v/>
      </c>
      <c r="DG327" t="str">
        <f>""</f>
        <v/>
      </c>
      <c r="DH327" t="str">
        <f>""</f>
        <v/>
      </c>
      <c r="DI327" t="str">
        <f>""</f>
        <v/>
      </c>
      <c r="DJ327" t="str">
        <f>""</f>
        <v/>
      </c>
      <c r="DK327" t="str">
        <f>""</f>
        <v/>
      </c>
      <c r="DL327" t="str">
        <f>""</f>
        <v/>
      </c>
      <c r="DM327" t="str">
        <f>""</f>
        <v/>
      </c>
      <c r="DN327" t="str">
        <f>""</f>
        <v/>
      </c>
      <c r="DO327" t="str">
        <f>""</f>
        <v/>
      </c>
      <c r="DP327" t="str">
        <f>""</f>
        <v/>
      </c>
      <c r="DQ327" t="str">
        <f>""</f>
        <v/>
      </c>
      <c r="DR327" t="str">
        <f>""</f>
        <v/>
      </c>
      <c r="DS327" t="str">
        <f>""</f>
        <v/>
      </c>
      <c r="DT327" t="str">
        <f>""</f>
        <v/>
      </c>
      <c r="DU327" t="str">
        <f>""</f>
        <v/>
      </c>
    </row>
    <row r="328" spans="1:125">
      <c r="A328" t="str">
        <f>$A$160</f>
        <v xml:space="preserve">    房地产投资信托平均债务/资产市值</v>
      </c>
      <c r="B328" t="str">
        <f>$B$160</f>
        <v>RECFAVDM Index</v>
      </c>
      <c r="C328" t="str">
        <f>$C$160</f>
        <v>PR005</v>
      </c>
      <c r="D328" t="str">
        <f>$D$160</f>
        <v>PX_LAST</v>
      </c>
      <c r="E328" t="str">
        <f>$E$160</f>
        <v>动态</v>
      </c>
      <c r="F328" t="str">
        <f ca="1">BDH($B$160,$C$160,$B$181,$B$182,CONCATENATE("Per=",$B$179),"Dts=H","Dir=H",CONCATENATE("Points=",$B$180),"Sort=R","Days=A","Fill=B",CONCATENATE("FX=", $B$178) )</f>
        <v>#N/A Authorization</v>
      </c>
      <c r="BN328" t="str">
        <f>""</f>
        <v/>
      </c>
      <c r="BO328" t="str">
        <f>""</f>
        <v/>
      </c>
      <c r="BP328" t="str">
        <f>""</f>
        <v/>
      </c>
      <c r="BQ328" t="str">
        <f>""</f>
        <v/>
      </c>
      <c r="BR328" t="str">
        <f>""</f>
        <v/>
      </c>
      <c r="BS328" t="str">
        <f>""</f>
        <v/>
      </c>
      <c r="BT328" t="str">
        <f>""</f>
        <v/>
      </c>
      <c r="BU328" t="str">
        <f>""</f>
        <v/>
      </c>
      <c r="BV328" t="str">
        <f>""</f>
        <v/>
      </c>
      <c r="BW328" t="str">
        <f>""</f>
        <v/>
      </c>
      <c r="BX328" t="str">
        <f>""</f>
        <v/>
      </c>
      <c r="BY328" t="str">
        <f>""</f>
        <v/>
      </c>
      <c r="BZ328" t="str">
        <f>""</f>
        <v/>
      </c>
      <c r="CA328" t="str">
        <f>""</f>
        <v/>
      </c>
      <c r="CB328" t="str">
        <f>""</f>
        <v/>
      </c>
      <c r="CC328" t="str">
        <f>""</f>
        <v/>
      </c>
      <c r="CD328" t="str">
        <f>""</f>
        <v/>
      </c>
      <c r="CE328" t="str">
        <f>""</f>
        <v/>
      </c>
      <c r="CF328" t="str">
        <f>""</f>
        <v/>
      </c>
      <c r="CG328" t="str">
        <f>""</f>
        <v/>
      </c>
      <c r="CH328" t="str">
        <f>""</f>
        <v/>
      </c>
      <c r="CI328" t="str">
        <f>""</f>
        <v/>
      </c>
      <c r="CJ328" t="str">
        <f>""</f>
        <v/>
      </c>
      <c r="CK328" t="str">
        <f>""</f>
        <v/>
      </c>
      <c r="CL328" t="str">
        <f>""</f>
        <v/>
      </c>
      <c r="CM328" t="str">
        <f>""</f>
        <v/>
      </c>
      <c r="CN328" t="str">
        <f>""</f>
        <v/>
      </c>
      <c r="CO328" t="str">
        <f>""</f>
        <v/>
      </c>
      <c r="CP328" t="str">
        <f>""</f>
        <v/>
      </c>
      <c r="CQ328" t="str">
        <f>""</f>
        <v/>
      </c>
      <c r="CR328" t="str">
        <f>""</f>
        <v/>
      </c>
      <c r="CS328" t="str">
        <f>""</f>
        <v/>
      </c>
      <c r="CT328" t="str">
        <f>""</f>
        <v/>
      </c>
      <c r="CU328" t="str">
        <f>""</f>
        <v/>
      </c>
      <c r="CV328" t="str">
        <f>""</f>
        <v/>
      </c>
      <c r="CW328" t="str">
        <f>""</f>
        <v/>
      </c>
      <c r="CX328" t="str">
        <f>""</f>
        <v/>
      </c>
      <c r="CY328" t="str">
        <f>""</f>
        <v/>
      </c>
      <c r="CZ328" t="str">
        <f>""</f>
        <v/>
      </c>
      <c r="DA328" t="str">
        <f>""</f>
        <v/>
      </c>
      <c r="DB328" t="str">
        <f>""</f>
        <v/>
      </c>
      <c r="DC328" t="str">
        <f>""</f>
        <v/>
      </c>
      <c r="DD328" t="str">
        <f>""</f>
        <v/>
      </c>
      <c r="DE328" t="str">
        <f>""</f>
        <v/>
      </c>
      <c r="DF328" t="str">
        <f>""</f>
        <v/>
      </c>
      <c r="DG328" t="str">
        <f>""</f>
        <v/>
      </c>
      <c r="DH328" t="str">
        <f>""</f>
        <v/>
      </c>
      <c r="DI328" t="str">
        <f>""</f>
        <v/>
      </c>
      <c r="DJ328" t="str">
        <f>""</f>
        <v/>
      </c>
      <c r="DK328" t="str">
        <f>""</f>
        <v/>
      </c>
      <c r="DL328" t="str">
        <f>""</f>
        <v/>
      </c>
      <c r="DM328" t="str">
        <f>""</f>
        <v/>
      </c>
      <c r="DN328" t="str">
        <f>""</f>
        <v/>
      </c>
      <c r="DO328" t="str">
        <f>""</f>
        <v/>
      </c>
      <c r="DP328" t="str">
        <f>""</f>
        <v/>
      </c>
      <c r="DQ328" t="str">
        <f>""</f>
        <v/>
      </c>
      <c r="DR328" t="str">
        <f>""</f>
        <v/>
      </c>
      <c r="DS328" t="str">
        <f>""</f>
        <v/>
      </c>
      <c r="DT328" t="str">
        <f>""</f>
        <v/>
      </c>
      <c r="DU328" t="str">
        <f>""</f>
        <v/>
      </c>
    </row>
    <row r="329" spans="1:125">
      <c r="A329" t="str">
        <f>$A$161</f>
        <v xml:space="preserve">    房地产投资信托平均股东权益/总资产</v>
      </c>
      <c r="B329" t="str">
        <f>$B$161</f>
        <v>RECFAVSE Index</v>
      </c>
      <c r="C329" t="str">
        <f>$C$161</f>
        <v>PR005</v>
      </c>
      <c r="D329" t="str">
        <f>$D$161</f>
        <v>PX_LAST</v>
      </c>
      <c r="E329" t="str">
        <f>$E$161</f>
        <v>动态</v>
      </c>
      <c r="F329" t="str">
        <f ca="1">BDH($B$161,$C$161,$B$181,$B$182,CONCATENATE("Per=",$B$179),"Dts=H","Dir=H",CONCATENATE("Points=",$B$180),"Sort=R","Days=A","Fill=B",CONCATENATE("FX=", $B$178) )</f>
        <v>#N/A Authorization</v>
      </c>
      <c r="BN329" t="str">
        <f>""</f>
        <v/>
      </c>
      <c r="BO329" t="str">
        <f>""</f>
        <v/>
      </c>
      <c r="BP329" t="str">
        <f>""</f>
        <v/>
      </c>
      <c r="BQ329" t="str">
        <f>""</f>
        <v/>
      </c>
      <c r="BR329" t="str">
        <f>""</f>
        <v/>
      </c>
      <c r="BS329" t="str">
        <f>""</f>
        <v/>
      </c>
      <c r="BT329" t="str">
        <f>""</f>
        <v/>
      </c>
      <c r="BU329" t="str">
        <f>""</f>
        <v/>
      </c>
      <c r="BV329" t="str">
        <f>""</f>
        <v/>
      </c>
      <c r="BW329" t="str">
        <f>""</f>
        <v/>
      </c>
      <c r="BX329" t="str">
        <f>""</f>
        <v/>
      </c>
      <c r="BY329" t="str">
        <f>""</f>
        <v/>
      </c>
      <c r="BZ329" t="str">
        <f>""</f>
        <v/>
      </c>
      <c r="CA329" t="str">
        <f>""</f>
        <v/>
      </c>
      <c r="CB329" t="str">
        <f>""</f>
        <v/>
      </c>
      <c r="CC329" t="str">
        <f>""</f>
        <v/>
      </c>
      <c r="CD329" t="str">
        <f>""</f>
        <v/>
      </c>
      <c r="CE329" t="str">
        <f>""</f>
        <v/>
      </c>
      <c r="CF329" t="str">
        <f>""</f>
        <v/>
      </c>
      <c r="CG329" t="str">
        <f>""</f>
        <v/>
      </c>
      <c r="CH329" t="str">
        <f>""</f>
        <v/>
      </c>
      <c r="CI329" t="str">
        <f>""</f>
        <v/>
      </c>
      <c r="CJ329" t="str">
        <f>""</f>
        <v/>
      </c>
      <c r="CK329" t="str">
        <f>""</f>
        <v/>
      </c>
      <c r="CL329" t="str">
        <f>""</f>
        <v/>
      </c>
      <c r="CM329" t="str">
        <f>""</f>
        <v/>
      </c>
      <c r="CN329" t="str">
        <f>""</f>
        <v/>
      </c>
      <c r="CO329" t="str">
        <f>""</f>
        <v/>
      </c>
      <c r="CP329" t="str">
        <f>""</f>
        <v/>
      </c>
      <c r="CQ329" t="str">
        <f>""</f>
        <v/>
      </c>
      <c r="CR329" t="str">
        <f>""</f>
        <v/>
      </c>
      <c r="CS329" t="str">
        <f>""</f>
        <v/>
      </c>
      <c r="CT329" t="str">
        <f>""</f>
        <v/>
      </c>
      <c r="CU329" t="str">
        <f>""</f>
        <v/>
      </c>
      <c r="CV329" t="str">
        <f>""</f>
        <v/>
      </c>
      <c r="CW329" t="str">
        <f>""</f>
        <v/>
      </c>
      <c r="CX329" t="str">
        <f>""</f>
        <v/>
      </c>
      <c r="CY329" t="str">
        <f>""</f>
        <v/>
      </c>
      <c r="CZ329" t="str">
        <f>""</f>
        <v/>
      </c>
      <c r="DA329" t="str">
        <f>""</f>
        <v/>
      </c>
      <c r="DB329" t="str">
        <f>""</f>
        <v/>
      </c>
      <c r="DC329" t="str">
        <f>""</f>
        <v/>
      </c>
      <c r="DD329" t="str">
        <f>""</f>
        <v/>
      </c>
      <c r="DE329" t="str">
        <f>""</f>
        <v/>
      </c>
      <c r="DF329" t="str">
        <f>""</f>
        <v/>
      </c>
      <c r="DG329" t="str">
        <f>""</f>
        <v/>
      </c>
      <c r="DH329" t="str">
        <f>""</f>
        <v/>
      </c>
      <c r="DI329" t="str">
        <f>""</f>
        <v/>
      </c>
      <c r="DJ329" t="str">
        <f>""</f>
        <v/>
      </c>
      <c r="DK329" t="str">
        <f>""</f>
        <v/>
      </c>
      <c r="DL329" t="str">
        <f>""</f>
        <v/>
      </c>
      <c r="DM329" t="str">
        <f>""</f>
        <v/>
      </c>
      <c r="DN329" t="str">
        <f>""</f>
        <v/>
      </c>
      <c r="DO329" t="str">
        <f>""</f>
        <v/>
      </c>
      <c r="DP329" t="str">
        <f>""</f>
        <v/>
      </c>
      <c r="DQ329" t="str">
        <f>""</f>
        <v/>
      </c>
      <c r="DR329" t="str">
        <f>""</f>
        <v/>
      </c>
      <c r="DS329" t="str">
        <f>""</f>
        <v/>
      </c>
      <c r="DT329" t="str">
        <f>""</f>
        <v/>
      </c>
      <c r="DU329" t="str">
        <f>""</f>
        <v/>
      </c>
    </row>
    <row r="330" spans="1:125">
      <c r="A330" t="str">
        <f>$A$162</f>
        <v xml:space="preserve">    房地产投资信托平均利息支出/净营业利润</v>
      </c>
      <c r="B330" t="str">
        <f>$B$162</f>
        <v>RECFAVIE Index</v>
      </c>
      <c r="C330" t="str">
        <f>$C$162</f>
        <v>PR005</v>
      </c>
      <c r="D330" t="str">
        <f>$D$162</f>
        <v>PX_LAST</v>
      </c>
      <c r="E330" t="str">
        <f>$E$162</f>
        <v>动态</v>
      </c>
      <c r="F330" t="str">
        <f ca="1">BDH($B$162,$C$162,$B$181,$B$182,CONCATENATE("Per=",$B$179),"Dts=H","Dir=H",CONCATENATE("Points=",$B$180),"Sort=R","Days=A","Fill=B",CONCATENATE("FX=", $B$178) )</f>
        <v>#N/A Authorization</v>
      </c>
      <c r="BN330" t="str">
        <f>""</f>
        <v/>
      </c>
      <c r="BO330" t="str">
        <f>""</f>
        <v/>
      </c>
      <c r="BP330" t="str">
        <f>""</f>
        <v/>
      </c>
      <c r="BQ330" t="str">
        <f>""</f>
        <v/>
      </c>
      <c r="BR330" t="str">
        <f>""</f>
        <v/>
      </c>
      <c r="BS330" t="str">
        <f>""</f>
        <v/>
      </c>
      <c r="BT330" t="str">
        <f>""</f>
        <v/>
      </c>
      <c r="BU330" t="str">
        <f>""</f>
        <v/>
      </c>
      <c r="BV330" t="str">
        <f>""</f>
        <v/>
      </c>
      <c r="BW330" t="str">
        <f>""</f>
        <v/>
      </c>
      <c r="BX330" t="str">
        <f>""</f>
        <v/>
      </c>
      <c r="BY330" t="str">
        <f>""</f>
        <v/>
      </c>
      <c r="BZ330" t="str">
        <f>""</f>
        <v/>
      </c>
      <c r="CA330" t="str">
        <f>""</f>
        <v/>
      </c>
      <c r="CB330" t="str">
        <f>""</f>
        <v/>
      </c>
      <c r="CC330" t="str">
        <f>""</f>
        <v/>
      </c>
      <c r="CD330" t="str">
        <f>""</f>
        <v/>
      </c>
      <c r="CE330" t="str">
        <f>""</f>
        <v/>
      </c>
      <c r="CF330" t="str">
        <f>""</f>
        <v/>
      </c>
      <c r="CG330" t="str">
        <f>""</f>
        <v/>
      </c>
      <c r="CH330" t="str">
        <f>""</f>
        <v/>
      </c>
      <c r="CI330" t="str">
        <f>""</f>
        <v/>
      </c>
      <c r="CJ330" t="str">
        <f>""</f>
        <v/>
      </c>
      <c r="CK330" t="str">
        <f>""</f>
        <v/>
      </c>
      <c r="CL330" t="str">
        <f>""</f>
        <v/>
      </c>
      <c r="CM330" t="str">
        <f>""</f>
        <v/>
      </c>
      <c r="CN330" t="str">
        <f>""</f>
        <v/>
      </c>
      <c r="CO330" t="str">
        <f>""</f>
        <v/>
      </c>
      <c r="CP330" t="str">
        <f>""</f>
        <v/>
      </c>
      <c r="CQ330" t="str">
        <f>""</f>
        <v/>
      </c>
      <c r="CR330" t="str">
        <f>""</f>
        <v/>
      </c>
      <c r="CS330" t="str">
        <f>""</f>
        <v/>
      </c>
      <c r="CT330" t="str">
        <f>""</f>
        <v/>
      </c>
      <c r="CU330" t="str">
        <f>""</f>
        <v/>
      </c>
      <c r="CV330" t="str">
        <f>""</f>
        <v/>
      </c>
      <c r="CW330" t="str">
        <f>""</f>
        <v/>
      </c>
      <c r="CX330" t="str">
        <f>""</f>
        <v/>
      </c>
      <c r="CY330" t="str">
        <f>""</f>
        <v/>
      </c>
      <c r="CZ330" t="str">
        <f>""</f>
        <v/>
      </c>
      <c r="DA330" t="str">
        <f>""</f>
        <v/>
      </c>
      <c r="DB330" t="str">
        <f>""</f>
        <v/>
      </c>
      <c r="DC330" t="str">
        <f>""</f>
        <v/>
      </c>
      <c r="DD330" t="str">
        <f>""</f>
        <v/>
      </c>
      <c r="DE330" t="str">
        <f>""</f>
        <v/>
      </c>
      <c r="DF330" t="str">
        <f>""</f>
        <v/>
      </c>
      <c r="DG330" t="str">
        <f>""</f>
        <v/>
      </c>
      <c r="DH330" t="str">
        <f>""</f>
        <v/>
      </c>
      <c r="DI330" t="str">
        <f>""</f>
        <v/>
      </c>
      <c r="DJ330" t="str">
        <f>""</f>
        <v/>
      </c>
      <c r="DK330" t="str">
        <f>""</f>
        <v/>
      </c>
      <c r="DL330" t="str">
        <f>""</f>
        <v/>
      </c>
      <c r="DM330" t="str">
        <f>""</f>
        <v/>
      </c>
      <c r="DN330" t="str">
        <f>""</f>
        <v/>
      </c>
      <c r="DO330" t="str">
        <f>""</f>
        <v/>
      </c>
      <c r="DP330" t="str">
        <f>""</f>
        <v/>
      </c>
      <c r="DQ330" t="str">
        <f>""</f>
        <v/>
      </c>
      <c r="DR330" t="str">
        <f>""</f>
        <v/>
      </c>
      <c r="DS330" t="str">
        <f>""</f>
        <v/>
      </c>
      <c r="DT330" t="str">
        <f>""</f>
        <v/>
      </c>
      <c r="DU330" t="str">
        <f>""</f>
        <v/>
      </c>
    </row>
    <row r="331" spans="1:125">
      <c r="A331" t="str">
        <f>$A$163</f>
        <v xml:space="preserve">    房地产投资信托长期债务利息加权平均</v>
      </c>
      <c r="B331" t="str">
        <f>$B$163</f>
        <v>RECFWALD Index</v>
      </c>
      <c r="C331" t="str">
        <f>$C$163</f>
        <v>PR005</v>
      </c>
      <c r="D331" t="str">
        <f>$D$163</f>
        <v>PX_LAST</v>
      </c>
      <c r="E331" t="str">
        <f>$E$163</f>
        <v>动态</v>
      </c>
      <c r="F331" t="str">
        <f ca="1">BDH($B$163,$C$163,$B$181,$B$182,CONCATENATE("Per=",$B$179),"Dts=H","Dir=H",CONCATENATE("Points=",$B$180),"Sort=R","Days=A","Fill=B",CONCATENATE("FX=", $B$178) )</f>
        <v>#N/A Authorization</v>
      </c>
      <c r="BN331" t="str">
        <f>""</f>
        <v/>
      </c>
      <c r="BO331" t="str">
        <f>""</f>
        <v/>
      </c>
      <c r="BP331" t="str">
        <f>""</f>
        <v/>
      </c>
      <c r="BQ331" t="str">
        <f>""</f>
        <v/>
      </c>
      <c r="BR331" t="str">
        <f>""</f>
        <v/>
      </c>
      <c r="BS331" t="str">
        <f>""</f>
        <v/>
      </c>
      <c r="BT331" t="str">
        <f>""</f>
        <v/>
      </c>
      <c r="BU331" t="str">
        <f>""</f>
        <v/>
      </c>
      <c r="BV331" t="str">
        <f>""</f>
        <v/>
      </c>
      <c r="BW331" t="str">
        <f>""</f>
        <v/>
      </c>
      <c r="BX331" t="str">
        <f>""</f>
        <v/>
      </c>
      <c r="BY331" t="str">
        <f>""</f>
        <v/>
      </c>
      <c r="BZ331" t="str">
        <f>""</f>
        <v/>
      </c>
      <c r="CA331" t="str">
        <f>""</f>
        <v/>
      </c>
      <c r="CB331" t="str">
        <f>""</f>
        <v/>
      </c>
      <c r="CC331" t="str">
        <f>""</f>
        <v/>
      </c>
      <c r="CD331" t="str">
        <f>""</f>
        <v/>
      </c>
      <c r="CE331" t="str">
        <f>""</f>
        <v/>
      </c>
      <c r="CF331" t="str">
        <f>""</f>
        <v/>
      </c>
      <c r="CG331" t="str">
        <f>""</f>
        <v/>
      </c>
      <c r="CH331" t="str">
        <f>""</f>
        <v/>
      </c>
      <c r="CI331" t="str">
        <f>""</f>
        <v/>
      </c>
      <c r="CJ331" t="str">
        <f>""</f>
        <v/>
      </c>
      <c r="CK331" t="str">
        <f>""</f>
        <v/>
      </c>
      <c r="CL331" t="str">
        <f>""</f>
        <v/>
      </c>
      <c r="CM331" t="str">
        <f>""</f>
        <v/>
      </c>
      <c r="CN331" t="str">
        <f>""</f>
        <v/>
      </c>
      <c r="CO331" t="str">
        <f>""</f>
        <v/>
      </c>
      <c r="CP331" t="str">
        <f>""</f>
        <v/>
      </c>
      <c r="CQ331" t="str">
        <f>""</f>
        <v/>
      </c>
      <c r="CR331" t="str">
        <f>""</f>
        <v/>
      </c>
      <c r="CS331" t="str">
        <f>""</f>
        <v/>
      </c>
      <c r="CT331" t="str">
        <f>""</f>
        <v/>
      </c>
      <c r="CU331" t="str">
        <f>""</f>
        <v/>
      </c>
      <c r="CV331" t="str">
        <f>""</f>
        <v/>
      </c>
      <c r="CW331" t="str">
        <f>""</f>
        <v/>
      </c>
      <c r="CX331" t="str">
        <f>""</f>
        <v/>
      </c>
      <c r="CY331" t="str">
        <f>""</f>
        <v/>
      </c>
      <c r="CZ331" t="str">
        <f>""</f>
        <v/>
      </c>
      <c r="DA331" t="str">
        <f>""</f>
        <v/>
      </c>
      <c r="DB331" t="str">
        <f>""</f>
        <v/>
      </c>
      <c r="DC331" t="str">
        <f>""</f>
        <v/>
      </c>
      <c r="DD331" t="str">
        <f>""</f>
        <v/>
      </c>
      <c r="DE331" t="str">
        <f>""</f>
        <v/>
      </c>
      <c r="DF331" t="str">
        <f>""</f>
        <v/>
      </c>
      <c r="DG331" t="str">
        <f>""</f>
        <v/>
      </c>
      <c r="DH331" t="str">
        <f>""</f>
        <v/>
      </c>
      <c r="DI331" t="str">
        <f>""</f>
        <v/>
      </c>
      <c r="DJ331" t="str">
        <f>""</f>
        <v/>
      </c>
      <c r="DK331" t="str">
        <f>""</f>
        <v/>
      </c>
      <c r="DL331" t="str">
        <f>""</f>
        <v/>
      </c>
      <c r="DM331" t="str">
        <f>""</f>
        <v/>
      </c>
      <c r="DN331" t="str">
        <f>""</f>
        <v/>
      </c>
      <c r="DO331" t="str">
        <f>""</f>
        <v/>
      </c>
      <c r="DP331" t="str">
        <f>""</f>
        <v/>
      </c>
      <c r="DQ331" t="str">
        <f>""</f>
        <v/>
      </c>
      <c r="DR331" t="str">
        <f>""</f>
        <v/>
      </c>
      <c r="DS331" t="str">
        <f>""</f>
        <v/>
      </c>
      <c r="DT331" t="str">
        <f>""</f>
        <v/>
      </c>
      <c r="DU331" t="str">
        <f>""</f>
        <v/>
      </c>
    </row>
    <row r="332" spans="1:125">
      <c r="A332" t="str">
        <f>$A$164</f>
        <v xml:space="preserve">    房地产投资信托总债务利息加权平均</v>
      </c>
      <c r="B332" t="str">
        <f>$B$164</f>
        <v>RECFWATD Index</v>
      </c>
      <c r="C332" t="str">
        <f>$C$164</f>
        <v>PR005</v>
      </c>
      <c r="D332" t="str">
        <f>$D$164</f>
        <v>PX_LAST</v>
      </c>
      <c r="E332" t="str">
        <f>$E$164</f>
        <v>动态</v>
      </c>
      <c r="F332" t="str">
        <f ca="1">BDH($B$164,$C$164,$B$181,$B$182,CONCATENATE("Per=",$B$179),"Dts=H","Dir=H",CONCATENATE("Points=",$B$180),"Sort=R","Days=A","Fill=B",CONCATENATE("FX=", $B$178) )</f>
        <v>#N/A Authorization</v>
      </c>
      <c r="BN332" t="str">
        <f>""</f>
        <v/>
      </c>
      <c r="BO332" t="str">
        <f>""</f>
        <v/>
      </c>
      <c r="BP332" t="str">
        <f>""</f>
        <v/>
      </c>
      <c r="BQ332" t="str">
        <f>""</f>
        <v/>
      </c>
      <c r="BR332" t="str">
        <f>""</f>
        <v/>
      </c>
      <c r="BS332" t="str">
        <f>""</f>
        <v/>
      </c>
      <c r="BT332" t="str">
        <f>""</f>
        <v/>
      </c>
      <c r="BU332" t="str">
        <f>""</f>
        <v/>
      </c>
      <c r="BV332" t="str">
        <f>""</f>
        <v/>
      </c>
      <c r="BW332" t="str">
        <f>""</f>
        <v/>
      </c>
      <c r="BX332" t="str">
        <f>""</f>
        <v/>
      </c>
      <c r="BY332" t="str">
        <f>""</f>
        <v/>
      </c>
      <c r="BZ332" t="str">
        <f>""</f>
        <v/>
      </c>
      <c r="CA332" t="str">
        <f>""</f>
        <v/>
      </c>
      <c r="CB332" t="str">
        <f>""</f>
        <v/>
      </c>
      <c r="CC332" t="str">
        <f>""</f>
        <v/>
      </c>
      <c r="CD332" t="str">
        <f>""</f>
        <v/>
      </c>
      <c r="CE332" t="str">
        <f>""</f>
        <v/>
      </c>
      <c r="CF332" t="str">
        <f>""</f>
        <v/>
      </c>
      <c r="CG332" t="str">
        <f>""</f>
        <v/>
      </c>
      <c r="CH332" t="str">
        <f>""</f>
        <v/>
      </c>
      <c r="CI332" t="str">
        <f>""</f>
        <v/>
      </c>
      <c r="CJ332" t="str">
        <f>""</f>
        <v/>
      </c>
      <c r="CK332" t="str">
        <f>""</f>
        <v/>
      </c>
      <c r="CL332" t="str">
        <f>""</f>
        <v/>
      </c>
      <c r="CM332" t="str">
        <f>""</f>
        <v/>
      </c>
      <c r="CN332" t="str">
        <f>""</f>
        <v/>
      </c>
      <c r="CO332" t="str">
        <f>""</f>
        <v/>
      </c>
      <c r="CP332" t="str">
        <f>""</f>
        <v/>
      </c>
      <c r="CQ332" t="str">
        <f>""</f>
        <v/>
      </c>
      <c r="CR332" t="str">
        <f>""</f>
        <v/>
      </c>
      <c r="CS332" t="str">
        <f>""</f>
        <v/>
      </c>
      <c r="CT332" t="str">
        <f>""</f>
        <v/>
      </c>
      <c r="CU332" t="str">
        <f>""</f>
        <v/>
      </c>
      <c r="CV332" t="str">
        <f>""</f>
        <v/>
      </c>
      <c r="CW332" t="str">
        <f>""</f>
        <v/>
      </c>
      <c r="CX332" t="str">
        <f>""</f>
        <v/>
      </c>
      <c r="CY332" t="str">
        <f>""</f>
        <v/>
      </c>
      <c r="CZ332" t="str">
        <f>""</f>
        <v/>
      </c>
      <c r="DA332" t="str">
        <f>""</f>
        <v/>
      </c>
      <c r="DB332" t="str">
        <f>""</f>
        <v/>
      </c>
      <c r="DC332" t="str">
        <f>""</f>
        <v/>
      </c>
      <c r="DD332" t="str">
        <f>""</f>
        <v/>
      </c>
      <c r="DE332" t="str">
        <f>""</f>
        <v/>
      </c>
      <c r="DF332" t="str">
        <f>""</f>
        <v/>
      </c>
      <c r="DG332" t="str">
        <f>""</f>
        <v/>
      </c>
      <c r="DH332" t="str">
        <f>""</f>
        <v/>
      </c>
      <c r="DI332" t="str">
        <f>""</f>
        <v/>
      </c>
      <c r="DJ332" t="str">
        <f>""</f>
        <v/>
      </c>
      <c r="DK332" t="str">
        <f>""</f>
        <v/>
      </c>
      <c r="DL332" t="str">
        <f>""</f>
        <v/>
      </c>
      <c r="DM332" t="str">
        <f>""</f>
        <v/>
      </c>
      <c r="DN332" t="str">
        <f>""</f>
        <v/>
      </c>
      <c r="DO332" t="str">
        <f>""</f>
        <v/>
      </c>
      <c r="DP332" t="str">
        <f>""</f>
        <v/>
      </c>
      <c r="DQ332" t="str">
        <f>""</f>
        <v/>
      </c>
      <c r="DR332" t="str">
        <f>""</f>
        <v/>
      </c>
      <c r="DS332" t="str">
        <f>""</f>
        <v/>
      </c>
      <c r="DT332" t="str">
        <f>""</f>
        <v/>
      </c>
      <c r="DU332" t="str">
        <f>""</f>
        <v/>
      </c>
    </row>
    <row r="333" spans="1:125">
      <c r="A333" t="str">
        <f>$A$165</f>
        <v xml:space="preserve">    所有股票房地产投资信托债务的至到期期限加权平均</v>
      </c>
      <c r="B333" t="str">
        <f>$B$165</f>
        <v>RECFWATM Index</v>
      </c>
      <c r="C333" t="str">
        <f>$C$165</f>
        <v>PR005</v>
      </c>
      <c r="D333" t="str">
        <f>$D$165</f>
        <v>PX_LAST</v>
      </c>
      <c r="E333" t="str">
        <f>$E$165</f>
        <v>动态</v>
      </c>
      <c r="F333" t="str">
        <f ca="1">BDH($B$165,$C$165,$B$181,$B$182,CONCATENATE("Per=",$B$179),"Dts=H","Dir=H",CONCATENATE("Points=",$B$180),"Sort=R","Days=A","Fill=B",CONCATENATE("FX=", $B$178) )</f>
        <v>#N/A Authorization</v>
      </c>
      <c r="BN333" t="str">
        <f>""</f>
        <v/>
      </c>
      <c r="BO333" t="str">
        <f>""</f>
        <v/>
      </c>
      <c r="BP333" t="str">
        <f>""</f>
        <v/>
      </c>
      <c r="BQ333" t="str">
        <f>""</f>
        <v/>
      </c>
      <c r="BR333" t="str">
        <f>""</f>
        <v/>
      </c>
      <c r="BS333" t="str">
        <f>""</f>
        <v/>
      </c>
      <c r="BT333" t="str">
        <f>""</f>
        <v/>
      </c>
      <c r="BU333" t="str">
        <f>""</f>
        <v/>
      </c>
      <c r="BV333" t="str">
        <f>""</f>
        <v/>
      </c>
      <c r="BW333" t="str">
        <f>""</f>
        <v/>
      </c>
      <c r="BX333" t="str">
        <f>""</f>
        <v/>
      </c>
      <c r="BY333" t="str">
        <f>""</f>
        <v/>
      </c>
      <c r="BZ333" t="str">
        <f>""</f>
        <v/>
      </c>
      <c r="CA333" t="str">
        <f>""</f>
        <v/>
      </c>
      <c r="CB333" t="str">
        <f>""</f>
        <v/>
      </c>
      <c r="CC333" t="str">
        <f>""</f>
        <v/>
      </c>
      <c r="CD333" t="str">
        <f>""</f>
        <v/>
      </c>
      <c r="CE333" t="str">
        <f>""</f>
        <v/>
      </c>
      <c r="CF333" t="str">
        <f>""</f>
        <v/>
      </c>
      <c r="CG333" t="str">
        <f>""</f>
        <v/>
      </c>
      <c r="CH333" t="str">
        <f>""</f>
        <v/>
      </c>
      <c r="CI333" t="str">
        <f>""</f>
        <v/>
      </c>
      <c r="CJ333" t="str">
        <f>""</f>
        <v/>
      </c>
      <c r="CK333" t="str">
        <f>""</f>
        <v/>
      </c>
      <c r="CL333" t="str">
        <f>""</f>
        <v/>
      </c>
      <c r="CM333" t="str">
        <f>""</f>
        <v/>
      </c>
      <c r="CN333" t="str">
        <f>""</f>
        <v/>
      </c>
      <c r="CO333" t="str">
        <f>""</f>
        <v/>
      </c>
      <c r="CP333" t="str">
        <f>""</f>
        <v/>
      </c>
      <c r="CQ333" t="str">
        <f>""</f>
        <v/>
      </c>
      <c r="CR333" t="str">
        <f>""</f>
        <v/>
      </c>
      <c r="CS333" t="str">
        <f>""</f>
        <v/>
      </c>
      <c r="CT333" t="str">
        <f>""</f>
        <v/>
      </c>
      <c r="CU333" t="str">
        <f>""</f>
        <v/>
      </c>
      <c r="CV333" t="str">
        <f>""</f>
        <v/>
      </c>
      <c r="CW333" t="str">
        <f>""</f>
        <v/>
      </c>
      <c r="CX333" t="str">
        <f>""</f>
        <v/>
      </c>
      <c r="CY333" t="str">
        <f>""</f>
        <v/>
      </c>
      <c r="CZ333" t="str">
        <f>""</f>
        <v/>
      </c>
      <c r="DA333" t="str">
        <f>""</f>
        <v/>
      </c>
      <c r="DB333" t="str">
        <f>""</f>
        <v/>
      </c>
      <c r="DC333" t="str">
        <f>""</f>
        <v/>
      </c>
      <c r="DD333" t="str">
        <f>""</f>
        <v/>
      </c>
      <c r="DE333" t="str">
        <f>""</f>
        <v/>
      </c>
      <c r="DF333" t="str">
        <f>""</f>
        <v/>
      </c>
      <c r="DG333" t="str">
        <f>""</f>
        <v/>
      </c>
      <c r="DH333" t="str">
        <f>""</f>
        <v/>
      </c>
      <c r="DI333" t="str">
        <f>""</f>
        <v/>
      </c>
      <c r="DJ333" t="str">
        <f>""</f>
        <v/>
      </c>
      <c r="DK333" t="str">
        <f>""</f>
        <v/>
      </c>
      <c r="DL333" t="str">
        <f>""</f>
        <v/>
      </c>
      <c r="DM333" t="str">
        <f>""</f>
        <v/>
      </c>
      <c r="DN333" t="str">
        <f>""</f>
        <v/>
      </c>
      <c r="DO333" t="str">
        <f>""</f>
        <v/>
      </c>
      <c r="DP333" t="str">
        <f>""</f>
        <v/>
      </c>
      <c r="DQ333" t="str">
        <f>""</f>
        <v/>
      </c>
      <c r="DR333" t="str">
        <f>""</f>
        <v/>
      </c>
      <c r="DS333" t="str">
        <f>""</f>
        <v/>
      </c>
      <c r="DT333" t="str">
        <f>""</f>
        <v/>
      </c>
      <c r="DU333" t="str">
        <f>""</f>
        <v/>
      </c>
    </row>
    <row r="334" spans="1:125">
      <c r="A334" t="str">
        <f>$A$166</f>
        <v xml:space="preserve">    房地产投资信托平均保障比率</v>
      </c>
      <c r="B334" t="str">
        <f>$B$166</f>
        <v>RECFAVCR Index</v>
      </c>
      <c r="C334" t="str">
        <f>$C$166</f>
        <v>PR005</v>
      </c>
      <c r="D334" t="str">
        <f>$D$166</f>
        <v>PX_LAST</v>
      </c>
      <c r="E334" t="str">
        <f>$E$166</f>
        <v>动态</v>
      </c>
      <c r="F334" t="str">
        <f ca="1">BDH($B$166,$C$166,$B$181,$B$182,CONCATENATE("Per=",$B$179),"Dts=H","Dir=H",CONCATENATE("Points=",$B$180),"Sort=R","Days=A","Fill=B",CONCATENATE("FX=", $B$178) )</f>
        <v>#N/A Authorization</v>
      </c>
      <c r="BN334" t="str">
        <f>""</f>
        <v/>
      </c>
      <c r="BO334" t="str">
        <f>""</f>
        <v/>
      </c>
      <c r="BP334" t="str">
        <f>""</f>
        <v/>
      </c>
      <c r="BQ334" t="str">
        <f>""</f>
        <v/>
      </c>
      <c r="BR334" t="str">
        <f>""</f>
        <v/>
      </c>
      <c r="BS334" t="str">
        <f>""</f>
        <v/>
      </c>
      <c r="BT334" t="str">
        <f>""</f>
        <v/>
      </c>
      <c r="BU334" t="str">
        <f>""</f>
        <v/>
      </c>
      <c r="BV334" t="str">
        <f>""</f>
        <v/>
      </c>
      <c r="BW334" t="str">
        <f>""</f>
        <v/>
      </c>
      <c r="BX334" t="str">
        <f>""</f>
        <v/>
      </c>
      <c r="BY334" t="str">
        <f>""</f>
        <v/>
      </c>
      <c r="BZ334" t="str">
        <f>""</f>
        <v/>
      </c>
      <c r="CA334" t="str">
        <f>""</f>
        <v/>
      </c>
      <c r="CB334" t="str">
        <f>""</f>
        <v/>
      </c>
      <c r="CC334" t="str">
        <f>""</f>
        <v/>
      </c>
      <c r="CD334" t="str">
        <f>""</f>
        <v/>
      </c>
      <c r="CE334" t="str">
        <f>""</f>
        <v/>
      </c>
      <c r="CF334" t="str">
        <f>""</f>
        <v/>
      </c>
      <c r="CG334" t="str">
        <f>""</f>
        <v/>
      </c>
      <c r="CH334" t="str">
        <f>""</f>
        <v/>
      </c>
      <c r="CI334" t="str">
        <f>""</f>
        <v/>
      </c>
      <c r="CJ334" t="str">
        <f>""</f>
        <v/>
      </c>
      <c r="CK334" t="str">
        <f>""</f>
        <v/>
      </c>
      <c r="CL334" t="str">
        <f>""</f>
        <v/>
      </c>
      <c r="CM334" t="str">
        <f>""</f>
        <v/>
      </c>
      <c r="CN334" t="str">
        <f>""</f>
        <v/>
      </c>
      <c r="CO334" t="str">
        <f>""</f>
        <v/>
      </c>
      <c r="CP334" t="str">
        <f>""</f>
        <v/>
      </c>
      <c r="CQ334" t="str">
        <f>""</f>
        <v/>
      </c>
      <c r="CR334" t="str">
        <f>""</f>
        <v/>
      </c>
      <c r="CS334" t="str">
        <f>""</f>
        <v/>
      </c>
      <c r="CT334" t="str">
        <f>""</f>
        <v/>
      </c>
      <c r="CU334" t="str">
        <f>""</f>
        <v/>
      </c>
      <c r="CV334" t="str">
        <f>""</f>
        <v/>
      </c>
      <c r="CW334" t="str">
        <f>""</f>
        <v/>
      </c>
      <c r="CX334" t="str">
        <f>""</f>
        <v/>
      </c>
      <c r="CY334" t="str">
        <f>""</f>
        <v/>
      </c>
      <c r="CZ334" t="str">
        <f>""</f>
        <v/>
      </c>
      <c r="DA334" t="str">
        <f>""</f>
        <v/>
      </c>
      <c r="DB334" t="str">
        <f>""</f>
        <v/>
      </c>
      <c r="DC334" t="str">
        <f>""</f>
        <v/>
      </c>
      <c r="DD334" t="str">
        <f>""</f>
        <v/>
      </c>
      <c r="DE334" t="str">
        <f>""</f>
        <v/>
      </c>
      <c r="DF334" t="str">
        <f>""</f>
        <v/>
      </c>
      <c r="DG334" t="str">
        <f>""</f>
        <v/>
      </c>
      <c r="DH334" t="str">
        <f>""</f>
        <v/>
      </c>
      <c r="DI334" t="str">
        <f>""</f>
        <v/>
      </c>
      <c r="DJ334" t="str">
        <f>""</f>
        <v/>
      </c>
      <c r="DK334" t="str">
        <f>""</f>
        <v/>
      </c>
      <c r="DL334" t="str">
        <f>""</f>
        <v/>
      </c>
      <c r="DM334" t="str">
        <f>""</f>
        <v/>
      </c>
      <c r="DN334" t="str">
        <f>""</f>
        <v/>
      </c>
      <c r="DO334" t="str">
        <f>""</f>
        <v/>
      </c>
      <c r="DP334" t="str">
        <f>""</f>
        <v/>
      </c>
      <c r="DQ334" t="str">
        <f>""</f>
        <v/>
      </c>
      <c r="DR334" t="str">
        <f>""</f>
        <v/>
      </c>
      <c r="DS334" t="str">
        <f>""</f>
        <v/>
      </c>
      <c r="DT334" t="str">
        <f>""</f>
        <v/>
      </c>
      <c r="DU334" t="str">
        <f>""</f>
        <v/>
      </c>
    </row>
    <row r="335" spans="1:125">
      <c r="A335" t="str">
        <f>""</f>
        <v/>
      </c>
      <c r="B335" t="str">
        <f>""</f>
        <v/>
      </c>
      <c r="C335" t="str">
        <f>""</f>
        <v/>
      </c>
      <c r="D335" t="str">
        <f>""</f>
        <v/>
      </c>
      <c r="E335" t="str">
        <f>""</f>
        <v/>
      </c>
      <c r="BN335" t="str">
        <f>""</f>
        <v/>
      </c>
      <c r="BO335" t="str">
        <f>""</f>
        <v/>
      </c>
      <c r="BP335" t="str">
        <f>""</f>
        <v/>
      </c>
      <c r="BQ335" t="str">
        <f>""</f>
        <v/>
      </c>
      <c r="BR335" t="str">
        <f>""</f>
        <v/>
      </c>
      <c r="BS335" t="str">
        <f>""</f>
        <v/>
      </c>
      <c r="BT335" t="str">
        <f>""</f>
        <v/>
      </c>
      <c r="BU335" t="str">
        <f>""</f>
        <v/>
      </c>
      <c r="BV335" t="str">
        <f>""</f>
        <v/>
      </c>
      <c r="BW335" t="str">
        <f>""</f>
        <v/>
      </c>
      <c r="BX335" t="str">
        <f>""</f>
        <v/>
      </c>
      <c r="BY335" t="str">
        <f>""</f>
        <v/>
      </c>
      <c r="BZ335" t="str">
        <f>""</f>
        <v/>
      </c>
      <c r="CA335" t="str">
        <f>""</f>
        <v/>
      </c>
      <c r="CB335" t="str">
        <f>""</f>
        <v/>
      </c>
      <c r="CC335" t="str">
        <f>""</f>
        <v/>
      </c>
      <c r="CD335" t="str">
        <f>""</f>
        <v/>
      </c>
      <c r="CE335" t="str">
        <f>""</f>
        <v/>
      </c>
      <c r="CF335" t="str">
        <f>""</f>
        <v/>
      </c>
      <c r="CG335" t="str">
        <f>""</f>
        <v/>
      </c>
      <c r="CH335" t="str">
        <f>""</f>
        <v/>
      </c>
      <c r="CI335" t="str">
        <f>""</f>
        <v/>
      </c>
      <c r="CJ335" t="str">
        <f>""</f>
        <v/>
      </c>
      <c r="CK335" t="str">
        <f>""</f>
        <v/>
      </c>
      <c r="CL335" t="str">
        <f>""</f>
        <v/>
      </c>
      <c r="CM335" t="str">
        <f>""</f>
        <v/>
      </c>
      <c r="CN335" t="str">
        <f>""</f>
        <v/>
      </c>
      <c r="CO335" t="str">
        <f>""</f>
        <v/>
      </c>
      <c r="CP335" t="str">
        <f>""</f>
        <v/>
      </c>
      <c r="CQ335" t="str">
        <f>""</f>
        <v/>
      </c>
      <c r="CR335" t="str">
        <f>""</f>
        <v/>
      </c>
      <c r="CS335" t="str">
        <f>""</f>
        <v/>
      </c>
      <c r="CT335" t="str">
        <f>""</f>
        <v/>
      </c>
      <c r="CU335" t="str">
        <f>""</f>
        <v/>
      </c>
      <c r="CV335" t="str">
        <f>""</f>
        <v/>
      </c>
      <c r="CW335" t="str">
        <f>""</f>
        <v/>
      </c>
      <c r="CX335" t="str">
        <f>""</f>
        <v/>
      </c>
      <c r="CY335" t="str">
        <f>""</f>
        <v/>
      </c>
      <c r="CZ335" t="str">
        <f>""</f>
        <v/>
      </c>
      <c r="DA335" t="str">
        <f>""</f>
        <v/>
      </c>
      <c r="DB335" t="str">
        <f>""</f>
        <v/>
      </c>
      <c r="DC335" t="str">
        <f>""</f>
        <v/>
      </c>
      <c r="DD335" t="str">
        <f>""</f>
        <v/>
      </c>
      <c r="DE335" t="str">
        <f>""</f>
        <v/>
      </c>
      <c r="DF335" t="str">
        <f>""</f>
        <v/>
      </c>
      <c r="DG335" t="str">
        <f>""</f>
        <v/>
      </c>
      <c r="DH335" t="str">
        <f>""</f>
        <v/>
      </c>
      <c r="DI335" t="str">
        <f>""</f>
        <v/>
      </c>
      <c r="DJ335" t="str">
        <f>""</f>
        <v/>
      </c>
      <c r="DK335" t="str">
        <f>""</f>
        <v/>
      </c>
      <c r="DL335" t="str">
        <f>""</f>
        <v/>
      </c>
      <c r="DM335" t="str">
        <f>""</f>
        <v/>
      </c>
      <c r="DN335" t="str">
        <f>""</f>
        <v/>
      </c>
      <c r="DO335" t="str">
        <f>""</f>
        <v/>
      </c>
      <c r="DP335" t="str">
        <f>""</f>
        <v/>
      </c>
      <c r="DQ335" t="str">
        <f>""</f>
        <v/>
      </c>
      <c r="DR335" t="str">
        <f>""</f>
        <v/>
      </c>
      <c r="DS335" t="str">
        <f>""</f>
        <v/>
      </c>
      <c r="DT335" t="str">
        <f>""</f>
        <v/>
      </c>
      <c r="DU335" t="str">
        <f>""</f>
        <v/>
      </c>
    </row>
    <row r="336" spans="1:125">
      <c r="A336" t="str">
        <f>""</f>
        <v/>
      </c>
      <c r="B336" t="str">
        <f>""</f>
        <v/>
      </c>
      <c r="C336" t="str">
        <f>""</f>
        <v/>
      </c>
      <c r="D336" t="str">
        <f>""</f>
        <v/>
      </c>
      <c r="E336" t="str">
        <f>""</f>
        <v/>
      </c>
      <c r="BN336" t="str">
        <f>""</f>
        <v/>
      </c>
      <c r="BO336" t="str">
        <f>""</f>
        <v/>
      </c>
      <c r="BP336" t="str">
        <f>""</f>
        <v/>
      </c>
      <c r="BQ336" t="str">
        <f>""</f>
        <v/>
      </c>
      <c r="BR336" t="str">
        <f>""</f>
        <v/>
      </c>
      <c r="BS336" t="str">
        <f>""</f>
        <v/>
      </c>
      <c r="BT336" t="str">
        <f>""</f>
        <v/>
      </c>
      <c r="BU336" t="str">
        <f>""</f>
        <v/>
      </c>
      <c r="BV336" t="str">
        <f>""</f>
        <v/>
      </c>
      <c r="BW336" t="str">
        <f>""</f>
        <v/>
      </c>
      <c r="BX336" t="str">
        <f>""</f>
        <v/>
      </c>
      <c r="BY336" t="str">
        <f>""</f>
        <v/>
      </c>
      <c r="BZ336" t="str">
        <f>""</f>
        <v/>
      </c>
      <c r="CA336" t="str">
        <f>""</f>
        <v/>
      </c>
      <c r="CB336" t="str">
        <f>""</f>
        <v/>
      </c>
      <c r="CC336" t="str">
        <f>""</f>
        <v/>
      </c>
      <c r="CD336" t="str">
        <f>""</f>
        <v/>
      </c>
      <c r="CE336" t="str">
        <f>""</f>
        <v/>
      </c>
      <c r="CF336" t="str">
        <f>""</f>
        <v/>
      </c>
      <c r="CG336" t="str">
        <f>""</f>
        <v/>
      </c>
      <c r="CH336" t="str">
        <f>""</f>
        <v/>
      </c>
      <c r="CI336" t="str">
        <f>""</f>
        <v/>
      </c>
      <c r="CJ336" t="str">
        <f>""</f>
        <v/>
      </c>
      <c r="CK336" t="str">
        <f>""</f>
        <v/>
      </c>
      <c r="CL336" t="str">
        <f>""</f>
        <v/>
      </c>
      <c r="CM336" t="str">
        <f>""</f>
        <v/>
      </c>
      <c r="CN336" t="str">
        <f>""</f>
        <v/>
      </c>
      <c r="CO336" t="str">
        <f>""</f>
        <v/>
      </c>
      <c r="CP336" t="str">
        <f>""</f>
        <v/>
      </c>
      <c r="CQ336" t="str">
        <f>""</f>
        <v/>
      </c>
      <c r="CR336" t="str">
        <f>""</f>
        <v/>
      </c>
      <c r="CS336" t="str">
        <f>""</f>
        <v/>
      </c>
      <c r="CT336" t="str">
        <f>""</f>
        <v/>
      </c>
      <c r="CU336" t="str">
        <f>""</f>
        <v/>
      </c>
      <c r="CV336" t="str">
        <f>""</f>
        <v/>
      </c>
      <c r="CW336" t="str">
        <f>""</f>
        <v/>
      </c>
      <c r="CX336" t="str">
        <f>""</f>
        <v/>
      </c>
      <c r="CY336" t="str">
        <f>""</f>
        <v/>
      </c>
      <c r="CZ336" t="str">
        <f>""</f>
        <v/>
      </c>
      <c r="DA336" t="str">
        <f>""</f>
        <v/>
      </c>
      <c r="DB336" t="str">
        <f>""</f>
        <v/>
      </c>
      <c r="DC336" t="str">
        <f>""</f>
        <v/>
      </c>
      <c r="DD336" t="str">
        <f>""</f>
        <v/>
      </c>
      <c r="DE336" t="str">
        <f>""</f>
        <v/>
      </c>
      <c r="DF336" t="str">
        <f>""</f>
        <v/>
      </c>
      <c r="DG336" t="str">
        <f>""</f>
        <v/>
      </c>
      <c r="DH336" t="str">
        <f>""</f>
        <v/>
      </c>
      <c r="DI336" t="str">
        <f>""</f>
        <v/>
      </c>
      <c r="DJ336" t="str">
        <f>""</f>
        <v/>
      </c>
      <c r="DK336" t="str">
        <f>""</f>
        <v/>
      </c>
      <c r="DL336" t="str">
        <f>""</f>
        <v/>
      </c>
      <c r="DM336" t="str">
        <f>""</f>
        <v/>
      </c>
      <c r="DN336" t="str">
        <f>""</f>
        <v/>
      </c>
      <c r="DO336" t="str">
        <f>""</f>
        <v/>
      </c>
      <c r="DP336" t="str">
        <f>""</f>
        <v/>
      </c>
      <c r="DQ336" t="str">
        <f>""</f>
        <v/>
      </c>
      <c r="DR336" t="str">
        <f>""</f>
        <v/>
      </c>
      <c r="DS336" t="str">
        <f>""</f>
        <v/>
      </c>
      <c r="DT336" t="str">
        <f>""</f>
        <v/>
      </c>
      <c r="DU336" t="str">
        <f>""</f>
        <v/>
      </c>
    </row>
    <row r="337" spans="1:125">
      <c r="A337" t="str">
        <f>""</f>
        <v/>
      </c>
      <c r="B337" t="str">
        <f>""</f>
        <v/>
      </c>
      <c r="C337" t="str">
        <f>""</f>
        <v/>
      </c>
      <c r="D337" t="str">
        <f>""</f>
        <v/>
      </c>
      <c r="E337" t="str">
        <f>""</f>
        <v/>
      </c>
      <c r="BN337" t="str">
        <f>""</f>
        <v/>
      </c>
      <c r="BO337" t="str">
        <f>""</f>
        <v/>
      </c>
      <c r="BP337" t="str">
        <f>""</f>
        <v/>
      </c>
      <c r="BQ337" t="str">
        <f>""</f>
        <v/>
      </c>
      <c r="BR337" t="str">
        <f>""</f>
        <v/>
      </c>
      <c r="BS337" t="str">
        <f>""</f>
        <v/>
      </c>
      <c r="BT337" t="str">
        <f>""</f>
        <v/>
      </c>
      <c r="BU337" t="str">
        <f>""</f>
        <v/>
      </c>
      <c r="BV337" t="str">
        <f>""</f>
        <v/>
      </c>
      <c r="BW337" t="str">
        <f>""</f>
        <v/>
      </c>
      <c r="BX337" t="str">
        <f>""</f>
        <v/>
      </c>
      <c r="BY337" t="str">
        <f>""</f>
        <v/>
      </c>
      <c r="BZ337" t="str">
        <f>""</f>
        <v/>
      </c>
      <c r="CA337" t="str">
        <f>""</f>
        <v/>
      </c>
      <c r="CB337" t="str">
        <f>""</f>
        <v/>
      </c>
      <c r="CC337" t="str">
        <f>""</f>
        <v/>
      </c>
      <c r="CD337" t="str">
        <f>""</f>
        <v/>
      </c>
      <c r="CE337" t="str">
        <f>""</f>
        <v/>
      </c>
      <c r="CF337" t="str">
        <f>""</f>
        <v/>
      </c>
      <c r="CG337" t="str">
        <f>""</f>
        <v/>
      </c>
      <c r="CH337" t="str">
        <f>""</f>
        <v/>
      </c>
      <c r="CI337" t="str">
        <f>""</f>
        <v/>
      </c>
      <c r="CJ337" t="str">
        <f>""</f>
        <v/>
      </c>
      <c r="CK337" t="str">
        <f>""</f>
        <v/>
      </c>
      <c r="CL337" t="str">
        <f>""</f>
        <v/>
      </c>
      <c r="CM337" t="str">
        <f>""</f>
        <v/>
      </c>
      <c r="CN337" t="str">
        <f>""</f>
        <v/>
      </c>
      <c r="CO337" t="str">
        <f>""</f>
        <v/>
      </c>
      <c r="CP337" t="str">
        <f>""</f>
        <v/>
      </c>
      <c r="CQ337" t="str">
        <f>""</f>
        <v/>
      </c>
      <c r="CR337" t="str">
        <f>""</f>
        <v/>
      </c>
      <c r="CS337" t="str">
        <f>""</f>
        <v/>
      </c>
      <c r="CT337" t="str">
        <f>""</f>
        <v/>
      </c>
      <c r="CU337" t="str">
        <f>""</f>
        <v/>
      </c>
      <c r="CV337" t="str">
        <f>""</f>
        <v/>
      </c>
      <c r="CW337" t="str">
        <f>""</f>
        <v/>
      </c>
      <c r="CX337" t="str">
        <f>""</f>
        <v/>
      </c>
      <c r="CY337" t="str">
        <f>""</f>
        <v/>
      </c>
      <c r="CZ337" t="str">
        <f>""</f>
        <v/>
      </c>
      <c r="DA337" t="str">
        <f>""</f>
        <v/>
      </c>
      <c r="DB337" t="str">
        <f>""</f>
        <v/>
      </c>
      <c r="DC337" t="str">
        <f>""</f>
        <v/>
      </c>
      <c r="DD337" t="str">
        <f>""</f>
        <v/>
      </c>
      <c r="DE337" t="str">
        <f>""</f>
        <v/>
      </c>
      <c r="DF337" t="str">
        <f>""</f>
        <v/>
      </c>
      <c r="DG337" t="str">
        <f>""</f>
        <v/>
      </c>
      <c r="DH337" t="str">
        <f>""</f>
        <v/>
      </c>
      <c r="DI337" t="str">
        <f>""</f>
        <v/>
      </c>
      <c r="DJ337" t="str">
        <f>""</f>
        <v/>
      </c>
      <c r="DK337" t="str">
        <f>""</f>
        <v/>
      </c>
      <c r="DL337" t="str">
        <f>""</f>
        <v/>
      </c>
      <c r="DM337" t="str">
        <f>""</f>
        <v/>
      </c>
      <c r="DN337" t="str">
        <f>""</f>
        <v/>
      </c>
      <c r="DO337" t="str">
        <f>""</f>
        <v/>
      </c>
      <c r="DP337" t="str">
        <f>""</f>
        <v/>
      </c>
      <c r="DQ337" t="str">
        <f>""</f>
        <v/>
      </c>
      <c r="DR337" t="str">
        <f>""</f>
        <v/>
      </c>
      <c r="DS337" t="str">
        <f>""</f>
        <v/>
      </c>
      <c r="DT337" t="str">
        <f>""</f>
        <v/>
      </c>
      <c r="DU337" t="str">
        <f>""</f>
        <v/>
      </c>
    </row>
    <row r="338" spans="1:125">
      <c r="A338" t="str">
        <f>""</f>
        <v/>
      </c>
      <c r="B338" t="str">
        <f>""</f>
        <v/>
      </c>
      <c r="C338" t="str">
        <f>""</f>
        <v/>
      </c>
      <c r="D338" t="str">
        <f>""</f>
        <v/>
      </c>
      <c r="E338" t="str">
        <f>""</f>
        <v/>
      </c>
      <c r="BN338" t="str">
        <f>""</f>
        <v/>
      </c>
      <c r="BO338" t="str">
        <f>""</f>
        <v/>
      </c>
      <c r="BP338" t="str">
        <f>""</f>
        <v/>
      </c>
      <c r="BQ338" t="str">
        <f>""</f>
        <v/>
      </c>
      <c r="BR338" t="str">
        <f>""</f>
        <v/>
      </c>
      <c r="BS338" t="str">
        <f>""</f>
        <v/>
      </c>
      <c r="BT338" t="str">
        <f>""</f>
        <v/>
      </c>
      <c r="BU338" t="str">
        <f>""</f>
        <v/>
      </c>
      <c r="BV338" t="str">
        <f>""</f>
        <v/>
      </c>
      <c r="BW338" t="str">
        <f>""</f>
        <v/>
      </c>
      <c r="BX338" t="str">
        <f>""</f>
        <v/>
      </c>
      <c r="BY338" t="str">
        <f>""</f>
        <v/>
      </c>
      <c r="BZ338" t="str">
        <f>""</f>
        <v/>
      </c>
      <c r="CA338" t="str">
        <f>""</f>
        <v/>
      </c>
      <c r="CB338" t="str">
        <f>""</f>
        <v/>
      </c>
      <c r="CC338" t="str">
        <f>""</f>
        <v/>
      </c>
      <c r="CD338" t="str">
        <f>""</f>
        <v/>
      </c>
      <c r="CE338" t="str">
        <f>""</f>
        <v/>
      </c>
      <c r="CF338" t="str">
        <f>""</f>
        <v/>
      </c>
      <c r="CG338" t="str">
        <f>""</f>
        <v/>
      </c>
      <c r="CH338" t="str">
        <f>""</f>
        <v/>
      </c>
      <c r="CI338" t="str">
        <f>""</f>
        <v/>
      </c>
      <c r="CJ338" t="str">
        <f>""</f>
        <v/>
      </c>
      <c r="CK338" t="str">
        <f>""</f>
        <v/>
      </c>
      <c r="CL338" t="str">
        <f>""</f>
        <v/>
      </c>
      <c r="CM338" t="str">
        <f>""</f>
        <v/>
      </c>
      <c r="CN338" t="str">
        <f>""</f>
        <v/>
      </c>
      <c r="CO338" t="str">
        <f>""</f>
        <v/>
      </c>
      <c r="CP338" t="str">
        <f>""</f>
        <v/>
      </c>
      <c r="CQ338" t="str">
        <f>""</f>
        <v/>
      </c>
      <c r="CR338" t="str">
        <f>""</f>
        <v/>
      </c>
      <c r="CS338" t="str">
        <f>""</f>
        <v/>
      </c>
      <c r="CT338" t="str">
        <f>""</f>
        <v/>
      </c>
      <c r="CU338" t="str">
        <f>""</f>
        <v/>
      </c>
      <c r="CV338" t="str">
        <f>""</f>
        <v/>
      </c>
      <c r="CW338" t="str">
        <f>""</f>
        <v/>
      </c>
      <c r="CX338" t="str">
        <f>""</f>
        <v/>
      </c>
      <c r="CY338" t="str">
        <f>""</f>
        <v/>
      </c>
      <c r="CZ338" t="str">
        <f>""</f>
        <v/>
      </c>
      <c r="DA338" t="str">
        <f>""</f>
        <v/>
      </c>
      <c r="DB338" t="str">
        <f>""</f>
        <v/>
      </c>
      <c r="DC338" t="str">
        <f>""</f>
        <v/>
      </c>
      <c r="DD338" t="str">
        <f>""</f>
        <v/>
      </c>
      <c r="DE338" t="str">
        <f>""</f>
        <v/>
      </c>
      <c r="DF338" t="str">
        <f>""</f>
        <v/>
      </c>
      <c r="DG338" t="str">
        <f>""</f>
        <v/>
      </c>
      <c r="DH338" t="str">
        <f>""</f>
        <v/>
      </c>
      <c r="DI338" t="str">
        <f>""</f>
        <v/>
      </c>
      <c r="DJ338" t="str">
        <f>""</f>
        <v/>
      </c>
      <c r="DK338" t="str">
        <f>""</f>
        <v/>
      </c>
      <c r="DL338" t="str">
        <f>""</f>
        <v/>
      </c>
      <c r="DM338" t="str">
        <f>""</f>
        <v/>
      </c>
      <c r="DN338" t="str">
        <f>""</f>
        <v/>
      </c>
      <c r="DO338" t="str">
        <f>""</f>
        <v/>
      </c>
      <c r="DP338" t="str">
        <f>""</f>
        <v/>
      </c>
      <c r="DQ338" t="str">
        <f>""</f>
        <v/>
      </c>
      <c r="DR338" t="str">
        <f>""</f>
        <v/>
      </c>
      <c r="DS338" t="str">
        <f>""</f>
        <v/>
      </c>
      <c r="DT338" t="str">
        <f>""</f>
        <v/>
      </c>
      <c r="DU338" t="str">
        <f>""</f>
        <v/>
      </c>
    </row>
    <row r="339" spans="1:125">
      <c r="A339" t="str">
        <f>""</f>
        <v/>
      </c>
      <c r="B339" t="str">
        <f>""</f>
        <v/>
      </c>
      <c r="C339" t="str">
        <f>""</f>
        <v/>
      </c>
      <c r="D339" t="str">
        <f>""</f>
        <v/>
      </c>
      <c r="E339" t="str">
        <f>""</f>
        <v/>
      </c>
      <c r="BN339" t="str">
        <f>""</f>
        <v/>
      </c>
      <c r="BO339" t="str">
        <f>""</f>
        <v/>
      </c>
      <c r="BP339" t="str">
        <f>""</f>
        <v/>
      </c>
      <c r="BQ339" t="str">
        <f>""</f>
        <v/>
      </c>
      <c r="BR339" t="str">
        <f>""</f>
        <v/>
      </c>
      <c r="BS339" t="str">
        <f>""</f>
        <v/>
      </c>
      <c r="BT339" t="str">
        <f>""</f>
        <v/>
      </c>
      <c r="BU339" t="str">
        <f>""</f>
        <v/>
      </c>
      <c r="BV339" t="str">
        <f>""</f>
        <v/>
      </c>
      <c r="BW339" t="str">
        <f>""</f>
        <v/>
      </c>
      <c r="BX339" t="str">
        <f>""</f>
        <v/>
      </c>
      <c r="BY339" t="str">
        <f>""</f>
        <v/>
      </c>
      <c r="BZ339" t="str">
        <f>""</f>
        <v/>
      </c>
      <c r="CA339" t="str">
        <f>""</f>
        <v/>
      </c>
      <c r="CB339" t="str">
        <f>""</f>
        <v/>
      </c>
      <c r="CC339" t="str">
        <f>""</f>
        <v/>
      </c>
      <c r="CD339" t="str">
        <f>""</f>
        <v/>
      </c>
      <c r="CE339" t="str">
        <f>""</f>
        <v/>
      </c>
      <c r="CF339" t="str">
        <f>""</f>
        <v/>
      </c>
      <c r="CG339" t="str">
        <f>""</f>
        <v/>
      </c>
      <c r="CH339" t="str">
        <f>""</f>
        <v/>
      </c>
      <c r="CI339" t="str">
        <f>""</f>
        <v/>
      </c>
      <c r="CJ339" t="str">
        <f>""</f>
        <v/>
      </c>
      <c r="CK339" t="str">
        <f>""</f>
        <v/>
      </c>
      <c r="CL339" t="str">
        <f>""</f>
        <v/>
      </c>
      <c r="CM339" t="str">
        <f>""</f>
        <v/>
      </c>
      <c r="CN339" t="str">
        <f>""</f>
        <v/>
      </c>
      <c r="CO339" t="str">
        <f>""</f>
        <v/>
      </c>
      <c r="CP339" t="str">
        <f>""</f>
        <v/>
      </c>
      <c r="CQ339" t="str">
        <f>""</f>
        <v/>
      </c>
      <c r="CR339" t="str">
        <f>""</f>
        <v/>
      </c>
      <c r="CS339" t="str">
        <f>""</f>
        <v/>
      </c>
      <c r="CT339" t="str">
        <f>""</f>
        <v/>
      </c>
      <c r="CU339" t="str">
        <f>""</f>
        <v/>
      </c>
      <c r="CV339" t="str">
        <f>""</f>
        <v/>
      </c>
      <c r="CW339" t="str">
        <f>""</f>
        <v/>
      </c>
      <c r="CX339" t="str">
        <f>""</f>
        <v/>
      </c>
      <c r="CY339" t="str">
        <f>""</f>
        <v/>
      </c>
      <c r="CZ339" t="str">
        <f>""</f>
        <v/>
      </c>
      <c r="DA339" t="str">
        <f>""</f>
        <v/>
      </c>
      <c r="DB339" t="str">
        <f>""</f>
        <v/>
      </c>
      <c r="DC339" t="str">
        <f>""</f>
        <v/>
      </c>
      <c r="DD339" t="str">
        <f>""</f>
        <v/>
      </c>
      <c r="DE339" t="str">
        <f>""</f>
        <v/>
      </c>
      <c r="DF339" t="str">
        <f>""</f>
        <v/>
      </c>
      <c r="DG339" t="str">
        <f>""</f>
        <v/>
      </c>
      <c r="DH339" t="str">
        <f>""</f>
        <v/>
      </c>
      <c r="DI339" t="str">
        <f>""</f>
        <v/>
      </c>
      <c r="DJ339" t="str">
        <f>""</f>
        <v/>
      </c>
      <c r="DK339" t="str">
        <f>""</f>
        <v/>
      </c>
      <c r="DL339" t="str">
        <f>""</f>
        <v/>
      </c>
      <c r="DM339" t="str">
        <f>""</f>
        <v/>
      </c>
      <c r="DN339" t="str">
        <f>""</f>
        <v/>
      </c>
      <c r="DO339" t="str">
        <f>""</f>
        <v/>
      </c>
      <c r="DP339" t="str">
        <f>""</f>
        <v/>
      </c>
      <c r="DQ339" t="str">
        <f>""</f>
        <v/>
      </c>
      <c r="DR339" t="str">
        <f>""</f>
        <v/>
      </c>
      <c r="DS339" t="str">
        <f>""</f>
        <v/>
      </c>
      <c r="DT339" t="str">
        <f>""</f>
        <v/>
      </c>
      <c r="DU339" t="str">
        <f>""</f>
        <v/>
      </c>
    </row>
    <row r="340" spans="1:125">
      <c r="A340" t="str">
        <f>"~~~~~~~~~~~~~~~~~~~~~"</f>
        <v>~~~~~~~~~~~~~~~~~~~~~</v>
      </c>
      <c r="B340" t="str">
        <f>"~~~~~~~~~~~~~~~~~~~~~"</f>
        <v>~~~~~~~~~~~~~~~~~~~~~</v>
      </c>
      <c r="C340" t="str">
        <f>"~~~~~~~~~~~~~~~~~~~~~"</f>
        <v>~~~~~~~~~~~~~~~~~~~~~</v>
      </c>
      <c r="D340" t="str">
        <f>"~~~~~~~~~~~~~~~~~~~~~"</f>
        <v>~~~~~~~~~~~~~~~~~~~~~</v>
      </c>
      <c r="E340" t="str">
        <f>"~~~~~~~~~~~~~~~~~~~~~"</f>
        <v>~~~~~~~~~~~~~~~~~~~~~</v>
      </c>
      <c r="BN340" t="str">
        <f>""</f>
        <v/>
      </c>
      <c r="BO340" t="str">
        <f>""</f>
        <v/>
      </c>
      <c r="BP340" t="str">
        <f>""</f>
        <v/>
      </c>
      <c r="BQ340" t="str">
        <f>""</f>
        <v/>
      </c>
      <c r="BR340" t="str">
        <f>""</f>
        <v/>
      </c>
      <c r="BS340" t="str">
        <f>""</f>
        <v/>
      </c>
      <c r="BT340" t="str">
        <f>""</f>
        <v/>
      </c>
      <c r="BU340" t="str">
        <f>""</f>
        <v/>
      </c>
      <c r="BV340" t="str">
        <f>""</f>
        <v/>
      </c>
      <c r="BW340" t="str">
        <f>""</f>
        <v/>
      </c>
      <c r="BX340" t="str">
        <f>""</f>
        <v/>
      </c>
      <c r="BY340" t="str">
        <f>""</f>
        <v/>
      </c>
      <c r="BZ340" t="str">
        <f>""</f>
        <v/>
      </c>
      <c r="CA340" t="str">
        <f>""</f>
        <v/>
      </c>
      <c r="CB340" t="str">
        <f>""</f>
        <v/>
      </c>
      <c r="CC340" t="str">
        <f>""</f>
        <v/>
      </c>
      <c r="CD340" t="str">
        <f>""</f>
        <v/>
      </c>
      <c r="CE340" t="str">
        <f>""</f>
        <v/>
      </c>
      <c r="CF340" t="str">
        <f>""</f>
        <v/>
      </c>
      <c r="CG340" t="str">
        <f>""</f>
        <v/>
      </c>
      <c r="CH340" t="str">
        <f>""</f>
        <v/>
      </c>
      <c r="CI340" t="str">
        <f>""</f>
        <v/>
      </c>
      <c r="CJ340" t="str">
        <f>""</f>
        <v/>
      </c>
      <c r="CK340" t="str">
        <f>""</f>
        <v/>
      </c>
      <c r="CL340" t="str">
        <f>""</f>
        <v/>
      </c>
      <c r="CM340" t="str">
        <f>""</f>
        <v/>
      </c>
      <c r="CN340" t="str">
        <f>""</f>
        <v/>
      </c>
      <c r="CO340" t="str">
        <f>""</f>
        <v/>
      </c>
      <c r="CP340" t="str">
        <f>""</f>
        <v/>
      </c>
      <c r="CQ340" t="str">
        <f>""</f>
        <v/>
      </c>
      <c r="CR340" t="str">
        <f>""</f>
        <v/>
      </c>
      <c r="CS340" t="str">
        <f>""</f>
        <v/>
      </c>
      <c r="CT340" t="str">
        <f>""</f>
        <v/>
      </c>
      <c r="CU340" t="str">
        <f>""</f>
        <v/>
      </c>
      <c r="CV340" t="str">
        <f>""</f>
        <v/>
      </c>
      <c r="CW340" t="str">
        <f>""</f>
        <v/>
      </c>
      <c r="CX340" t="str">
        <f>""</f>
        <v/>
      </c>
      <c r="CY340" t="str">
        <f>""</f>
        <v/>
      </c>
      <c r="CZ340" t="str">
        <f>""</f>
        <v/>
      </c>
      <c r="DA340" t="str">
        <f>""</f>
        <v/>
      </c>
      <c r="DB340" t="str">
        <f>""</f>
        <v/>
      </c>
      <c r="DC340" t="str">
        <f>""</f>
        <v/>
      </c>
      <c r="DD340" t="str">
        <f>""</f>
        <v/>
      </c>
      <c r="DE340" t="str">
        <f>""</f>
        <v/>
      </c>
      <c r="DF340" t="str">
        <f>""</f>
        <v/>
      </c>
      <c r="DG340" t="str">
        <f>""</f>
        <v/>
      </c>
      <c r="DH340" t="str">
        <f>""</f>
        <v/>
      </c>
      <c r="DI340" t="str">
        <f>""</f>
        <v/>
      </c>
      <c r="DJ340" t="str">
        <f>""</f>
        <v/>
      </c>
      <c r="DK340" t="str">
        <f>""</f>
        <v/>
      </c>
      <c r="DL340" t="str">
        <f>""</f>
        <v/>
      </c>
      <c r="DM340" t="str">
        <f>""</f>
        <v/>
      </c>
      <c r="DN340" t="str">
        <f>""</f>
        <v/>
      </c>
      <c r="DO340" t="str">
        <f>""</f>
        <v/>
      </c>
      <c r="DP340" t="str">
        <f>""</f>
        <v/>
      </c>
      <c r="DQ340" t="str">
        <f>""</f>
        <v/>
      </c>
      <c r="DR340" t="str">
        <f>""</f>
        <v/>
      </c>
      <c r="DS340" t="str">
        <f>""</f>
        <v/>
      </c>
      <c r="DT340" t="str">
        <f>""</f>
        <v/>
      </c>
      <c r="DU340" t="str">
        <f>""</f>
        <v/>
      </c>
    </row>
    <row r="341" spans="1:125">
      <c r="A341" t="str">
        <f>"Rows below for column date calculation"</f>
        <v>Rows below for column date calculation</v>
      </c>
      <c r="BN341" t="str">
        <f>""</f>
        <v/>
      </c>
      <c r="BO341" t="str">
        <f>""</f>
        <v/>
      </c>
      <c r="BP341" t="str">
        <f>""</f>
        <v/>
      </c>
      <c r="BQ341" t="str">
        <f>""</f>
        <v/>
      </c>
      <c r="BR341" t="str">
        <f>""</f>
        <v/>
      </c>
      <c r="BS341" t="str">
        <f>""</f>
        <v/>
      </c>
      <c r="BT341" t="str">
        <f>""</f>
        <v/>
      </c>
      <c r="BU341" t="str">
        <f>""</f>
        <v/>
      </c>
      <c r="BV341" t="str">
        <f>""</f>
        <v/>
      </c>
      <c r="BW341" t="str">
        <f>""</f>
        <v/>
      </c>
      <c r="BX341" t="str">
        <f>""</f>
        <v/>
      </c>
      <c r="BY341" t="str">
        <f>""</f>
        <v/>
      </c>
      <c r="BZ341" t="str">
        <f>""</f>
        <v/>
      </c>
      <c r="CA341" t="str">
        <f>""</f>
        <v/>
      </c>
      <c r="CB341" t="str">
        <f>""</f>
        <v/>
      </c>
      <c r="CC341" t="str">
        <f>""</f>
        <v/>
      </c>
      <c r="CD341" t="str">
        <f>""</f>
        <v/>
      </c>
      <c r="CE341" t="str">
        <f>""</f>
        <v/>
      </c>
      <c r="CF341" t="str">
        <f>""</f>
        <v/>
      </c>
      <c r="CG341" t="str">
        <f>""</f>
        <v/>
      </c>
      <c r="CH341" t="str">
        <f>""</f>
        <v/>
      </c>
      <c r="CI341" t="str">
        <f>""</f>
        <v/>
      </c>
      <c r="CJ341" t="str">
        <f>""</f>
        <v/>
      </c>
      <c r="CK341" t="str">
        <f>""</f>
        <v/>
      </c>
      <c r="CL341" t="str">
        <f>""</f>
        <v/>
      </c>
      <c r="CM341" t="str">
        <f>""</f>
        <v/>
      </c>
      <c r="CN341" t="str">
        <f>""</f>
        <v/>
      </c>
      <c r="CO341" t="str">
        <f>""</f>
        <v/>
      </c>
      <c r="CP341" t="str">
        <f>""</f>
        <v/>
      </c>
      <c r="CQ341" t="str">
        <f>""</f>
        <v/>
      </c>
      <c r="CR341" t="str">
        <f>""</f>
        <v/>
      </c>
      <c r="CS341" t="str">
        <f>""</f>
        <v/>
      </c>
      <c r="CT341" t="str">
        <f>""</f>
        <v/>
      </c>
      <c r="CU341" t="str">
        <f>""</f>
        <v/>
      </c>
      <c r="CV341" t="str">
        <f>""</f>
        <v/>
      </c>
      <c r="CW341" t="str">
        <f>""</f>
        <v/>
      </c>
      <c r="CX341" t="str">
        <f>""</f>
        <v/>
      </c>
      <c r="CY341" t="str">
        <f>""</f>
        <v/>
      </c>
      <c r="CZ341" t="str">
        <f>""</f>
        <v/>
      </c>
      <c r="DA341" t="str">
        <f>""</f>
        <v/>
      </c>
      <c r="DB341" t="str">
        <f>""</f>
        <v/>
      </c>
      <c r="DC341" t="str">
        <f>""</f>
        <v/>
      </c>
      <c r="DD341" t="str">
        <f>""</f>
        <v/>
      </c>
      <c r="DE341" t="str">
        <f>""</f>
        <v/>
      </c>
      <c r="DF341" t="str">
        <f>""</f>
        <v/>
      </c>
      <c r="DG341" t="str">
        <f>""</f>
        <v/>
      </c>
      <c r="DH341" t="str">
        <f>""</f>
        <v/>
      </c>
      <c r="DI341" t="str">
        <f>""</f>
        <v/>
      </c>
      <c r="DJ341" t="str">
        <f>""</f>
        <v/>
      </c>
      <c r="DK341" t="str">
        <f>""</f>
        <v/>
      </c>
      <c r="DL341" t="str">
        <f>""</f>
        <v/>
      </c>
      <c r="DM341" t="str">
        <f>""</f>
        <v/>
      </c>
      <c r="DN341" t="str">
        <f>""</f>
        <v/>
      </c>
      <c r="DO341" t="str">
        <f>""</f>
        <v/>
      </c>
      <c r="DP341" t="str">
        <f>""</f>
        <v/>
      </c>
      <c r="DQ341" t="str">
        <f>""</f>
        <v/>
      </c>
      <c r="DR341" t="str">
        <f>""</f>
        <v/>
      </c>
      <c r="DS341" t="str">
        <f>""</f>
        <v/>
      </c>
      <c r="DT341" t="str">
        <f>""</f>
        <v/>
      </c>
      <c r="DU341" t="str">
        <f>""</f>
        <v/>
      </c>
    </row>
    <row r="342" spans="1:125">
      <c r="A342" t="str">
        <f>"Downloaded at"</f>
        <v>Downloaded at</v>
      </c>
      <c r="B342">
        <f>DATE(2018, 3,13)</f>
        <v>43172</v>
      </c>
      <c r="C342" t="str">
        <f>""</f>
        <v/>
      </c>
      <c r="D342" t="str">
        <f>""</f>
        <v/>
      </c>
      <c r="E342" t="str">
        <f>""</f>
        <v/>
      </c>
      <c r="BN342" t="str">
        <f>""</f>
        <v/>
      </c>
      <c r="BO342" t="str">
        <f>""</f>
        <v/>
      </c>
      <c r="BP342" t="str">
        <f>""</f>
        <v/>
      </c>
      <c r="BQ342" t="str">
        <f>""</f>
        <v/>
      </c>
      <c r="BR342" t="str">
        <f>""</f>
        <v/>
      </c>
      <c r="BS342" t="str">
        <f>""</f>
        <v/>
      </c>
      <c r="BT342" t="str">
        <f>""</f>
        <v/>
      </c>
      <c r="BU342" t="str">
        <f>""</f>
        <v/>
      </c>
      <c r="BV342" t="str">
        <f>""</f>
        <v/>
      </c>
      <c r="BW342" t="str">
        <f>""</f>
        <v/>
      </c>
      <c r="BX342" t="str">
        <f>""</f>
        <v/>
      </c>
      <c r="BY342" t="str">
        <f>""</f>
        <v/>
      </c>
      <c r="BZ342" t="str">
        <f>""</f>
        <v/>
      </c>
      <c r="CA342" t="str">
        <f>""</f>
        <v/>
      </c>
      <c r="CB342" t="str">
        <f>""</f>
        <v/>
      </c>
      <c r="CC342" t="str">
        <f>""</f>
        <v/>
      </c>
      <c r="CD342" t="str">
        <f>""</f>
        <v/>
      </c>
      <c r="CE342" t="str">
        <f>""</f>
        <v/>
      </c>
      <c r="CF342" t="str">
        <f>""</f>
        <v/>
      </c>
      <c r="CG342" t="str">
        <f>""</f>
        <v/>
      </c>
      <c r="CH342" t="str">
        <f>""</f>
        <v/>
      </c>
      <c r="CI342" t="str">
        <f>""</f>
        <v/>
      </c>
      <c r="CJ342" t="str">
        <f>""</f>
        <v/>
      </c>
      <c r="CK342" t="str">
        <f>""</f>
        <v/>
      </c>
      <c r="CL342" t="str">
        <f>""</f>
        <v/>
      </c>
      <c r="CM342" t="str">
        <f>""</f>
        <v/>
      </c>
      <c r="CN342" t="str">
        <f>""</f>
        <v/>
      </c>
      <c r="CO342" t="str">
        <f>""</f>
        <v/>
      </c>
      <c r="CP342" t="str">
        <f>""</f>
        <v/>
      </c>
      <c r="CQ342" t="str">
        <f>""</f>
        <v/>
      </c>
      <c r="CR342" t="str">
        <f>""</f>
        <v/>
      </c>
      <c r="CS342" t="str">
        <f>""</f>
        <v/>
      </c>
      <c r="CT342" t="str">
        <f>""</f>
        <v/>
      </c>
      <c r="CU342" t="str">
        <f>""</f>
        <v/>
      </c>
      <c r="CV342" t="str">
        <f>""</f>
        <v/>
      </c>
      <c r="CW342" t="str">
        <f>""</f>
        <v/>
      </c>
      <c r="CX342" t="str">
        <f>""</f>
        <v/>
      </c>
      <c r="CY342" t="str">
        <f>""</f>
        <v/>
      </c>
      <c r="CZ342" t="str">
        <f>""</f>
        <v/>
      </c>
      <c r="DA342" t="str">
        <f>""</f>
        <v/>
      </c>
      <c r="DB342" t="str">
        <f>""</f>
        <v/>
      </c>
      <c r="DC342" t="str">
        <f>""</f>
        <v/>
      </c>
      <c r="DD342" t="str">
        <f>""</f>
        <v/>
      </c>
      <c r="DE342" t="str">
        <f>""</f>
        <v/>
      </c>
      <c r="DF342" t="str">
        <f>""</f>
        <v/>
      </c>
      <c r="DG342" t="str">
        <f>""</f>
        <v/>
      </c>
      <c r="DH342" t="str">
        <f>""</f>
        <v/>
      </c>
      <c r="DI342" t="str">
        <f>""</f>
        <v/>
      </c>
      <c r="DJ342" t="str">
        <f>""</f>
        <v/>
      </c>
      <c r="DK342" t="str">
        <f>""</f>
        <v/>
      </c>
      <c r="DL342" t="str">
        <f>""</f>
        <v/>
      </c>
      <c r="DM342" t="str">
        <f>""</f>
        <v/>
      </c>
      <c r="DN342" t="str">
        <f>""</f>
        <v/>
      </c>
      <c r="DO342" t="str">
        <f>""</f>
        <v/>
      </c>
      <c r="DP342" t="str">
        <f>""</f>
        <v/>
      </c>
      <c r="DQ342" t="str">
        <f>""</f>
        <v/>
      </c>
      <c r="DR342" t="str">
        <f>""</f>
        <v/>
      </c>
      <c r="DS342" t="str">
        <f>""</f>
        <v/>
      </c>
      <c r="DT342" t="str">
        <f>""</f>
        <v/>
      </c>
      <c r="DU342" t="str">
        <f>""</f>
        <v/>
      </c>
    </row>
    <row r="343" spans="1:125">
      <c r="A343" t="str">
        <f>"This is End Date"</f>
        <v>This is End Date</v>
      </c>
      <c r="B343">
        <f ca="1">$B$182</f>
        <v>43173</v>
      </c>
      <c r="C343" t="str">
        <f>""</f>
        <v/>
      </c>
      <c r="D343" t="str">
        <f>""</f>
        <v/>
      </c>
      <c r="E343" t="str">
        <f>""</f>
        <v/>
      </c>
      <c r="BN343" t="str">
        <f>""</f>
        <v/>
      </c>
      <c r="BO343" t="str">
        <f>""</f>
        <v/>
      </c>
      <c r="BP343" t="str">
        <f>""</f>
        <v/>
      </c>
      <c r="BQ343" t="str">
        <f>""</f>
        <v/>
      </c>
      <c r="BR343" t="str">
        <f>""</f>
        <v/>
      </c>
      <c r="BS343" t="str">
        <f>""</f>
        <v/>
      </c>
      <c r="BT343" t="str">
        <f>""</f>
        <v/>
      </c>
      <c r="BU343" t="str">
        <f>""</f>
        <v/>
      </c>
      <c r="BV343" t="str">
        <f>""</f>
        <v/>
      </c>
      <c r="BW343" t="str">
        <f>""</f>
        <v/>
      </c>
      <c r="BX343" t="str">
        <f>""</f>
        <v/>
      </c>
      <c r="BY343" t="str">
        <f>""</f>
        <v/>
      </c>
      <c r="BZ343" t="str">
        <f>""</f>
        <v/>
      </c>
      <c r="CA343" t="str">
        <f>""</f>
        <v/>
      </c>
      <c r="CB343" t="str">
        <f>""</f>
        <v/>
      </c>
      <c r="CC343" t="str">
        <f>""</f>
        <v/>
      </c>
      <c r="CD343" t="str">
        <f>""</f>
        <v/>
      </c>
      <c r="CE343" t="str">
        <f>""</f>
        <v/>
      </c>
      <c r="CF343" t="str">
        <f>""</f>
        <v/>
      </c>
      <c r="CG343" t="str">
        <f>""</f>
        <v/>
      </c>
      <c r="CH343" t="str">
        <f>""</f>
        <v/>
      </c>
      <c r="CI343" t="str">
        <f>""</f>
        <v/>
      </c>
      <c r="CJ343" t="str">
        <f>""</f>
        <v/>
      </c>
      <c r="CK343" t="str">
        <f>""</f>
        <v/>
      </c>
      <c r="CL343" t="str">
        <f>""</f>
        <v/>
      </c>
      <c r="CM343" t="str">
        <f>""</f>
        <v/>
      </c>
      <c r="CN343" t="str">
        <f>""</f>
        <v/>
      </c>
      <c r="CO343" t="str">
        <f>""</f>
        <v/>
      </c>
      <c r="CP343" t="str">
        <f>""</f>
        <v/>
      </c>
      <c r="CQ343" t="str">
        <f>""</f>
        <v/>
      </c>
      <c r="CR343" t="str">
        <f>""</f>
        <v/>
      </c>
      <c r="CS343" t="str">
        <f>""</f>
        <v/>
      </c>
      <c r="CT343" t="str">
        <f>""</f>
        <v/>
      </c>
      <c r="CU343" t="str">
        <f>""</f>
        <v/>
      </c>
      <c r="CV343" t="str">
        <f>""</f>
        <v/>
      </c>
      <c r="CW343" t="str">
        <f>""</f>
        <v/>
      </c>
      <c r="CX343" t="str">
        <f>""</f>
        <v/>
      </c>
      <c r="CY343" t="str">
        <f>""</f>
        <v/>
      </c>
      <c r="CZ343" t="str">
        <f>""</f>
        <v/>
      </c>
      <c r="DA343" t="str">
        <f>""</f>
        <v/>
      </c>
      <c r="DB343" t="str">
        <f>""</f>
        <v/>
      </c>
      <c r="DC343" t="str">
        <f>""</f>
        <v/>
      </c>
      <c r="DD343" t="str">
        <f>""</f>
        <v/>
      </c>
      <c r="DE343" t="str">
        <f>""</f>
        <v/>
      </c>
      <c r="DF343" t="str">
        <f>""</f>
        <v/>
      </c>
      <c r="DG343" t="str">
        <f>""</f>
        <v/>
      </c>
      <c r="DH343" t="str">
        <f>""</f>
        <v/>
      </c>
      <c r="DI343" t="str">
        <f>""</f>
        <v/>
      </c>
      <c r="DJ343" t="str">
        <f>""</f>
        <v/>
      </c>
      <c r="DK343" t="str">
        <f>""</f>
        <v/>
      </c>
      <c r="DL343" t="str">
        <f>""</f>
        <v/>
      </c>
      <c r="DM343" t="str">
        <f>""</f>
        <v/>
      </c>
      <c r="DN343" t="str">
        <f>""</f>
        <v/>
      </c>
      <c r="DO343" t="str">
        <f>""</f>
        <v/>
      </c>
      <c r="DP343" t="str">
        <f>""</f>
        <v/>
      </c>
      <c r="DQ343" t="str">
        <f>""</f>
        <v/>
      </c>
      <c r="DR343" t="str">
        <f>""</f>
        <v/>
      </c>
      <c r="DS343" t="str">
        <f>""</f>
        <v/>
      </c>
      <c r="DT343" t="str">
        <f>""</f>
        <v/>
      </c>
      <c r="DU343" t="str">
        <f>""</f>
        <v/>
      </c>
    </row>
    <row r="344" spans="1:125">
      <c r="A344" t="str">
        <f>"简述"</f>
        <v>简述</v>
      </c>
      <c r="B344" t="str">
        <f>"代码"</f>
        <v>代码</v>
      </c>
      <c r="C344" t="str">
        <f>"栏目ID"</f>
        <v>栏目ID</v>
      </c>
      <c r="D344" t="str">
        <f>"栏目助记符"</f>
        <v>栏目助记符</v>
      </c>
      <c r="E344" t="str">
        <f>"数据状态"</f>
        <v>数据状态</v>
      </c>
      <c r="BN344" t="str">
        <f>""</f>
        <v/>
      </c>
      <c r="BO344" t="str">
        <f>""</f>
        <v/>
      </c>
      <c r="BP344" t="str">
        <f>""</f>
        <v/>
      </c>
      <c r="BQ344" t="str">
        <f>""</f>
        <v/>
      </c>
      <c r="BR344" t="str">
        <f>""</f>
        <v/>
      </c>
      <c r="BS344" t="str">
        <f>""</f>
        <v/>
      </c>
      <c r="BT344" t="str">
        <f>""</f>
        <v/>
      </c>
      <c r="BU344" t="str">
        <f>""</f>
        <v/>
      </c>
      <c r="BV344" t="str">
        <f>""</f>
        <v/>
      </c>
      <c r="BW344" t="str">
        <f>""</f>
        <v/>
      </c>
      <c r="BX344" t="str">
        <f>""</f>
        <v/>
      </c>
      <c r="BY344" t="str">
        <f>""</f>
        <v/>
      </c>
      <c r="BZ344" t="str">
        <f>""</f>
        <v/>
      </c>
      <c r="CA344" t="str">
        <f>""</f>
        <v/>
      </c>
      <c r="CB344" t="str">
        <f>""</f>
        <v/>
      </c>
      <c r="CC344" t="str">
        <f>""</f>
        <v/>
      </c>
      <c r="CD344" t="str">
        <f>""</f>
        <v/>
      </c>
      <c r="CE344" t="str">
        <f>""</f>
        <v/>
      </c>
      <c r="CF344" t="str">
        <f>""</f>
        <v/>
      </c>
      <c r="CG344" t="str">
        <f>""</f>
        <v/>
      </c>
      <c r="CH344" t="str">
        <f>""</f>
        <v/>
      </c>
      <c r="CI344" t="str">
        <f>""</f>
        <v/>
      </c>
      <c r="CJ344" t="str">
        <f>""</f>
        <v/>
      </c>
      <c r="CK344" t="str">
        <f>""</f>
        <v/>
      </c>
      <c r="CL344" t="str">
        <f>""</f>
        <v/>
      </c>
      <c r="CM344" t="str">
        <f>""</f>
        <v/>
      </c>
      <c r="CN344" t="str">
        <f>""</f>
        <v/>
      </c>
      <c r="CO344" t="str">
        <f>""</f>
        <v/>
      </c>
      <c r="CP344" t="str">
        <f>""</f>
        <v/>
      </c>
      <c r="CQ344" t="str">
        <f>""</f>
        <v/>
      </c>
      <c r="CR344" t="str">
        <f>""</f>
        <v/>
      </c>
      <c r="CS344" t="str">
        <f>""</f>
        <v/>
      </c>
      <c r="CT344" t="str">
        <f>""</f>
        <v/>
      </c>
      <c r="CU344" t="str">
        <f>""</f>
        <v/>
      </c>
      <c r="CV344" t="str">
        <f>""</f>
        <v/>
      </c>
      <c r="CW344" t="str">
        <f>""</f>
        <v/>
      </c>
      <c r="CX344" t="str">
        <f>""</f>
        <v/>
      </c>
      <c r="CY344" t="str">
        <f>""</f>
        <v/>
      </c>
      <c r="CZ344" t="str">
        <f>""</f>
        <v/>
      </c>
      <c r="DA344" t="str">
        <f>""</f>
        <v/>
      </c>
      <c r="DB344" t="str">
        <f>""</f>
        <v/>
      </c>
      <c r="DC344" t="str">
        <f>""</f>
        <v/>
      </c>
      <c r="DD344" t="str">
        <f>""</f>
        <v/>
      </c>
      <c r="DE344" t="str">
        <f>""</f>
        <v/>
      </c>
      <c r="DF344" t="str">
        <f>""</f>
        <v/>
      </c>
      <c r="DG344" t="str">
        <f>""</f>
        <v/>
      </c>
      <c r="DH344" t="str">
        <f>""</f>
        <v/>
      </c>
      <c r="DI344" t="str">
        <f>""</f>
        <v/>
      </c>
      <c r="DJ344" t="str">
        <f>""</f>
        <v/>
      </c>
      <c r="DK344" t="str">
        <f>""</f>
        <v/>
      </c>
      <c r="DL344" t="str">
        <f>""</f>
        <v/>
      </c>
      <c r="DM344" t="str">
        <f>""</f>
        <v/>
      </c>
      <c r="DN344" t="str">
        <f>""</f>
        <v/>
      </c>
      <c r="DO344" t="str">
        <f>""</f>
        <v/>
      </c>
      <c r="DP344" t="str">
        <f>""</f>
        <v/>
      </c>
      <c r="DQ344" t="str">
        <f>""</f>
        <v/>
      </c>
      <c r="DR344" t="str">
        <f>""</f>
        <v/>
      </c>
      <c r="DS344" t="str">
        <f>""</f>
        <v/>
      </c>
      <c r="DT344" t="str">
        <f>""</f>
        <v/>
      </c>
      <c r="DU344" t="str">
        <f>""</f>
        <v/>
      </c>
    </row>
    <row r="345" spans="1:125">
      <c r="A345" t="str">
        <f>"Snapshot Date"</f>
        <v>Snapshot Date</v>
      </c>
      <c r="B345">
        <f>DATE(2018, 3,13)</f>
        <v>43172</v>
      </c>
      <c r="C345" t="str">
        <f>""</f>
        <v/>
      </c>
      <c r="D345" t="str">
        <f>""</f>
        <v/>
      </c>
      <c r="E345" t="str">
        <f>""</f>
        <v/>
      </c>
      <c r="BN345" t="str">
        <f>""</f>
        <v/>
      </c>
      <c r="BO345" t="str">
        <f>""</f>
        <v/>
      </c>
      <c r="BP345" t="str">
        <f>""</f>
        <v/>
      </c>
      <c r="BQ345" t="str">
        <f>""</f>
        <v/>
      </c>
      <c r="BR345" t="str">
        <f>""</f>
        <v/>
      </c>
      <c r="BS345" t="str">
        <f>""</f>
        <v/>
      </c>
      <c r="BT345" t="str">
        <f>""</f>
        <v/>
      </c>
      <c r="BU345" t="str">
        <f>""</f>
        <v/>
      </c>
      <c r="BV345" t="str">
        <f>""</f>
        <v/>
      </c>
      <c r="BW345" t="str">
        <f>""</f>
        <v/>
      </c>
      <c r="BX345" t="str">
        <f>""</f>
        <v/>
      </c>
      <c r="BY345" t="str">
        <f>""</f>
        <v/>
      </c>
      <c r="BZ345" t="str">
        <f>""</f>
        <v/>
      </c>
      <c r="CA345" t="str">
        <f>""</f>
        <v/>
      </c>
      <c r="CB345" t="str">
        <f>""</f>
        <v/>
      </c>
      <c r="CC345" t="str">
        <f>""</f>
        <v/>
      </c>
      <c r="CD345" t="str">
        <f>""</f>
        <v/>
      </c>
      <c r="CE345" t="str">
        <f>""</f>
        <v/>
      </c>
      <c r="CF345" t="str">
        <f>""</f>
        <v/>
      </c>
      <c r="CG345" t="str">
        <f>""</f>
        <v/>
      </c>
      <c r="CH345" t="str">
        <f>""</f>
        <v/>
      </c>
      <c r="CI345" t="str">
        <f>""</f>
        <v/>
      </c>
      <c r="CJ345" t="str">
        <f>""</f>
        <v/>
      </c>
      <c r="CK345" t="str">
        <f>""</f>
        <v/>
      </c>
      <c r="CL345" t="str">
        <f>""</f>
        <v/>
      </c>
      <c r="CM345" t="str">
        <f>""</f>
        <v/>
      </c>
      <c r="CN345" t="str">
        <f>""</f>
        <v/>
      </c>
      <c r="CO345" t="str">
        <f>""</f>
        <v/>
      </c>
      <c r="CP345" t="str">
        <f>""</f>
        <v/>
      </c>
      <c r="CQ345" t="str">
        <f>""</f>
        <v/>
      </c>
      <c r="CR345" t="str">
        <f>""</f>
        <v/>
      </c>
      <c r="CS345" t="str">
        <f>""</f>
        <v/>
      </c>
      <c r="CT345" t="str">
        <f>""</f>
        <v/>
      </c>
      <c r="CU345" t="str">
        <f>""</f>
        <v/>
      </c>
      <c r="CV345" t="str">
        <f>""</f>
        <v/>
      </c>
      <c r="CW345" t="str">
        <f>""</f>
        <v/>
      </c>
      <c r="CX345" t="str">
        <f>""</f>
        <v/>
      </c>
      <c r="CY345" t="str">
        <f>""</f>
        <v/>
      </c>
      <c r="CZ345" t="str">
        <f>""</f>
        <v/>
      </c>
      <c r="DA345" t="str">
        <f>""</f>
        <v/>
      </c>
      <c r="DB345" t="str">
        <f>""</f>
        <v/>
      </c>
      <c r="DC345" t="str">
        <f>""</f>
        <v/>
      </c>
      <c r="DD345" t="str">
        <f>""</f>
        <v/>
      </c>
      <c r="DE345" t="str">
        <f>""</f>
        <v/>
      </c>
      <c r="DF345" t="str">
        <f>""</f>
        <v/>
      </c>
      <c r="DG345" t="str">
        <f>""</f>
        <v/>
      </c>
      <c r="DH345" t="str">
        <f>""</f>
        <v/>
      </c>
      <c r="DI345" t="str">
        <f>""</f>
        <v/>
      </c>
      <c r="DJ345" t="str">
        <f>""</f>
        <v/>
      </c>
      <c r="DK345" t="str">
        <f>""</f>
        <v/>
      </c>
      <c r="DL345" t="str">
        <f>""</f>
        <v/>
      </c>
      <c r="DM345" t="str">
        <f>""</f>
        <v/>
      </c>
      <c r="DN345" t="str">
        <f>""</f>
        <v/>
      </c>
      <c r="DO345" t="str">
        <f>""</f>
        <v/>
      </c>
      <c r="DP345" t="str">
        <f>""</f>
        <v/>
      </c>
      <c r="DQ345" t="str">
        <f>""</f>
        <v/>
      </c>
      <c r="DR345" t="str">
        <f>""</f>
        <v/>
      </c>
      <c r="DS345" t="str">
        <f>""</f>
        <v/>
      </c>
      <c r="DT345" t="str">
        <f>""</f>
        <v/>
      </c>
      <c r="DU345" t="str">
        <f>""</f>
        <v/>
      </c>
    </row>
    <row r="346" spans="1:125">
      <c r="A346" t="str">
        <f>"Snapshot header"</f>
        <v>Snapshot header</v>
      </c>
      <c r="B346">
        <f>2</f>
        <v>2</v>
      </c>
      <c r="C346" t="str">
        <f>"2017 Q4"</f>
        <v>2017 Q4</v>
      </c>
      <c r="D346" t="str">
        <f>"2017 Q3"</f>
        <v>2017 Q3</v>
      </c>
      <c r="E346" t="str">
        <f>"2017 Q2"</f>
        <v>2017 Q2</v>
      </c>
      <c r="F346" t="str">
        <f>"2017 Q1"</f>
        <v>2017 Q1</v>
      </c>
      <c r="G346" t="str">
        <f>"2016 Q4"</f>
        <v>2016 Q4</v>
      </c>
      <c r="H346" t="str">
        <f>"2016 Q3"</f>
        <v>2016 Q3</v>
      </c>
      <c r="I346" t="str">
        <f>"2016 Q2"</f>
        <v>2016 Q2</v>
      </c>
      <c r="J346" t="str">
        <f>"2016 Q1"</f>
        <v>2016 Q1</v>
      </c>
      <c r="K346" t="str">
        <f>"2015 Q4"</f>
        <v>2015 Q4</v>
      </c>
      <c r="L346" t="str">
        <f>"2015 Q3"</f>
        <v>2015 Q3</v>
      </c>
      <c r="M346" t="str">
        <f>"2015 Q2"</f>
        <v>2015 Q2</v>
      </c>
      <c r="N346" t="str">
        <f>"2015 Q1"</f>
        <v>2015 Q1</v>
      </c>
      <c r="O346" t="str">
        <f>"2014 Q4"</f>
        <v>2014 Q4</v>
      </c>
      <c r="P346" t="str">
        <f>"2014 Q3"</f>
        <v>2014 Q3</v>
      </c>
      <c r="Q346" t="str">
        <f>"2014 Q2"</f>
        <v>2014 Q2</v>
      </c>
      <c r="R346" t="str">
        <f>"2014 Q1"</f>
        <v>2014 Q1</v>
      </c>
      <c r="S346" t="str">
        <f>"2013 Q4"</f>
        <v>2013 Q4</v>
      </c>
      <c r="T346" t="str">
        <f>"2013 Q3"</f>
        <v>2013 Q3</v>
      </c>
      <c r="U346" t="str">
        <f>"2013 Q2"</f>
        <v>2013 Q2</v>
      </c>
      <c r="V346" t="str">
        <f>"2013 Q1"</f>
        <v>2013 Q1</v>
      </c>
      <c r="W346" t="str">
        <f>"2012 Q4"</f>
        <v>2012 Q4</v>
      </c>
      <c r="X346" t="str">
        <f>"2012 Q3"</f>
        <v>2012 Q3</v>
      </c>
      <c r="Y346" t="str">
        <f>"2012 Q2"</f>
        <v>2012 Q2</v>
      </c>
      <c r="Z346" t="str">
        <f>"2012 Q1"</f>
        <v>2012 Q1</v>
      </c>
      <c r="AA346" t="str">
        <f>"2011 Q4"</f>
        <v>2011 Q4</v>
      </c>
      <c r="AB346" t="str">
        <f>"2011 Q3"</f>
        <v>2011 Q3</v>
      </c>
      <c r="AC346" t="str">
        <f>"2011 Q2"</f>
        <v>2011 Q2</v>
      </c>
      <c r="AD346" t="str">
        <f>"2011 Q1"</f>
        <v>2011 Q1</v>
      </c>
      <c r="AE346" t="str">
        <f>"2010 Q4"</f>
        <v>2010 Q4</v>
      </c>
      <c r="AF346" t="str">
        <f>"2010 Q3"</f>
        <v>2010 Q3</v>
      </c>
      <c r="AG346" t="str">
        <f>"2010 Q2"</f>
        <v>2010 Q2</v>
      </c>
      <c r="AH346" t="str">
        <f>"2010 Q1"</f>
        <v>2010 Q1</v>
      </c>
      <c r="AI346" t="str">
        <f>"2009 Q4"</f>
        <v>2009 Q4</v>
      </c>
      <c r="AJ346" t="str">
        <f>"2009 Q3"</f>
        <v>2009 Q3</v>
      </c>
      <c r="AK346" t="str">
        <f>"2009 Q2"</f>
        <v>2009 Q2</v>
      </c>
      <c r="AL346" t="str">
        <f>"2009 Q1"</f>
        <v>2009 Q1</v>
      </c>
      <c r="AM346" t="str">
        <f>"2008 Q4"</f>
        <v>2008 Q4</v>
      </c>
      <c r="AN346" t="str">
        <f>"2008 Q3"</f>
        <v>2008 Q3</v>
      </c>
      <c r="AO346" t="str">
        <f>"2008 Q2"</f>
        <v>2008 Q2</v>
      </c>
      <c r="AP346" t="str">
        <f>"2008 Q1"</f>
        <v>2008 Q1</v>
      </c>
      <c r="AQ346" t="str">
        <f>"2007 Q4"</f>
        <v>2007 Q4</v>
      </c>
      <c r="AR346" t="str">
        <f>"2007 Q3"</f>
        <v>2007 Q3</v>
      </c>
      <c r="AS346" t="str">
        <f>"2007 Q2"</f>
        <v>2007 Q2</v>
      </c>
      <c r="AT346" t="str">
        <f>"2007 Q1"</f>
        <v>2007 Q1</v>
      </c>
      <c r="AU346" t="str">
        <f>"2006 Q4"</f>
        <v>2006 Q4</v>
      </c>
      <c r="AV346" t="str">
        <f>"2006 Q3"</f>
        <v>2006 Q3</v>
      </c>
      <c r="AW346" t="str">
        <f>"2006 Q2"</f>
        <v>2006 Q2</v>
      </c>
      <c r="AX346" t="str">
        <f>"2006 Q1"</f>
        <v>2006 Q1</v>
      </c>
      <c r="AY346" t="str">
        <f>"2005 Q4"</f>
        <v>2005 Q4</v>
      </c>
      <c r="AZ346" t="str">
        <f>"2005 Q3"</f>
        <v>2005 Q3</v>
      </c>
      <c r="BA346" t="str">
        <f>"2005 Q2"</f>
        <v>2005 Q2</v>
      </c>
      <c r="BB346" t="str">
        <f>"2005 Q1"</f>
        <v>2005 Q1</v>
      </c>
      <c r="BC346" t="str">
        <f>"2004 Q4"</f>
        <v>2004 Q4</v>
      </c>
      <c r="BD346" t="str">
        <f>"2004 Q3"</f>
        <v>2004 Q3</v>
      </c>
      <c r="BE346" t="str">
        <f>"2004 Q2"</f>
        <v>2004 Q2</v>
      </c>
      <c r="BF346" t="str">
        <f>"2004 Q1"</f>
        <v>2004 Q1</v>
      </c>
      <c r="BG346" t="str">
        <f>"2003 Q4"</f>
        <v>2003 Q4</v>
      </c>
      <c r="BH346" t="str">
        <f>"2003 Q3"</f>
        <v>2003 Q3</v>
      </c>
      <c r="BI346" t="str">
        <f>"2003 Q2"</f>
        <v>2003 Q2</v>
      </c>
      <c r="BJ346" t="str">
        <f>"2003 Q1"</f>
        <v>2003 Q1</v>
      </c>
      <c r="BN346" t="str">
        <f>""</f>
        <v/>
      </c>
      <c r="BO346" t="str">
        <f>""</f>
        <v/>
      </c>
      <c r="BP346" t="str">
        <f>""</f>
        <v/>
      </c>
      <c r="BQ346" t="str">
        <f>""</f>
        <v/>
      </c>
      <c r="BR346" t="str">
        <f>""</f>
        <v/>
      </c>
      <c r="BS346" t="str">
        <f>""</f>
        <v/>
      </c>
      <c r="BT346" t="str">
        <f>""</f>
        <v/>
      </c>
      <c r="BU346" t="str">
        <f>""</f>
        <v/>
      </c>
      <c r="BV346" t="str">
        <f>""</f>
        <v/>
      </c>
      <c r="BW346" t="str">
        <f>""</f>
        <v/>
      </c>
      <c r="BX346" t="str">
        <f>""</f>
        <v/>
      </c>
      <c r="BY346" t="str">
        <f>""</f>
        <v/>
      </c>
      <c r="BZ346" t="str">
        <f>""</f>
        <v/>
      </c>
      <c r="CA346" t="str">
        <f>""</f>
        <v/>
      </c>
      <c r="CB346" t="str">
        <f>""</f>
        <v/>
      </c>
      <c r="CC346" t="str">
        <f>""</f>
        <v/>
      </c>
      <c r="CD346" t="str">
        <f>""</f>
        <v/>
      </c>
      <c r="CE346" t="str">
        <f>""</f>
        <v/>
      </c>
      <c r="CF346" t="str">
        <f>""</f>
        <v/>
      </c>
      <c r="CG346" t="str">
        <f>""</f>
        <v/>
      </c>
      <c r="CH346" t="str">
        <f>""</f>
        <v/>
      </c>
      <c r="CI346" t="str">
        <f>""</f>
        <v/>
      </c>
      <c r="CJ346" t="str">
        <f>""</f>
        <v/>
      </c>
      <c r="CK346" t="str">
        <f>""</f>
        <v/>
      </c>
      <c r="CL346" t="str">
        <f>""</f>
        <v/>
      </c>
      <c r="CM346" t="str">
        <f>""</f>
        <v/>
      </c>
      <c r="CN346" t="str">
        <f>""</f>
        <v/>
      </c>
      <c r="CO346" t="str">
        <f>""</f>
        <v/>
      </c>
      <c r="CP346" t="str">
        <f>""</f>
        <v/>
      </c>
      <c r="CQ346" t="str">
        <f>""</f>
        <v/>
      </c>
      <c r="CR346" t="str">
        <f>""</f>
        <v/>
      </c>
      <c r="CS346" t="str">
        <f>""</f>
        <v/>
      </c>
      <c r="CT346" t="str">
        <f>""</f>
        <v/>
      </c>
      <c r="CU346" t="str">
        <f>""</f>
        <v/>
      </c>
      <c r="CV346" t="str">
        <f>""</f>
        <v/>
      </c>
      <c r="CW346" t="str">
        <f>""</f>
        <v/>
      </c>
      <c r="CX346" t="str">
        <f>""</f>
        <v/>
      </c>
      <c r="CY346" t="str">
        <f>""</f>
        <v/>
      </c>
      <c r="CZ346" t="str">
        <f>""</f>
        <v/>
      </c>
      <c r="DA346" t="str">
        <f>""</f>
        <v/>
      </c>
      <c r="DB346" t="str">
        <f>""</f>
        <v/>
      </c>
      <c r="DC346" t="str">
        <f>""</f>
        <v/>
      </c>
      <c r="DD346" t="str">
        <f>""</f>
        <v/>
      </c>
      <c r="DE346" t="str">
        <f>""</f>
        <v/>
      </c>
      <c r="DF346" t="str">
        <f>""</f>
        <v/>
      </c>
      <c r="DG346" t="str">
        <f>""</f>
        <v/>
      </c>
      <c r="DH346" t="str">
        <f>""</f>
        <v/>
      </c>
      <c r="DI346" t="str">
        <f>""</f>
        <v/>
      </c>
      <c r="DJ346" t="str">
        <f>""</f>
        <v/>
      </c>
      <c r="DK346" t="str">
        <f>""</f>
        <v/>
      </c>
      <c r="DL346" t="str">
        <f>""</f>
        <v/>
      </c>
      <c r="DM346" t="str">
        <f>""</f>
        <v/>
      </c>
      <c r="DN346" t="str">
        <f>""</f>
        <v/>
      </c>
      <c r="DO346" t="str">
        <f>""</f>
        <v/>
      </c>
      <c r="DP346" t="str">
        <f>""</f>
        <v/>
      </c>
      <c r="DQ346" t="str">
        <f>""</f>
        <v/>
      </c>
      <c r="DR346" t="str">
        <f>""</f>
        <v/>
      </c>
      <c r="DS346" t="str">
        <f>""</f>
        <v/>
      </c>
      <c r="DT346" t="str">
        <f>""</f>
        <v/>
      </c>
      <c r="DU346" t="str">
        <f>""</f>
        <v/>
      </c>
    </row>
    <row r="347" spans="1:125">
      <c r="A347" t="str">
        <f>"BDH snapshot header0"</f>
        <v>BDH snapshot header0</v>
      </c>
      <c r="B347">
        <f>IF(OR(ISERROR($C$347),ISBLANK($C$347),ISNUMBER(SEARCH("N/A",$C$347) ),ISERROR($C$348),ISBLANK($C$348)),0,1)</f>
        <v>0</v>
      </c>
      <c r="C347" t="str">
        <f>BDH($B$185,$C$185,$B$181,$B$345,"PER=CQ","Dts=S","DtFmt=FI", "rows=2","Dir=H","Points=60","Sort=R","Days=A","Fill=B","FX=USD" )</f>
        <v>#N/A Authorization</v>
      </c>
      <c r="BN347" t="str">
        <f>""</f>
        <v/>
      </c>
      <c r="BO347" t="str">
        <f>""</f>
        <v/>
      </c>
      <c r="BP347" t="str">
        <f>""</f>
        <v/>
      </c>
      <c r="BQ347" t="str">
        <f>""</f>
        <v/>
      </c>
      <c r="BR347" t="str">
        <f>""</f>
        <v/>
      </c>
      <c r="BS347" t="str">
        <f>""</f>
        <v/>
      </c>
      <c r="BT347" t="str">
        <f>""</f>
        <v/>
      </c>
      <c r="BU347" t="str">
        <f>""</f>
        <v/>
      </c>
      <c r="BV347" t="str">
        <f>""</f>
        <v/>
      </c>
      <c r="BW347" t="str">
        <f>""</f>
        <v/>
      </c>
      <c r="BX347" t="str">
        <f>""</f>
        <v/>
      </c>
      <c r="BY347" t="str">
        <f>""</f>
        <v/>
      </c>
      <c r="BZ347" t="str">
        <f>""</f>
        <v/>
      </c>
      <c r="CA347" t="str">
        <f>""</f>
        <v/>
      </c>
      <c r="CB347" t="str">
        <f>""</f>
        <v/>
      </c>
      <c r="CC347" t="str">
        <f>""</f>
        <v/>
      </c>
      <c r="CD347" t="str">
        <f>""</f>
        <v/>
      </c>
      <c r="CE347" t="str">
        <f>""</f>
        <v/>
      </c>
      <c r="CF347" t="str">
        <f>""</f>
        <v/>
      </c>
      <c r="CG347" t="str">
        <f>""</f>
        <v/>
      </c>
      <c r="CH347" t="str">
        <f>""</f>
        <v/>
      </c>
      <c r="CI347" t="str">
        <f>""</f>
        <v/>
      </c>
      <c r="CJ347" t="str">
        <f>""</f>
        <v/>
      </c>
      <c r="CK347" t="str">
        <f>""</f>
        <v/>
      </c>
      <c r="CL347" t="str">
        <f>""</f>
        <v/>
      </c>
      <c r="CM347" t="str">
        <f>""</f>
        <v/>
      </c>
      <c r="CN347" t="str">
        <f>""</f>
        <v/>
      </c>
      <c r="CO347" t="str">
        <f>""</f>
        <v/>
      </c>
      <c r="CP347" t="str">
        <f>""</f>
        <v/>
      </c>
      <c r="CQ347" t="str">
        <f>""</f>
        <v/>
      </c>
      <c r="CR347" t="str">
        <f>""</f>
        <v/>
      </c>
      <c r="CS347" t="str">
        <f>""</f>
        <v/>
      </c>
      <c r="CT347" t="str">
        <f>""</f>
        <v/>
      </c>
      <c r="CU347" t="str">
        <f>""</f>
        <v/>
      </c>
      <c r="CV347" t="str">
        <f>""</f>
        <v/>
      </c>
      <c r="CW347" t="str">
        <f>""</f>
        <v/>
      </c>
      <c r="CX347" t="str">
        <f>""</f>
        <v/>
      </c>
      <c r="CY347" t="str">
        <f>""</f>
        <v/>
      </c>
      <c r="CZ347" t="str">
        <f>""</f>
        <v/>
      </c>
      <c r="DA347" t="str">
        <f>""</f>
        <v/>
      </c>
      <c r="DB347" t="str">
        <f>""</f>
        <v/>
      </c>
      <c r="DC347" t="str">
        <f>""</f>
        <v/>
      </c>
      <c r="DD347" t="str">
        <f>""</f>
        <v/>
      </c>
      <c r="DE347" t="str">
        <f>""</f>
        <v/>
      </c>
      <c r="DF347" t="str">
        <f>""</f>
        <v/>
      </c>
      <c r="DG347" t="str">
        <f>""</f>
        <v/>
      </c>
      <c r="DH347" t="str">
        <f>""</f>
        <v/>
      </c>
      <c r="DI347" t="str">
        <f>""</f>
        <v/>
      </c>
      <c r="DJ347" t="str">
        <f>""</f>
        <v/>
      </c>
      <c r="DK347" t="str">
        <f>""</f>
        <v/>
      </c>
      <c r="DL347" t="str">
        <f>""</f>
        <v/>
      </c>
      <c r="DM347" t="str">
        <f>""</f>
        <v/>
      </c>
      <c r="DN347" t="str">
        <f>""</f>
        <v/>
      </c>
      <c r="DO347" t="str">
        <f>""</f>
        <v/>
      </c>
      <c r="DP347" t="str">
        <f>""</f>
        <v/>
      </c>
      <c r="DQ347" t="str">
        <f>""</f>
        <v/>
      </c>
      <c r="DR347" t="str">
        <f>""</f>
        <v/>
      </c>
      <c r="DS347" t="str">
        <f>""</f>
        <v/>
      </c>
      <c r="DT347" t="str">
        <f>""</f>
        <v/>
      </c>
      <c r="DU347" t="str">
        <f>""</f>
        <v/>
      </c>
    </row>
    <row r="348" spans="1:125">
      <c r="A348" t="str">
        <f>"BDH snapshot result0"</f>
        <v>BDH snapshot result0</v>
      </c>
      <c r="BN348" t="str">
        <f>""</f>
        <v/>
      </c>
      <c r="BO348" t="str">
        <f>""</f>
        <v/>
      </c>
      <c r="BP348" t="str">
        <f>""</f>
        <v/>
      </c>
      <c r="BQ348" t="str">
        <f>""</f>
        <v/>
      </c>
      <c r="BR348" t="str">
        <f>""</f>
        <v/>
      </c>
      <c r="BS348" t="str">
        <f>""</f>
        <v/>
      </c>
      <c r="BT348" t="str">
        <f>""</f>
        <v/>
      </c>
      <c r="BU348" t="str">
        <f>""</f>
        <v/>
      </c>
      <c r="BV348" t="str">
        <f>""</f>
        <v/>
      </c>
      <c r="BW348" t="str">
        <f>""</f>
        <v/>
      </c>
      <c r="BX348" t="str">
        <f>""</f>
        <v/>
      </c>
      <c r="BY348" t="str">
        <f>""</f>
        <v/>
      </c>
      <c r="BZ348" t="str">
        <f>""</f>
        <v/>
      </c>
      <c r="CA348" t="str">
        <f>""</f>
        <v/>
      </c>
      <c r="CB348" t="str">
        <f>""</f>
        <v/>
      </c>
      <c r="CC348" t="str">
        <f>""</f>
        <v/>
      </c>
      <c r="CD348" t="str">
        <f>""</f>
        <v/>
      </c>
      <c r="CE348" t="str">
        <f>""</f>
        <v/>
      </c>
      <c r="CF348" t="str">
        <f>""</f>
        <v/>
      </c>
      <c r="CG348" t="str">
        <f>""</f>
        <v/>
      </c>
      <c r="CH348" t="str">
        <f>""</f>
        <v/>
      </c>
      <c r="CI348" t="str">
        <f>""</f>
        <v/>
      </c>
      <c r="CJ348" t="str">
        <f>""</f>
        <v/>
      </c>
      <c r="CK348" t="str">
        <f>""</f>
        <v/>
      </c>
      <c r="CL348" t="str">
        <f>""</f>
        <v/>
      </c>
      <c r="CM348" t="str">
        <f>""</f>
        <v/>
      </c>
      <c r="CN348" t="str">
        <f>""</f>
        <v/>
      </c>
      <c r="CO348" t="str">
        <f>""</f>
        <v/>
      </c>
      <c r="CP348" t="str">
        <f>""</f>
        <v/>
      </c>
      <c r="CQ348" t="str">
        <f>""</f>
        <v/>
      </c>
      <c r="CR348" t="str">
        <f>""</f>
        <v/>
      </c>
      <c r="CS348" t="str">
        <f>""</f>
        <v/>
      </c>
      <c r="CT348" t="str">
        <f>""</f>
        <v/>
      </c>
      <c r="CU348" t="str">
        <f>""</f>
        <v/>
      </c>
      <c r="CV348" t="str">
        <f>""</f>
        <v/>
      </c>
      <c r="CW348" t="str">
        <f>""</f>
        <v/>
      </c>
      <c r="CX348" t="str">
        <f>""</f>
        <v/>
      </c>
      <c r="CY348" t="str">
        <f>""</f>
        <v/>
      </c>
      <c r="CZ348" t="str">
        <f>""</f>
        <v/>
      </c>
      <c r="DA348" t="str">
        <f>""</f>
        <v/>
      </c>
      <c r="DB348" t="str">
        <f>""</f>
        <v/>
      </c>
      <c r="DC348" t="str">
        <f>""</f>
        <v/>
      </c>
      <c r="DD348" t="str">
        <f>""</f>
        <v/>
      </c>
      <c r="DE348" t="str">
        <f>""</f>
        <v/>
      </c>
      <c r="DF348" t="str">
        <f>""</f>
        <v/>
      </c>
      <c r="DG348" t="str">
        <f>""</f>
        <v/>
      </c>
      <c r="DH348" t="str">
        <f>""</f>
        <v/>
      </c>
      <c r="DI348" t="str">
        <f>""</f>
        <v/>
      </c>
      <c r="DJ348" t="str">
        <f>""</f>
        <v/>
      </c>
      <c r="DK348" t="str">
        <f>""</f>
        <v/>
      </c>
      <c r="DL348" t="str">
        <f>""</f>
        <v/>
      </c>
      <c r="DM348" t="str">
        <f>""</f>
        <v/>
      </c>
      <c r="DN348" t="str">
        <f>""</f>
        <v/>
      </c>
      <c r="DO348" t="str">
        <f>""</f>
        <v/>
      </c>
      <c r="DP348" t="str">
        <f>""</f>
        <v/>
      </c>
      <c r="DQ348" t="str">
        <f>""</f>
        <v/>
      </c>
      <c r="DR348" t="str">
        <f>""</f>
        <v/>
      </c>
      <c r="DS348" t="str">
        <f>""</f>
        <v/>
      </c>
      <c r="DT348" t="str">
        <f>""</f>
        <v/>
      </c>
      <c r="DU348" t="str">
        <f>""</f>
        <v/>
      </c>
    </row>
    <row r="349" spans="1:125">
      <c r="A349" t="str">
        <f>"BDH snapshot header1"</f>
        <v>BDH snapshot header1</v>
      </c>
      <c r="B349">
        <f>IF(OR(ISERROR($C$349),ISBLANK($C$349),ISNUMBER(SEARCH("N/A",$C$349) ),ISERROR($C$350),ISBLANK($C$350)),0,1)</f>
        <v>0</v>
      </c>
      <c r="C349" t="str">
        <f>BDH($B$186,$C$186,$B$181,$B$345,"PER=CQ","Dts=S","DtFmt=FI", "rows=2","Dir=H","Points=60","Sort=R","Days=A","Fill=B","FX=USD" )</f>
        <v>#N/A Authorization</v>
      </c>
      <c r="BN349" t="str">
        <f>""</f>
        <v/>
      </c>
      <c r="BO349" t="str">
        <f>""</f>
        <v/>
      </c>
      <c r="BP349" t="str">
        <f>""</f>
        <v/>
      </c>
      <c r="BQ349" t="str">
        <f>""</f>
        <v/>
      </c>
      <c r="BR349" t="str">
        <f>""</f>
        <v/>
      </c>
      <c r="BS349" t="str">
        <f>""</f>
        <v/>
      </c>
      <c r="BT349" t="str">
        <f>""</f>
        <v/>
      </c>
      <c r="BU349" t="str">
        <f>""</f>
        <v/>
      </c>
      <c r="BV349" t="str">
        <f>""</f>
        <v/>
      </c>
      <c r="BW349" t="str">
        <f>""</f>
        <v/>
      </c>
      <c r="BX349" t="str">
        <f>""</f>
        <v/>
      </c>
      <c r="BY349" t="str">
        <f>""</f>
        <v/>
      </c>
      <c r="BZ349" t="str">
        <f>""</f>
        <v/>
      </c>
      <c r="CA349" t="str">
        <f>""</f>
        <v/>
      </c>
      <c r="CB349" t="str">
        <f>""</f>
        <v/>
      </c>
      <c r="CC349" t="str">
        <f>""</f>
        <v/>
      </c>
      <c r="CD349" t="str">
        <f>""</f>
        <v/>
      </c>
      <c r="CE349" t="str">
        <f>""</f>
        <v/>
      </c>
      <c r="CF349" t="str">
        <f>""</f>
        <v/>
      </c>
      <c r="CG349" t="str">
        <f>""</f>
        <v/>
      </c>
      <c r="CH349" t="str">
        <f>""</f>
        <v/>
      </c>
      <c r="CI349" t="str">
        <f>""</f>
        <v/>
      </c>
      <c r="CJ349" t="str">
        <f>""</f>
        <v/>
      </c>
      <c r="CK349" t="str">
        <f>""</f>
        <v/>
      </c>
      <c r="CL349" t="str">
        <f>""</f>
        <v/>
      </c>
      <c r="CM349" t="str">
        <f>""</f>
        <v/>
      </c>
      <c r="CN349" t="str">
        <f>""</f>
        <v/>
      </c>
      <c r="CO349" t="str">
        <f>""</f>
        <v/>
      </c>
      <c r="CP349" t="str">
        <f>""</f>
        <v/>
      </c>
      <c r="CQ349" t="str">
        <f>""</f>
        <v/>
      </c>
      <c r="CR349" t="str">
        <f>""</f>
        <v/>
      </c>
      <c r="CS349" t="str">
        <f>""</f>
        <v/>
      </c>
      <c r="CT349" t="str">
        <f>""</f>
        <v/>
      </c>
      <c r="CU349" t="str">
        <f>""</f>
        <v/>
      </c>
      <c r="CV349" t="str">
        <f>""</f>
        <v/>
      </c>
      <c r="CW349" t="str">
        <f>""</f>
        <v/>
      </c>
      <c r="CX349" t="str">
        <f>""</f>
        <v/>
      </c>
      <c r="CY349" t="str">
        <f>""</f>
        <v/>
      </c>
      <c r="CZ349" t="str">
        <f>""</f>
        <v/>
      </c>
      <c r="DA349" t="str">
        <f>""</f>
        <v/>
      </c>
      <c r="DB349" t="str">
        <f>""</f>
        <v/>
      </c>
      <c r="DC349" t="str">
        <f>""</f>
        <v/>
      </c>
      <c r="DD349" t="str">
        <f>""</f>
        <v/>
      </c>
      <c r="DE349" t="str">
        <f>""</f>
        <v/>
      </c>
      <c r="DF349" t="str">
        <f>""</f>
        <v/>
      </c>
      <c r="DG349" t="str">
        <f>""</f>
        <v/>
      </c>
      <c r="DH349" t="str">
        <f>""</f>
        <v/>
      </c>
      <c r="DI349" t="str">
        <f>""</f>
        <v/>
      </c>
      <c r="DJ349" t="str">
        <f>""</f>
        <v/>
      </c>
      <c r="DK349" t="str">
        <f>""</f>
        <v/>
      </c>
      <c r="DL349" t="str">
        <f>""</f>
        <v/>
      </c>
      <c r="DM349" t="str">
        <f>""</f>
        <v/>
      </c>
      <c r="DN349" t="str">
        <f>""</f>
        <v/>
      </c>
      <c r="DO349" t="str">
        <f>""</f>
        <v/>
      </c>
      <c r="DP349" t="str">
        <f>""</f>
        <v/>
      </c>
      <c r="DQ349" t="str">
        <f>""</f>
        <v/>
      </c>
      <c r="DR349" t="str">
        <f>""</f>
        <v/>
      </c>
      <c r="DS349" t="str">
        <f>""</f>
        <v/>
      </c>
      <c r="DT349" t="str">
        <f>""</f>
        <v/>
      </c>
      <c r="DU349" t="str">
        <f>""</f>
        <v/>
      </c>
    </row>
    <row r="350" spans="1:125">
      <c r="A350" t="str">
        <f>"BDH snapshot result1"</f>
        <v>BDH snapshot result1</v>
      </c>
      <c r="BN350" t="str">
        <f>""</f>
        <v/>
      </c>
      <c r="BO350" t="str">
        <f>""</f>
        <v/>
      </c>
      <c r="BP350" t="str">
        <f>""</f>
        <v/>
      </c>
      <c r="BQ350" t="str">
        <f>""</f>
        <v/>
      </c>
      <c r="BR350" t="str">
        <f>""</f>
        <v/>
      </c>
      <c r="BS350" t="str">
        <f>""</f>
        <v/>
      </c>
      <c r="BT350" t="str">
        <f>""</f>
        <v/>
      </c>
      <c r="BU350" t="str">
        <f>""</f>
        <v/>
      </c>
      <c r="BV350" t="str">
        <f>""</f>
        <v/>
      </c>
      <c r="BW350" t="str">
        <f>""</f>
        <v/>
      </c>
      <c r="BX350" t="str">
        <f>""</f>
        <v/>
      </c>
      <c r="BY350" t="str">
        <f>""</f>
        <v/>
      </c>
      <c r="BZ350" t="str">
        <f>""</f>
        <v/>
      </c>
      <c r="CA350" t="str">
        <f>""</f>
        <v/>
      </c>
      <c r="CB350" t="str">
        <f>""</f>
        <v/>
      </c>
      <c r="CC350" t="str">
        <f>""</f>
        <v/>
      </c>
      <c r="CD350" t="str">
        <f>""</f>
        <v/>
      </c>
      <c r="CE350" t="str">
        <f>""</f>
        <v/>
      </c>
      <c r="CF350" t="str">
        <f>""</f>
        <v/>
      </c>
      <c r="CG350" t="str">
        <f>""</f>
        <v/>
      </c>
      <c r="CH350" t="str">
        <f>""</f>
        <v/>
      </c>
      <c r="CI350" t="str">
        <f>""</f>
        <v/>
      </c>
      <c r="CJ350" t="str">
        <f>""</f>
        <v/>
      </c>
      <c r="CK350" t="str">
        <f>""</f>
        <v/>
      </c>
      <c r="CL350" t="str">
        <f>""</f>
        <v/>
      </c>
      <c r="CM350" t="str">
        <f>""</f>
        <v/>
      </c>
      <c r="CN350" t="str">
        <f>""</f>
        <v/>
      </c>
      <c r="CO350" t="str">
        <f>""</f>
        <v/>
      </c>
      <c r="CP350" t="str">
        <f>""</f>
        <v/>
      </c>
      <c r="CQ350" t="str">
        <f>""</f>
        <v/>
      </c>
      <c r="CR350" t="str">
        <f>""</f>
        <v/>
      </c>
      <c r="CS350" t="str">
        <f>""</f>
        <v/>
      </c>
      <c r="CT350" t="str">
        <f>""</f>
        <v/>
      </c>
      <c r="CU350" t="str">
        <f>""</f>
        <v/>
      </c>
      <c r="CV350" t="str">
        <f>""</f>
        <v/>
      </c>
      <c r="CW350" t="str">
        <f>""</f>
        <v/>
      </c>
      <c r="CX350" t="str">
        <f>""</f>
        <v/>
      </c>
      <c r="CY350" t="str">
        <f>""</f>
        <v/>
      </c>
      <c r="CZ350" t="str">
        <f>""</f>
        <v/>
      </c>
      <c r="DA350" t="str">
        <f>""</f>
        <v/>
      </c>
      <c r="DB350" t="str">
        <f>""</f>
        <v/>
      </c>
      <c r="DC350" t="str">
        <f>""</f>
        <v/>
      </c>
      <c r="DD350" t="str">
        <f>""</f>
        <v/>
      </c>
      <c r="DE350" t="str">
        <f>""</f>
        <v/>
      </c>
      <c r="DF350" t="str">
        <f>""</f>
        <v/>
      </c>
      <c r="DG350" t="str">
        <f>""</f>
        <v/>
      </c>
      <c r="DH350" t="str">
        <f>""</f>
        <v/>
      </c>
      <c r="DI350" t="str">
        <f>""</f>
        <v/>
      </c>
      <c r="DJ350" t="str">
        <f>""</f>
        <v/>
      </c>
      <c r="DK350" t="str">
        <f>""</f>
        <v/>
      </c>
      <c r="DL350" t="str">
        <f>""</f>
        <v/>
      </c>
      <c r="DM350" t="str">
        <f>""</f>
        <v/>
      </c>
      <c r="DN350" t="str">
        <f>""</f>
        <v/>
      </c>
      <c r="DO350" t="str">
        <f>""</f>
        <v/>
      </c>
      <c r="DP350" t="str">
        <f>""</f>
        <v/>
      </c>
      <c r="DQ350" t="str">
        <f>""</f>
        <v/>
      </c>
      <c r="DR350" t="str">
        <f>""</f>
        <v/>
      </c>
      <c r="DS350" t="str">
        <f>""</f>
        <v/>
      </c>
      <c r="DT350" t="str">
        <f>""</f>
        <v/>
      </c>
      <c r="DU350" t="str">
        <f>""</f>
        <v/>
      </c>
    </row>
    <row r="351" spans="1:125">
      <c r="A351" t="str">
        <f>"BDH snapshot header2"</f>
        <v>BDH snapshot header2</v>
      </c>
      <c r="B351">
        <f>IF(OR(ISERROR($C$351),ISBLANK($C$351),ISNUMBER(SEARCH("N/A",$C$351) ),ISERROR($C$352),ISBLANK($C$352)),0,1)</f>
        <v>0</v>
      </c>
      <c r="C351" t="str">
        <f>BDH($B$187,$C$187,$B$181,$B$345,"PER=CQ","Dts=S","DtFmt=FI", "rows=2","Dir=H","Points=60","Sort=R","Days=A","Fill=B","FX=USD" )</f>
        <v>#N/A Authorization</v>
      </c>
      <c r="BN351" t="str">
        <f>""</f>
        <v/>
      </c>
      <c r="BO351" t="str">
        <f>""</f>
        <v/>
      </c>
      <c r="BP351" t="str">
        <f>""</f>
        <v/>
      </c>
      <c r="BQ351" t="str">
        <f>""</f>
        <v/>
      </c>
      <c r="BR351" t="str">
        <f>""</f>
        <v/>
      </c>
      <c r="BS351" t="str">
        <f>""</f>
        <v/>
      </c>
      <c r="BT351" t="str">
        <f>""</f>
        <v/>
      </c>
      <c r="BU351" t="str">
        <f>""</f>
        <v/>
      </c>
      <c r="BV351" t="str">
        <f>""</f>
        <v/>
      </c>
      <c r="BW351" t="str">
        <f>""</f>
        <v/>
      </c>
      <c r="BX351" t="str">
        <f>""</f>
        <v/>
      </c>
      <c r="BY351" t="str">
        <f>""</f>
        <v/>
      </c>
      <c r="BZ351" t="str">
        <f>""</f>
        <v/>
      </c>
      <c r="CA351" t="str">
        <f>""</f>
        <v/>
      </c>
      <c r="CB351" t="str">
        <f>""</f>
        <v/>
      </c>
      <c r="CC351" t="str">
        <f>""</f>
        <v/>
      </c>
      <c r="CD351" t="str">
        <f>""</f>
        <v/>
      </c>
      <c r="CE351" t="str">
        <f>""</f>
        <v/>
      </c>
      <c r="CF351" t="str">
        <f>""</f>
        <v/>
      </c>
      <c r="CG351" t="str">
        <f>""</f>
        <v/>
      </c>
      <c r="CH351" t="str">
        <f>""</f>
        <v/>
      </c>
      <c r="CI351" t="str">
        <f>""</f>
        <v/>
      </c>
      <c r="CJ351" t="str">
        <f>""</f>
        <v/>
      </c>
      <c r="CK351" t="str">
        <f>""</f>
        <v/>
      </c>
      <c r="CL351" t="str">
        <f>""</f>
        <v/>
      </c>
      <c r="CM351" t="str">
        <f>""</f>
        <v/>
      </c>
      <c r="CN351" t="str">
        <f>""</f>
        <v/>
      </c>
      <c r="CO351" t="str">
        <f>""</f>
        <v/>
      </c>
      <c r="CP351" t="str">
        <f>""</f>
        <v/>
      </c>
      <c r="CQ351" t="str">
        <f>""</f>
        <v/>
      </c>
      <c r="CR351" t="str">
        <f>""</f>
        <v/>
      </c>
      <c r="CS351" t="str">
        <f>""</f>
        <v/>
      </c>
      <c r="CT351" t="str">
        <f>""</f>
        <v/>
      </c>
      <c r="CU351" t="str">
        <f>""</f>
        <v/>
      </c>
      <c r="CV351" t="str">
        <f>""</f>
        <v/>
      </c>
      <c r="CW351" t="str">
        <f>""</f>
        <v/>
      </c>
      <c r="CX351" t="str">
        <f>""</f>
        <v/>
      </c>
      <c r="CY351" t="str">
        <f>""</f>
        <v/>
      </c>
      <c r="CZ351" t="str">
        <f>""</f>
        <v/>
      </c>
      <c r="DA351" t="str">
        <f>""</f>
        <v/>
      </c>
      <c r="DB351" t="str">
        <f>""</f>
        <v/>
      </c>
      <c r="DC351" t="str">
        <f>""</f>
        <v/>
      </c>
      <c r="DD351" t="str">
        <f>""</f>
        <v/>
      </c>
      <c r="DE351" t="str">
        <f>""</f>
        <v/>
      </c>
      <c r="DF351" t="str">
        <f>""</f>
        <v/>
      </c>
      <c r="DG351" t="str">
        <f>""</f>
        <v/>
      </c>
      <c r="DH351" t="str">
        <f>""</f>
        <v/>
      </c>
      <c r="DI351" t="str">
        <f>""</f>
        <v/>
      </c>
      <c r="DJ351" t="str">
        <f>""</f>
        <v/>
      </c>
      <c r="DK351" t="str">
        <f>""</f>
        <v/>
      </c>
      <c r="DL351" t="str">
        <f>""</f>
        <v/>
      </c>
      <c r="DM351" t="str">
        <f>""</f>
        <v/>
      </c>
      <c r="DN351" t="str">
        <f>""</f>
        <v/>
      </c>
      <c r="DO351" t="str">
        <f>""</f>
        <v/>
      </c>
      <c r="DP351" t="str">
        <f>""</f>
        <v/>
      </c>
      <c r="DQ351" t="str">
        <f>""</f>
        <v/>
      </c>
      <c r="DR351" t="str">
        <f>""</f>
        <v/>
      </c>
      <c r="DS351" t="str">
        <f>""</f>
        <v/>
      </c>
      <c r="DT351" t="str">
        <f>""</f>
        <v/>
      </c>
      <c r="DU351" t="str">
        <f>""</f>
        <v/>
      </c>
    </row>
    <row r="352" spans="1:125">
      <c r="A352" t="str">
        <f>"BDH snapshot result2"</f>
        <v>BDH snapshot result2</v>
      </c>
      <c r="BN352" t="str">
        <f>""</f>
        <v/>
      </c>
      <c r="BO352" t="str">
        <f>""</f>
        <v/>
      </c>
      <c r="BP352" t="str">
        <f>""</f>
        <v/>
      </c>
      <c r="BQ352" t="str">
        <f>""</f>
        <v/>
      </c>
      <c r="BR352" t="str">
        <f>""</f>
        <v/>
      </c>
      <c r="BS352" t="str">
        <f>""</f>
        <v/>
      </c>
      <c r="BT352" t="str">
        <f>""</f>
        <v/>
      </c>
      <c r="BU352" t="str">
        <f>""</f>
        <v/>
      </c>
      <c r="BV352" t="str">
        <f>""</f>
        <v/>
      </c>
      <c r="BW352" t="str">
        <f>""</f>
        <v/>
      </c>
      <c r="BX352" t="str">
        <f>""</f>
        <v/>
      </c>
      <c r="BY352" t="str">
        <f>""</f>
        <v/>
      </c>
      <c r="BZ352" t="str">
        <f>""</f>
        <v/>
      </c>
      <c r="CA352" t="str">
        <f>""</f>
        <v/>
      </c>
      <c r="CB352" t="str">
        <f>""</f>
        <v/>
      </c>
      <c r="CC352" t="str">
        <f>""</f>
        <v/>
      </c>
      <c r="CD352" t="str">
        <f>""</f>
        <v/>
      </c>
      <c r="CE352" t="str">
        <f>""</f>
        <v/>
      </c>
      <c r="CF352" t="str">
        <f>""</f>
        <v/>
      </c>
      <c r="CG352" t="str">
        <f>""</f>
        <v/>
      </c>
      <c r="CH352" t="str">
        <f>""</f>
        <v/>
      </c>
      <c r="CI352" t="str">
        <f>""</f>
        <v/>
      </c>
      <c r="CJ352" t="str">
        <f>""</f>
        <v/>
      </c>
      <c r="CK352" t="str">
        <f>""</f>
        <v/>
      </c>
      <c r="CL352" t="str">
        <f>""</f>
        <v/>
      </c>
      <c r="CM352" t="str">
        <f>""</f>
        <v/>
      </c>
      <c r="CN352" t="str">
        <f>""</f>
        <v/>
      </c>
      <c r="CO352" t="str">
        <f>""</f>
        <v/>
      </c>
      <c r="CP352" t="str">
        <f>""</f>
        <v/>
      </c>
      <c r="CQ352" t="str">
        <f>""</f>
        <v/>
      </c>
      <c r="CR352" t="str">
        <f>""</f>
        <v/>
      </c>
      <c r="CS352" t="str">
        <f>""</f>
        <v/>
      </c>
      <c r="CT352" t="str">
        <f>""</f>
        <v/>
      </c>
      <c r="CU352" t="str">
        <f>""</f>
        <v/>
      </c>
      <c r="CV352" t="str">
        <f>""</f>
        <v/>
      </c>
      <c r="CW352" t="str">
        <f>""</f>
        <v/>
      </c>
      <c r="CX352" t="str">
        <f>""</f>
        <v/>
      </c>
      <c r="CY352" t="str">
        <f>""</f>
        <v/>
      </c>
      <c r="CZ352" t="str">
        <f>""</f>
        <v/>
      </c>
      <c r="DA352" t="str">
        <f>""</f>
        <v/>
      </c>
      <c r="DB352" t="str">
        <f>""</f>
        <v/>
      </c>
      <c r="DC352" t="str">
        <f>""</f>
        <v/>
      </c>
      <c r="DD352" t="str">
        <f>""</f>
        <v/>
      </c>
      <c r="DE352" t="str">
        <f>""</f>
        <v/>
      </c>
      <c r="DF352" t="str">
        <f>""</f>
        <v/>
      </c>
      <c r="DG352" t="str">
        <f>""</f>
        <v/>
      </c>
      <c r="DH352" t="str">
        <f>""</f>
        <v/>
      </c>
      <c r="DI352" t="str">
        <f>""</f>
        <v/>
      </c>
      <c r="DJ352" t="str">
        <f>""</f>
        <v/>
      </c>
      <c r="DK352" t="str">
        <f>""</f>
        <v/>
      </c>
      <c r="DL352" t="str">
        <f>""</f>
        <v/>
      </c>
      <c r="DM352" t="str">
        <f>""</f>
        <v/>
      </c>
      <c r="DN352" t="str">
        <f>""</f>
        <v/>
      </c>
      <c r="DO352" t="str">
        <f>""</f>
        <v/>
      </c>
      <c r="DP352" t="str">
        <f>""</f>
        <v/>
      </c>
      <c r="DQ352" t="str">
        <f>""</f>
        <v/>
      </c>
      <c r="DR352" t="str">
        <f>""</f>
        <v/>
      </c>
      <c r="DS352" t="str">
        <f>""</f>
        <v/>
      </c>
      <c r="DT352" t="str">
        <f>""</f>
        <v/>
      </c>
      <c r="DU352" t="str">
        <f>""</f>
        <v/>
      </c>
    </row>
    <row r="353" spans="1:125">
      <c r="A353" t="str">
        <f>"BDH snapshot"</f>
        <v>BDH snapshot</v>
      </c>
      <c r="B353">
        <f>IF($B$347&gt;=1,$B$347,IF($B$349&gt;=1,$B$349,IF($B$351&gt;=1,$B$351,$B$346)))</f>
        <v>2</v>
      </c>
      <c r="C353" t="str">
        <f>IF($B$347&gt;=1,$C$347,IF($B$349&gt;=1,$C$349,IF($B$351&gt;=1,$C$351,$C$346)))</f>
        <v>2017 Q4</v>
      </c>
      <c r="D353" t="str">
        <f>IF($B$347&gt;=1,$D$347,IF($B$349&gt;=1,$D$349,IF($B$351&gt;=1,$D$351,$D$346)))</f>
        <v>2017 Q3</v>
      </c>
      <c r="E353" t="str">
        <f>IF($B$347&gt;=1,$E$347,IF($B$349&gt;=1,$E$349,IF($B$351&gt;=1,$E$351,$E$346)))</f>
        <v>2017 Q2</v>
      </c>
      <c r="F353" t="str">
        <f>IF($B$347&gt;=1,$F$347,IF($B$349&gt;=1,$F$349,IF($B$351&gt;=1,$F$351,$F$346)))</f>
        <v>2017 Q1</v>
      </c>
      <c r="G353" t="str">
        <f>IF($B$347&gt;=1,$G$347,IF($B$349&gt;=1,$G$349,IF($B$351&gt;=1,$G$351,$G$346)))</f>
        <v>2016 Q4</v>
      </c>
      <c r="H353" t="str">
        <f>IF($B$347&gt;=1,$H$347,IF($B$349&gt;=1,$H$349,IF($B$351&gt;=1,$H$351,$H$346)))</f>
        <v>2016 Q3</v>
      </c>
      <c r="I353" t="str">
        <f>IF($B$347&gt;=1,$I$347,IF($B$349&gt;=1,$I$349,IF($B$351&gt;=1,$I$351,$I$346)))</f>
        <v>2016 Q2</v>
      </c>
      <c r="J353" t="str">
        <f>IF($B$347&gt;=1,$J$347,IF($B$349&gt;=1,$J$349,IF($B$351&gt;=1,$J$351,$J$346)))</f>
        <v>2016 Q1</v>
      </c>
      <c r="K353" t="str">
        <f>IF($B$347&gt;=1,$K$347,IF($B$349&gt;=1,$K$349,IF($B$351&gt;=1,$K$351,$K$346)))</f>
        <v>2015 Q4</v>
      </c>
      <c r="L353" t="str">
        <f>IF($B$347&gt;=1,$L$347,IF($B$349&gt;=1,$L$349,IF($B$351&gt;=1,$L$351,$L$346)))</f>
        <v>2015 Q3</v>
      </c>
      <c r="M353" t="str">
        <f>IF($B$347&gt;=1,$M$347,IF($B$349&gt;=1,$M$349,IF($B$351&gt;=1,$M$351,$M$346)))</f>
        <v>2015 Q2</v>
      </c>
      <c r="N353" t="str">
        <f>IF($B$347&gt;=1,$N$347,IF($B$349&gt;=1,$N$349,IF($B$351&gt;=1,$N$351,$N$346)))</f>
        <v>2015 Q1</v>
      </c>
      <c r="O353" t="str">
        <f>IF($B$347&gt;=1,$O$347,IF($B$349&gt;=1,$O$349,IF($B$351&gt;=1,$O$351,$O$346)))</f>
        <v>2014 Q4</v>
      </c>
      <c r="P353" t="str">
        <f>IF($B$347&gt;=1,$P$347,IF($B$349&gt;=1,$P$349,IF($B$351&gt;=1,$P$351,$P$346)))</f>
        <v>2014 Q3</v>
      </c>
      <c r="Q353" t="str">
        <f>IF($B$347&gt;=1,$Q$347,IF($B$349&gt;=1,$Q$349,IF($B$351&gt;=1,$Q$351,$Q$346)))</f>
        <v>2014 Q2</v>
      </c>
      <c r="R353" t="str">
        <f>IF($B$347&gt;=1,$R$347,IF($B$349&gt;=1,$R$349,IF($B$351&gt;=1,$R$351,$R$346)))</f>
        <v>2014 Q1</v>
      </c>
      <c r="S353" t="str">
        <f>IF($B$347&gt;=1,$S$347,IF($B$349&gt;=1,$S$349,IF($B$351&gt;=1,$S$351,$S$346)))</f>
        <v>2013 Q4</v>
      </c>
      <c r="T353" t="str">
        <f>IF($B$347&gt;=1,$T$347,IF($B$349&gt;=1,$T$349,IF($B$351&gt;=1,$T$351,$T$346)))</f>
        <v>2013 Q3</v>
      </c>
      <c r="U353" t="str">
        <f>IF($B$347&gt;=1,$U$347,IF($B$349&gt;=1,$U$349,IF($B$351&gt;=1,$U$351,$U$346)))</f>
        <v>2013 Q2</v>
      </c>
      <c r="V353" t="str">
        <f>IF($B$347&gt;=1,$V$347,IF($B$349&gt;=1,$V$349,IF($B$351&gt;=1,$V$351,$V$346)))</f>
        <v>2013 Q1</v>
      </c>
      <c r="W353" t="str">
        <f>IF($B$347&gt;=1,$W$347,IF($B$349&gt;=1,$W$349,IF($B$351&gt;=1,$W$351,$W$346)))</f>
        <v>2012 Q4</v>
      </c>
      <c r="X353" t="str">
        <f>IF($B$347&gt;=1,$X$347,IF($B$349&gt;=1,$X$349,IF($B$351&gt;=1,$X$351,$X$346)))</f>
        <v>2012 Q3</v>
      </c>
      <c r="Y353" t="str">
        <f>IF($B$347&gt;=1,$Y$347,IF($B$349&gt;=1,$Y$349,IF($B$351&gt;=1,$Y$351,$Y$346)))</f>
        <v>2012 Q2</v>
      </c>
      <c r="Z353" t="str">
        <f>IF($B$347&gt;=1,$Z$347,IF($B$349&gt;=1,$Z$349,IF($B$351&gt;=1,$Z$351,$Z$346)))</f>
        <v>2012 Q1</v>
      </c>
      <c r="AA353" t="str">
        <f>IF($B$347&gt;=1,$AA$347,IF($B$349&gt;=1,$AA$349,IF($B$351&gt;=1,$AA$351,$AA$346)))</f>
        <v>2011 Q4</v>
      </c>
      <c r="AB353" t="str">
        <f>IF($B$347&gt;=1,$AB$347,IF($B$349&gt;=1,$AB$349,IF($B$351&gt;=1,$AB$351,$AB$346)))</f>
        <v>2011 Q3</v>
      </c>
      <c r="AC353" t="str">
        <f>IF($B$347&gt;=1,$AC$347,IF($B$349&gt;=1,$AC$349,IF($B$351&gt;=1,$AC$351,$AC$346)))</f>
        <v>2011 Q2</v>
      </c>
      <c r="AD353" t="str">
        <f>IF($B$347&gt;=1,$AD$347,IF($B$349&gt;=1,$AD$349,IF($B$351&gt;=1,$AD$351,$AD$346)))</f>
        <v>2011 Q1</v>
      </c>
      <c r="AE353" t="str">
        <f>IF($B$347&gt;=1,$AE$347,IF($B$349&gt;=1,$AE$349,IF($B$351&gt;=1,$AE$351,$AE$346)))</f>
        <v>2010 Q4</v>
      </c>
      <c r="AF353" t="str">
        <f>IF($B$347&gt;=1,$AF$347,IF($B$349&gt;=1,$AF$349,IF($B$351&gt;=1,$AF$351,$AF$346)))</f>
        <v>2010 Q3</v>
      </c>
      <c r="AG353" t="str">
        <f>IF($B$347&gt;=1,$AG$347,IF($B$349&gt;=1,$AG$349,IF($B$351&gt;=1,$AG$351,$AG$346)))</f>
        <v>2010 Q2</v>
      </c>
      <c r="AH353" t="str">
        <f>IF($B$347&gt;=1,$AH$347,IF($B$349&gt;=1,$AH$349,IF($B$351&gt;=1,$AH$351,$AH$346)))</f>
        <v>2010 Q1</v>
      </c>
      <c r="AI353" t="str">
        <f>IF($B$347&gt;=1,$AI$347,IF($B$349&gt;=1,$AI$349,IF($B$351&gt;=1,$AI$351,$AI$346)))</f>
        <v>2009 Q4</v>
      </c>
      <c r="AJ353" t="str">
        <f>IF($B$347&gt;=1,$AJ$347,IF($B$349&gt;=1,$AJ$349,IF($B$351&gt;=1,$AJ$351,$AJ$346)))</f>
        <v>2009 Q3</v>
      </c>
      <c r="AK353" t="str">
        <f>IF($B$347&gt;=1,$AK$347,IF($B$349&gt;=1,$AK$349,IF($B$351&gt;=1,$AK$351,$AK$346)))</f>
        <v>2009 Q2</v>
      </c>
      <c r="AL353" t="str">
        <f>IF($B$347&gt;=1,$AL$347,IF($B$349&gt;=1,$AL$349,IF($B$351&gt;=1,$AL$351,$AL$346)))</f>
        <v>2009 Q1</v>
      </c>
      <c r="AM353" t="str">
        <f>IF($B$347&gt;=1,$AM$347,IF($B$349&gt;=1,$AM$349,IF($B$351&gt;=1,$AM$351,$AM$346)))</f>
        <v>2008 Q4</v>
      </c>
      <c r="AN353" t="str">
        <f>IF($B$347&gt;=1,$AN$347,IF($B$349&gt;=1,$AN$349,IF($B$351&gt;=1,$AN$351,$AN$346)))</f>
        <v>2008 Q3</v>
      </c>
      <c r="AO353" t="str">
        <f>IF($B$347&gt;=1,$AO$347,IF($B$349&gt;=1,$AO$349,IF($B$351&gt;=1,$AO$351,$AO$346)))</f>
        <v>2008 Q2</v>
      </c>
      <c r="AP353" t="str">
        <f>IF($B$347&gt;=1,$AP$347,IF($B$349&gt;=1,$AP$349,IF($B$351&gt;=1,$AP$351,$AP$346)))</f>
        <v>2008 Q1</v>
      </c>
      <c r="AQ353" t="str">
        <f>IF($B$347&gt;=1,$AQ$347,IF($B$349&gt;=1,$AQ$349,IF($B$351&gt;=1,$AQ$351,$AQ$346)))</f>
        <v>2007 Q4</v>
      </c>
      <c r="AR353" t="str">
        <f>IF($B$347&gt;=1,$AR$347,IF($B$349&gt;=1,$AR$349,IF($B$351&gt;=1,$AR$351,$AR$346)))</f>
        <v>2007 Q3</v>
      </c>
      <c r="AS353" t="str">
        <f>IF($B$347&gt;=1,$AS$347,IF($B$349&gt;=1,$AS$349,IF($B$351&gt;=1,$AS$351,$AS$346)))</f>
        <v>2007 Q2</v>
      </c>
      <c r="AT353" t="str">
        <f>IF($B$347&gt;=1,$AT$347,IF($B$349&gt;=1,$AT$349,IF($B$351&gt;=1,$AT$351,$AT$346)))</f>
        <v>2007 Q1</v>
      </c>
      <c r="AU353" t="str">
        <f>IF($B$347&gt;=1,$AU$347,IF($B$349&gt;=1,$AU$349,IF($B$351&gt;=1,$AU$351,$AU$346)))</f>
        <v>2006 Q4</v>
      </c>
      <c r="AV353" t="str">
        <f>IF($B$347&gt;=1,$AV$347,IF($B$349&gt;=1,$AV$349,IF($B$351&gt;=1,$AV$351,$AV$346)))</f>
        <v>2006 Q3</v>
      </c>
      <c r="AW353" t="str">
        <f>IF($B$347&gt;=1,$AW$347,IF($B$349&gt;=1,$AW$349,IF($B$351&gt;=1,$AW$351,$AW$346)))</f>
        <v>2006 Q2</v>
      </c>
      <c r="AX353" t="str">
        <f>IF($B$347&gt;=1,$AX$347,IF($B$349&gt;=1,$AX$349,IF($B$351&gt;=1,$AX$351,$AX$346)))</f>
        <v>2006 Q1</v>
      </c>
      <c r="AY353" t="str">
        <f>IF($B$347&gt;=1,$AY$347,IF($B$349&gt;=1,$AY$349,IF($B$351&gt;=1,$AY$351,$AY$346)))</f>
        <v>2005 Q4</v>
      </c>
      <c r="AZ353" t="str">
        <f>IF($B$347&gt;=1,$AZ$347,IF($B$349&gt;=1,$AZ$349,IF($B$351&gt;=1,$AZ$351,$AZ$346)))</f>
        <v>2005 Q3</v>
      </c>
      <c r="BA353" t="str">
        <f>IF($B$347&gt;=1,$BA$347,IF($B$349&gt;=1,$BA$349,IF($B$351&gt;=1,$BA$351,$BA$346)))</f>
        <v>2005 Q2</v>
      </c>
      <c r="BB353" t="str">
        <f>IF($B$347&gt;=1,$BB$347,IF($B$349&gt;=1,$BB$349,IF($B$351&gt;=1,$BB$351,$BB$346)))</f>
        <v>2005 Q1</v>
      </c>
      <c r="BC353" t="str">
        <f>IF($B$347&gt;=1,$BC$347,IF($B$349&gt;=1,$BC$349,IF($B$351&gt;=1,$BC$351,$BC$346)))</f>
        <v>2004 Q4</v>
      </c>
      <c r="BD353" t="str">
        <f>IF($B$347&gt;=1,$BD$347,IF($B$349&gt;=1,$BD$349,IF($B$351&gt;=1,$BD$351,$BD$346)))</f>
        <v>2004 Q3</v>
      </c>
      <c r="BE353" t="str">
        <f>IF($B$347&gt;=1,$BE$347,IF($B$349&gt;=1,$BE$349,IF($B$351&gt;=1,$BE$351,$BE$346)))</f>
        <v>2004 Q2</v>
      </c>
      <c r="BF353" t="str">
        <f>IF($B$347&gt;=1,$BF$347,IF($B$349&gt;=1,$BF$349,IF($B$351&gt;=1,$BF$351,$BF$346)))</f>
        <v>2004 Q1</v>
      </c>
      <c r="BG353" t="str">
        <f>IF($B$347&gt;=1,$BG$347,IF($B$349&gt;=1,$BG$349,IF($B$351&gt;=1,$BG$351,$BG$346)))</f>
        <v>2003 Q4</v>
      </c>
      <c r="BH353" t="str">
        <f>IF($B$347&gt;=1,$BH$347,IF($B$349&gt;=1,$BH$349,IF($B$351&gt;=1,$BH$351,$BH$346)))</f>
        <v>2003 Q3</v>
      </c>
      <c r="BI353" t="str">
        <f>IF($B$347&gt;=1,$BI$347,IF($B$349&gt;=1,$BI$349,IF($B$351&gt;=1,$BI$351,$BI$346)))</f>
        <v>2003 Q2</v>
      </c>
      <c r="BJ353" t="str">
        <f>IF($B$347&gt;=1,$BJ$347,IF($B$349&gt;=1,$BJ$349,IF($B$351&gt;=1,$BJ$351,$BJ$346)))</f>
        <v>2003 Q1</v>
      </c>
      <c r="BN353" t="str">
        <f>""</f>
        <v/>
      </c>
      <c r="BO353" t="str">
        <f>""</f>
        <v/>
      </c>
      <c r="BP353" t="str">
        <f>""</f>
        <v/>
      </c>
      <c r="BQ353" t="str">
        <f>""</f>
        <v/>
      </c>
      <c r="BR353" t="str">
        <f>""</f>
        <v/>
      </c>
      <c r="BS353" t="str">
        <f>""</f>
        <v/>
      </c>
      <c r="BT353" t="str">
        <f>""</f>
        <v/>
      </c>
      <c r="BU353" t="str">
        <f>""</f>
        <v/>
      </c>
      <c r="BV353" t="str">
        <f>""</f>
        <v/>
      </c>
      <c r="BW353" t="str">
        <f>""</f>
        <v/>
      </c>
      <c r="BX353" t="str">
        <f>""</f>
        <v/>
      </c>
      <c r="BY353" t="str">
        <f>""</f>
        <v/>
      </c>
      <c r="BZ353" t="str">
        <f>""</f>
        <v/>
      </c>
      <c r="CA353" t="str">
        <f>""</f>
        <v/>
      </c>
      <c r="CB353" t="str">
        <f>""</f>
        <v/>
      </c>
      <c r="CC353" t="str">
        <f>""</f>
        <v/>
      </c>
      <c r="CD353" t="str">
        <f>""</f>
        <v/>
      </c>
      <c r="CE353" t="str">
        <f>""</f>
        <v/>
      </c>
      <c r="CF353" t="str">
        <f>""</f>
        <v/>
      </c>
      <c r="CG353" t="str">
        <f>""</f>
        <v/>
      </c>
      <c r="CH353" t="str">
        <f>""</f>
        <v/>
      </c>
      <c r="CI353" t="str">
        <f>""</f>
        <v/>
      </c>
      <c r="CJ353" t="str">
        <f>""</f>
        <v/>
      </c>
      <c r="CK353" t="str">
        <f>""</f>
        <v/>
      </c>
      <c r="CL353" t="str">
        <f>""</f>
        <v/>
      </c>
      <c r="CM353" t="str">
        <f>""</f>
        <v/>
      </c>
      <c r="CN353" t="str">
        <f>""</f>
        <v/>
      </c>
      <c r="CO353" t="str">
        <f>""</f>
        <v/>
      </c>
      <c r="CP353" t="str">
        <f>""</f>
        <v/>
      </c>
      <c r="CQ353" t="str">
        <f>""</f>
        <v/>
      </c>
      <c r="CR353" t="str">
        <f>""</f>
        <v/>
      </c>
      <c r="CS353" t="str">
        <f>""</f>
        <v/>
      </c>
      <c r="CT353" t="str">
        <f>""</f>
        <v/>
      </c>
      <c r="CU353" t="str">
        <f>""</f>
        <v/>
      </c>
      <c r="CV353" t="str">
        <f>""</f>
        <v/>
      </c>
      <c r="CW353" t="str">
        <f>""</f>
        <v/>
      </c>
      <c r="CX353" t="str">
        <f>""</f>
        <v/>
      </c>
      <c r="CY353" t="str">
        <f>""</f>
        <v/>
      </c>
      <c r="CZ353" t="str">
        <f>""</f>
        <v/>
      </c>
      <c r="DA353" t="str">
        <f>""</f>
        <v/>
      </c>
      <c r="DB353" t="str">
        <f>""</f>
        <v/>
      </c>
      <c r="DC353" t="str">
        <f>""</f>
        <v/>
      </c>
      <c r="DD353" t="str">
        <f>""</f>
        <v/>
      </c>
      <c r="DE353" t="str">
        <f>""</f>
        <v/>
      </c>
      <c r="DF353" t="str">
        <f>""</f>
        <v/>
      </c>
      <c r="DG353" t="str">
        <f>""</f>
        <v/>
      </c>
      <c r="DH353" t="str">
        <f>""</f>
        <v/>
      </c>
      <c r="DI353" t="str">
        <f>""</f>
        <v/>
      </c>
      <c r="DJ353" t="str">
        <f>""</f>
        <v/>
      </c>
      <c r="DK353" t="str">
        <f>""</f>
        <v/>
      </c>
      <c r="DL353" t="str">
        <f>""</f>
        <v/>
      </c>
      <c r="DM353" t="str">
        <f>""</f>
        <v/>
      </c>
      <c r="DN353" t="str">
        <f>""</f>
        <v/>
      </c>
      <c r="DO353" t="str">
        <f>""</f>
        <v/>
      </c>
      <c r="DP353" t="str">
        <f>""</f>
        <v/>
      </c>
      <c r="DQ353" t="str">
        <f>""</f>
        <v/>
      </c>
      <c r="DR353" t="str">
        <f>""</f>
        <v/>
      </c>
      <c r="DS353" t="str">
        <f>""</f>
        <v/>
      </c>
      <c r="DT353" t="str">
        <f>""</f>
        <v/>
      </c>
      <c r="DU353" t="str">
        <f>""</f>
        <v/>
      </c>
    </row>
    <row r="354" spans="1:125">
      <c r="A354" t="str">
        <f>"BDH snapshot title"</f>
        <v>BDH snapshot title</v>
      </c>
      <c r="B354">
        <f>$B$353</f>
        <v>2</v>
      </c>
      <c r="C354" t="str">
        <f>IF(LEN($C$353)&lt;&gt;8,$C$353,RIGHT($C$353,4)&amp;" "&amp;MID($C$353,3,1)&amp;LEFT($C$353,1))</f>
        <v>2017 Q4</v>
      </c>
      <c r="D354" t="str">
        <f>IF(LEN($D$353)&lt;&gt;8,$D$353,RIGHT($D$353,4)&amp;" "&amp;MID($D$353,3,1)&amp;LEFT($D$353,1))</f>
        <v>2017 Q3</v>
      </c>
      <c r="E354" t="str">
        <f>IF(LEN($E$353)&lt;&gt;8,$E$353,RIGHT($E$353,4)&amp;" "&amp;MID($E$353,3,1)&amp;LEFT($E$353,1))</f>
        <v>2017 Q2</v>
      </c>
      <c r="F354" t="str">
        <f>IF(LEN($F$353)&lt;&gt;8,$F$353,RIGHT($F$353,4)&amp;" "&amp;MID($F$353,3,1)&amp;LEFT($F$353,1))</f>
        <v>2017 Q1</v>
      </c>
      <c r="G354" t="str">
        <f>IF(LEN($G$353)&lt;&gt;8,$G$353,RIGHT($G$353,4)&amp;" "&amp;MID($G$353,3,1)&amp;LEFT($G$353,1))</f>
        <v>2016 Q4</v>
      </c>
      <c r="H354" t="str">
        <f>IF(LEN($H$353)&lt;&gt;8,$H$353,RIGHT($H$353,4)&amp;" "&amp;MID($H$353,3,1)&amp;LEFT($H$353,1))</f>
        <v>2016 Q3</v>
      </c>
      <c r="I354" t="str">
        <f>IF(LEN($I$353)&lt;&gt;8,$I$353,RIGHT($I$353,4)&amp;" "&amp;MID($I$353,3,1)&amp;LEFT($I$353,1))</f>
        <v>2016 Q2</v>
      </c>
      <c r="J354" t="str">
        <f>IF(LEN($J$353)&lt;&gt;8,$J$353,RIGHT($J$353,4)&amp;" "&amp;MID($J$353,3,1)&amp;LEFT($J$353,1))</f>
        <v>2016 Q1</v>
      </c>
      <c r="K354" t="str">
        <f>IF(LEN($K$353)&lt;&gt;8,$K$353,RIGHT($K$353,4)&amp;" "&amp;MID($K$353,3,1)&amp;LEFT($K$353,1))</f>
        <v>2015 Q4</v>
      </c>
      <c r="L354" t="str">
        <f>IF(LEN($L$353)&lt;&gt;8,$L$353,RIGHT($L$353,4)&amp;" "&amp;MID($L$353,3,1)&amp;LEFT($L$353,1))</f>
        <v>2015 Q3</v>
      </c>
      <c r="M354" t="str">
        <f>IF(LEN($M$353)&lt;&gt;8,$M$353,RIGHT($M$353,4)&amp;" "&amp;MID($M$353,3,1)&amp;LEFT($M$353,1))</f>
        <v>2015 Q2</v>
      </c>
      <c r="N354" t="str">
        <f>IF(LEN($N$353)&lt;&gt;8,$N$353,RIGHT($N$353,4)&amp;" "&amp;MID($N$353,3,1)&amp;LEFT($N$353,1))</f>
        <v>2015 Q1</v>
      </c>
      <c r="O354" t="str">
        <f>IF(LEN($O$353)&lt;&gt;8,$O$353,RIGHT($O$353,4)&amp;" "&amp;MID($O$353,3,1)&amp;LEFT($O$353,1))</f>
        <v>2014 Q4</v>
      </c>
      <c r="P354" t="str">
        <f>IF(LEN($P$353)&lt;&gt;8,$P$353,RIGHT($P$353,4)&amp;" "&amp;MID($P$353,3,1)&amp;LEFT($P$353,1))</f>
        <v>2014 Q3</v>
      </c>
      <c r="Q354" t="str">
        <f>IF(LEN($Q$353)&lt;&gt;8,$Q$353,RIGHT($Q$353,4)&amp;" "&amp;MID($Q$353,3,1)&amp;LEFT($Q$353,1))</f>
        <v>2014 Q2</v>
      </c>
      <c r="R354" t="str">
        <f>IF(LEN($R$353)&lt;&gt;8,$R$353,RIGHT($R$353,4)&amp;" "&amp;MID($R$353,3,1)&amp;LEFT($R$353,1))</f>
        <v>2014 Q1</v>
      </c>
      <c r="S354" t="str">
        <f>IF(LEN($S$353)&lt;&gt;8,$S$353,RIGHT($S$353,4)&amp;" "&amp;MID($S$353,3,1)&amp;LEFT($S$353,1))</f>
        <v>2013 Q4</v>
      </c>
      <c r="T354" t="str">
        <f>IF(LEN($T$353)&lt;&gt;8,$T$353,RIGHT($T$353,4)&amp;" "&amp;MID($T$353,3,1)&amp;LEFT($T$353,1))</f>
        <v>2013 Q3</v>
      </c>
      <c r="U354" t="str">
        <f>IF(LEN($U$353)&lt;&gt;8,$U$353,RIGHT($U$353,4)&amp;" "&amp;MID($U$353,3,1)&amp;LEFT($U$353,1))</f>
        <v>2013 Q2</v>
      </c>
      <c r="V354" t="str">
        <f>IF(LEN($V$353)&lt;&gt;8,$V$353,RIGHT($V$353,4)&amp;" "&amp;MID($V$353,3,1)&amp;LEFT($V$353,1))</f>
        <v>2013 Q1</v>
      </c>
      <c r="W354" t="str">
        <f>IF(LEN($W$353)&lt;&gt;8,$W$353,RIGHT($W$353,4)&amp;" "&amp;MID($W$353,3,1)&amp;LEFT($W$353,1))</f>
        <v>2012 Q4</v>
      </c>
      <c r="X354" t="str">
        <f>IF(LEN($X$353)&lt;&gt;8,$X$353,RIGHT($X$353,4)&amp;" "&amp;MID($X$353,3,1)&amp;LEFT($X$353,1))</f>
        <v>2012 Q3</v>
      </c>
      <c r="Y354" t="str">
        <f>IF(LEN($Y$353)&lt;&gt;8,$Y$353,RIGHT($Y$353,4)&amp;" "&amp;MID($Y$353,3,1)&amp;LEFT($Y$353,1))</f>
        <v>2012 Q2</v>
      </c>
      <c r="Z354" t="str">
        <f>IF(LEN($Z$353)&lt;&gt;8,$Z$353,RIGHT($Z$353,4)&amp;" "&amp;MID($Z$353,3,1)&amp;LEFT($Z$353,1))</f>
        <v>2012 Q1</v>
      </c>
      <c r="AA354" t="str">
        <f>IF(LEN($AA$353)&lt;&gt;8,$AA$353,RIGHT($AA$353,4)&amp;" "&amp;MID($AA$353,3,1)&amp;LEFT($AA$353,1))</f>
        <v>2011 Q4</v>
      </c>
      <c r="AB354" t="str">
        <f>IF(LEN($AB$353)&lt;&gt;8,$AB$353,RIGHT($AB$353,4)&amp;" "&amp;MID($AB$353,3,1)&amp;LEFT($AB$353,1))</f>
        <v>2011 Q3</v>
      </c>
      <c r="AC354" t="str">
        <f>IF(LEN($AC$353)&lt;&gt;8,$AC$353,RIGHT($AC$353,4)&amp;" "&amp;MID($AC$353,3,1)&amp;LEFT($AC$353,1))</f>
        <v>2011 Q2</v>
      </c>
      <c r="AD354" t="str">
        <f>IF(LEN($AD$353)&lt;&gt;8,$AD$353,RIGHT($AD$353,4)&amp;" "&amp;MID($AD$353,3,1)&amp;LEFT($AD$353,1))</f>
        <v>2011 Q1</v>
      </c>
      <c r="AE354" t="str">
        <f>IF(LEN($AE$353)&lt;&gt;8,$AE$353,RIGHT($AE$353,4)&amp;" "&amp;MID($AE$353,3,1)&amp;LEFT($AE$353,1))</f>
        <v>2010 Q4</v>
      </c>
      <c r="AF354" t="str">
        <f>IF(LEN($AF$353)&lt;&gt;8,$AF$353,RIGHT($AF$353,4)&amp;" "&amp;MID($AF$353,3,1)&amp;LEFT($AF$353,1))</f>
        <v>2010 Q3</v>
      </c>
      <c r="AG354" t="str">
        <f>IF(LEN($AG$353)&lt;&gt;8,$AG$353,RIGHT($AG$353,4)&amp;" "&amp;MID($AG$353,3,1)&amp;LEFT($AG$353,1))</f>
        <v>2010 Q2</v>
      </c>
      <c r="AH354" t="str">
        <f>IF(LEN($AH$353)&lt;&gt;8,$AH$353,RIGHT($AH$353,4)&amp;" "&amp;MID($AH$353,3,1)&amp;LEFT($AH$353,1))</f>
        <v>2010 Q1</v>
      </c>
      <c r="AI354" t="str">
        <f>IF(LEN($AI$353)&lt;&gt;8,$AI$353,RIGHT($AI$353,4)&amp;" "&amp;MID($AI$353,3,1)&amp;LEFT($AI$353,1))</f>
        <v>2009 Q4</v>
      </c>
      <c r="AJ354" t="str">
        <f>IF(LEN($AJ$353)&lt;&gt;8,$AJ$353,RIGHT($AJ$353,4)&amp;" "&amp;MID($AJ$353,3,1)&amp;LEFT($AJ$353,1))</f>
        <v>2009 Q3</v>
      </c>
      <c r="AK354" t="str">
        <f>IF(LEN($AK$353)&lt;&gt;8,$AK$353,RIGHT($AK$353,4)&amp;" "&amp;MID($AK$353,3,1)&amp;LEFT($AK$353,1))</f>
        <v>2009 Q2</v>
      </c>
      <c r="AL354" t="str">
        <f>IF(LEN($AL$353)&lt;&gt;8,$AL$353,RIGHT($AL$353,4)&amp;" "&amp;MID($AL$353,3,1)&amp;LEFT($AL$353,1))</f>
        <v>2009 Q1</v>
      </c>
      <c r="AM354" t="str">
        <f>IF(LEN($AM$353)&lt;&gt;8,$AM$353,RIGHT($AM$353,4)&amp;" "&amp;MID($AM$353,3,1)&amp;LEFT($AM$353,1))</f>
        <v>2008 Q4</v>
      </c>
      <c r="AN354" t="str">
        <f>IF(LEN($AN$353)&lt;&gt;8,$AN$353,RIGHT($AN$353,4)&amp;" "&amp;MID($AN$353,3,1)&amp;LEFT($AN$353,1))</f>
        <v>2008 Q3</v>
      </c>
      <c r="AO354" t="str">
        <f>IF(LEN($AO$353)&lt;&gt;8,$AO$353,RIGHT($AO$353,4)&amp;" "&amp;MID($AO$353,3,1)&amp;LEFT($AO$353,1))</f>
        <v>2008 Q2</v>
      </c>
      <c r="AP354" t="str">
        <f>IF(LEN($AP$353)&lt;&gt;8,$AP$353,RIGHT($AP$353,4)&amp;" "&amp;MID($AP$353,3,1)&amp;LEFT($AP$353,1))</f>
        <v>2008 Q1</v>
      </c>
      <c r="AQ354" t="str">
        <f>IF(LEN($AQ$353)&lt;&gt;8,$AQ$353,RIGHT($AQ$353,4)&amp;" "&amp;MID($AQ$353,3,1)&amp;LEFT($AQ$353,1))</f>
        <v>2007 Q4</v>
      </c>
      <c r="AR354" t="str">
        <f>IF(LEN($AR$353)&lt;&gt;8,$AR$353,RIGHT($AR$353,4)&amp;" "&amp;MID($AR$353,3,1)&amp;LEFT($AR$353,1))</f>
        <v>2007 Q3</v>
      </c>
      <c r="AS354" t="str">
        <f>IF(LEN($AS$353)&lt;&gt;8,$AS$353,RIGHT($AS$353,4)&amp;" "&amp;MID($AS$353,3,1)&amp;LEFT($AS$353,1))</f>
        <v>2007 Q2</v>
      </c>
      <c r="AT354" t="str">
        <f>IF(LEN($AT$353)&lt;&gt;8,$AT$353,RIGHT($AT$353,4)&amp;" "&amp;MID($AT$353,3,1)&amp;LEFT($AT$353,1))</f>
        <v>2007 Q1</v>
      </c>
      <c r="AU354" t="str">
        <f>IF(LEN($AU$353)&lt;&gt;8,$AU$353,RIGHT($AU$353,4)&amp;" "&amp;MID($AU$353,3,1)&amp;LEFT($AU$353,1))</f>
        <v>2006 Q4</v>
      </c>
      <c r="AV354" t="str">
        <f>IF(LEN($AV$353)&lt;&gt;8,$AV$353,RIGHT($AV$353,4)&amp;" "&amp;MID($AV$353,3,1)&amp;LEFT($AV$353,1))</f>
        <v>2006 Q3</v>
      </c>
      <c r="AW354" t="str">
        <f>IF(LEN($AW$353)&lt;&gt;8,$AW$353,RIGHT($AW$353,4)&amp;" "&amp;MID($AW$353,3,1)&amp;LEFT($AW$353,1))</f>
        <v>2006 Q2</v>
      </c>
      <c r="AX354" t="str">
        <f>IF(LEN($AX$353)&lt;&gt;8,$AX$353,RIGHT($AX$353,4)&amp;" "&amp;MID($AX$353,3,1)&amp;LEFT($AX$353,1))</f>
        <v>2006 Q1</v>
      </c>
      <c r="AY354" t="str">
        <f>IF(LEN($AY$353)&lt;&gt;8,$AY$353,RIGHT($AY$353,4)&amp;" "&amp;MID($AY$353,3,1)&amp;LEFT($AY$353,1))</f>
        <v>2005 Q4</v>
      </c>
      <c r="AZ354" t="str">
        <f>IF(LEN($AZ$353)&lt;&gt;8,$AZ$353,RIGHT($AZ$353,4)&amp;" "&amp;MID($AZ$353,3,1)&amp;LEFT($AZ$353,1))</f>
        <v>2005 Q3</v>
      </c>
      <c r="BA354" t="str">
        <f>IF(LEN($BA$353)&lt;&gt;8,$BA$353,RIGHT($BA$353,4)&amp;" "&amp;MID($BA$353,3,1)&amp;LEFT($BA$353,1))</f>
        <v>2005 Q2</v>
      </c>
      <c r="BB354" t="str">
        <f>IF(LEN($BB$353)&lt;&gt;8,$BB$353,RIGHT($BB$353,4)&amp;" "&amp;MID($BB$353,3,1)&amp;LEFT($BB$353,1))</f>
        <v>2005 Q1</v>
      </c>
      <c r="BC354" t="str">
        <f>IF(LEN($BC$353)&lt;&gt;8,$BC$353,RIGHT($BC$353,4)&amp;" "&amp;MID($BC$353,3,1)&amp;LEFT($BC$353,1))</f>
        <v>2004 Q4</v>
      </c>
      <c r="BD354" t="str">
        <f>IF(LEN($BD$353)&lt;&gt;8,$BD$353,RIGHT($BD$353,4)&amp;" "&amp;MID($BD$353,3,1)&amp;LEFT($BD$353,1))</f>
        <v>2004 Q3</v>
      </c>
      <c r="BE354" t="str">
        <f>IF(LEN($BE$353)&lt;&gt;8,$BE$353,RIGHT($BE$353,4)&amp;" "&amp;MID($BE$353,3,1)&amp;LEFT($BE$353,1))</f>
        <v>2004 Q2</v>
      </c>
      <c r="BF354" t="str">
        <f>IF(LEN($BF$353)&lt;&gt;8,$BF$353,RIGHT($BF$353,4)&amp;" "&amp;MID($BF$353,3,1)&amp;LEFT($BF$353,1))</f>
        <v>2004 Q1</v>
      </c>
      <c r="BG354" t="str">
        <f>IF(LEN($BG$353)&lt;&gt;8,$BG$353,RIGHT($BG$353,4)&amp;" "&amp;MID($BG$353,3,1)&amp;LEFT($BG$353,1))</f>
        <v>2003 Q4</v>
      </c>
      <c r="BH354" t="str">
        <f>IF(LEN($BH$353)&lt;&gt;8,$BH$353,RIGHT($BH$353,4)&amp;" "&amp;MID($BH$353,3,1)&amp;LEFT($BH$353,1))</f>
        <v>2003 Q3</v>
      </c>
      <c r="BI354" t="str">
        <f>IF(LEN($BI$353)&lt;&gt;8,$BI$353,RIGHT($BI$353,4)&amp;" "&amp;MID($BI$353,3,1)&amp;LEFT($BI$353,1))</f>
        <v>2003 Q2</v>
      </c>
      <c r="BJ354" t="str">
        <f>IF(LEN($BJ$353)&lt;&gt;8,$BJ$353,RIGHT($BJ$353,4)&amp;" "&amp;MID($BJ$353,3,1)&amp;LEFT($BJ$353,1))</f>
        <v>2003 Q1</v>
      </c>
      <c r="BN354" t="str">
        <f>""</f>
        <v/>
      </c>
      <c r="BO354" t="str">
        <f>""</f>
        <v/>
      </c>
      <c r="BP354" t="str">
        <f>""</f>
        <v/>
      </c>
      <c r="BQ354" t="str">
        <f>""</f>
        <v/>
      </c>
      <c r="BR354" t="str">
        <f>""</f>
        <v/>
      </c>
      <c r="BS354" t="str">
        <f>""</f>
        <v/>
      </c>
      <c r="BT354" t="str">
        <f>""</f>
        <v/>
      </c>
      <c r="BU354" t="str">
        <f>""</f>
        <v/>
      </c>
      <c r="BV354" t="str">
        <f>""</f>
        <v/>
      </c>
      <c r="BW354" t="str">
        <f>""</f>
        <v/>
      </c>
      <c r="BX354" t="str">
        <f>""</f>
        <v/>
      </c>
      <c r="BY354" t="str">
        <f>""</f>
        <v/>
      </c>
      <c r="BZ354" t="str">
        <f>""</f>
        <v/>
      </c>
      <c r="CA354" t="str">
        <f>""</f>
        <v/>
      </c>
      <c r="CB354" t="str">
        <f>""</f>
        <v/>
      </c>
      <c r="CC354" t="str">
        <f>""</f>
        <v/>
      </c>
      <c r="CD354" t="str">
        <f>""</f>
        <v/>
      </c>
      <c r="CE354" t="str">
        <f>""</f>
        <v/>
      </c>
      <c r="CF354" t="str">
        <f>""</f>
        <v/>
      </c>
      <c r="CG354" t="str">
        <f>""</f>
        <v/>
      </c>
      <c r="CH354" t="str">
        <f>""</f>
        <v/>
      </c>
      <c r="CI354" t="str">
        <f>""</f>
        <v/>
      </c>
      <c r="CJ354" t="str">
        <f>""</f>
        <v/>
      </c>
      <c r="CK354" t="str">
        <f>""</f>
        <v/>
      </c>
      <c r="CL354" t="str">
        <f>""</f>
        <v/>
      </c>
      <c r="CM354" t="str">
        <f>""</f>
        <v/>
      </c>
      <c r="CN354" t="str">
        <f>""</f>
        <v/>
      </c>
      <c r="CO354" t="str">
        <f>""</f>
        <v/>
      </c>
      <c r="CP354" t="str">
        <f>""</f>
        <v/>
      </c>
      <c r="CQ354" t="str">
        <f>""</f>
        <v/>
      </c>
      <c r="CR354" t="str">
        <f>""</f>
        <v/>
      </c>
      <c r="CS354" t="str">
        <f>""</f>
        <v/>
      </c>
      <c r="CT354" t="str">
        <f>""</f>
        <v/>
      </c>
      <c r="CU354" t="str">
        <f>""</f>
        <v/>
      </c>
      <c r="CV354" t="str">
        <f>""</f>
        <v/>
      </c>
      <c r="CW354" t="str">
        <f>""</f>
        <v/>
      </c>
      <c r="CX354" t="str">
        <f>""</f>
        <v/>
      </c>
      <c r="CY354" t="str">
        <f>""</f>
        <v/>
      </c>
      <c r="CZ354" t="str">
        <f>""</f>
        <v/>
      </c>
      <c r="DA354" t="str">
        <f>""</f>
        <v/>
      </c>
      <c r="DB354" t="str">
        <f>""</f>
        <v/>
      </c>
      <c r="DC354" t="str">
        <f>""</f>
        <v/>
      </c>
      <c r="DD354" t="str">
        <f>""</f>
        <v/>
      </c>
      <c r="DE354" t="str">
        <f>""</f>
        <v/>
      </c>
      <c r="DF354" t="str">
        <f>""</f>
        <v/>
      </c>
      <c r="DG354" t="str">
        <f>""</f>
        <v/>
      </c>
      <c r="DH354" t="str">
        <f>""</f>
        <v/>
      </c>
      <c r="DI354" t="str">
        <f>""</f>
        <v/>
      </c>
      <c r="DJ354" t="str">
        <f>""</f>
        <v/>
      </c>
      <c r="DK354" t="str">
        <f>""</f>
        <v/>
      </c>
      <c r="DL354" t="str">
        <f>""</f>
        <v/>
      </c>
      <c r="DM354" t="str">
        <f>""</f>
        <v/>
      </c>
      <c r="DN354" t="str">
        <f>""</f>
        <v/>
      </c>
      <c r="DO354" t="str">
        <f>""</f>
        <v/>
      </c>
      <c r="DP354" t="str">
        <f>""</f>
        <v/>
      </c>
      <c r="DQ354" t="str">
        <f>""</f>
        <v/>
      </c>
      <c r="DR354" t="str">
        <f>""</f>
        <v/>
      </c>
      <c r="DS354" t="str">
        <f>""</f>
        <v/>
      </c>
      <c r="DT354" t="str">
        <f>""</f>
        <v/>
      </c>
      <c r="DU354" t="str">
        <f>""</f>
        <v/>
      </c>
    </row>
    <row r="355" spans="1:125">
      <c r="A355" t="str">
        <f>"BDH dynamic header0"</f>
        <v>BDH dynamic header0</v>
      </c>
      <c r="B355">
        <f ca="1">IF(OR(ISERROR($C$355),ISBLANK($C$355),ISNUMBER(SEARCH("N/A",$C$355) ),ISERROR($C$356),ISBLANK($C$356)),0,1)</f>
        <v>0</v>
      </c>
      <c r="C355" t="str">
        <f ca="1">BDH($B$185,$C$185,$B$181,$B$182,"PER=CQ","Dts=S","DtFmt=FI", "rows=2","Dir=H","Points=60","Sort=R","Days=A","Fill=B","FX=USD" )</f>
        <v>#N/A Authorization</v>
      </c>
      <c r="BN355" t="str">
        <f>""</f>
        <v/>
      </c>
      <c r="BO355" t="str">
        <f>""</f>
        <v/>
      </c>
      <c r="BP355" t="str">
        <f>""</f>
        <v/>
      </c>
      <c r="BQ355" t="str">
        <f>""</f>
        <v/>
      </c>
      <c r="BR355" t="str">
        <f>""</f>
        <v/>
      </c>
      <c r="BS355" t="str">
        <f>""</f>
        <v/>
      </c>
      <c r="BT355" t="str">
        <f>""</f>
        <v/>
      </c>
      <c r="BU355" t="str">
        <f>""</f>
        <v/>
      </c>
      <c r="BV355" t="str">
        <f>""</f>
        <v/>
      </c>
      <c r="BW355" t="str">
        <f>""</f>
        <v/>
      </c>
      <c r="BX355" t="str">
        <f>""</f>
        <v/>
      </c>
      <c r="BY355" t="str">
        <f>""</f>
        <v/>
      </c>
      <c r="BZ355" t="str">
        <f>""</f>
        <v/>
      </c>
      <c r="CA355" t="str">
        <f>""</f>
        <v/>
      </c>
      <c r="CB355" t="str">
        <f>""</f>
        <v/>
      </c>
      <c r="CC355" t="str">
        <f>""</f>
        <v/>
      </c>
      <c r="CD355" t="str">
        <f>""</f>
        <v/>
      </c>
      <c r="CE355" t="str">
        <f>""</f>
        <v/>
      </c>
      <c r="CF355" t="str">
        <f>""</f>
        <v/>
      </c>
      <c r="CG355" t="str">
        <f>""</f>
        <v/>
      </c>
      <c r="CH355" t="str">
        <f>""</f>
        <v/>
      </c>
      <c r="CI355" t="str">
        <f>""</f>
        <v/>
      </c>
      <c r="CJ355" t="str">
        <f>""</f>
        <v/>
      </c>
      <c r="CK355" t="str">
        <f>""</f>
        <v/>
      </c>
      <c r="CL355" t="str">
        <f>""</f>
        <v/>
      </c>
      <c r="CM355" t="str">
        <f>""</f>
        <v/>
      </c>
      <c r="CN355" t="str">
        <f>""</f>
        <v/>
      </c>
      <c r="CO355" t="str">
        <f>""</f>
        <v/>
      </c>
      <c r="CP355" t="str">
        <f>""</f>
        <v/>
      </c>
      <c r="CQ355" t="str">
        <f>""</f>
        <v/>
      </c>
      <c r="CR355" t="str">
        <f>""</f>
        <v/>
      </c>
      <c r="CS355" t="str">
        <f>""</f>
        <v/>
      </c>
      <c r="CT355" t="str">
        <f>""</f>
        <v/>
      </c>
      <c r="CU355" t="str">
        <f>""</f>
        <v/>
      </c>
      <c r="CV355" t="str">
        <f>""</f>
        <v/>
      </c>
      <c r="CW355" t="str">
        <f>""</f>
        <v/>
      </c>
      <c r="CX355" t="str">
        <f>""</f>
        <v/>
      </c>
      <c r="CY355" t="str">
        <f>""</f>
        <v/>
      </c>
      <c r="CZ355" t="str">
        <f>""</f>
        <v/>
      </c>
      <c r="DA355" t="str">
        <f>""</f>
        <v/>
      </c>
      <c r="DB355" t="str">
        <f>""</f>
        <v/>
      </c>
      <c r="DC355" t="str">
        <f>""</f>
        <v/>
      </c>
      <c r="DD355" t="str">
        <f>""</f>
        <v/>
      </c>
      <c r="DE355" t="str">
        <f>""</f>
        <v/>
      </c>
      <c r="DF355" t="str">
        <f>""</f>
        <v/>
      </c>
      <c r="DG355" t="str">
        <f>""</f>
        <v/>
      </c>
      <c r="DH355" t="str">
        <f>""</f>
        <v/>
      </c>
      <c r="DI355" t="str">
        <f>""</f>
        <v/>
      </c>
      <c r="DJ355" t="str">
        <f>""</f>
        <v/>
      </c>
      <c r="DK355" t="str">
        <f>""</f>
        <v/>
      </c>
      <c r="DL355" t="str">
        <f>""</f>
        <v/>
      </c>
      <c r="DM355" t="str">
        <f>""</f>
        <v/>
      </c>
      <c r="DN355" t="str">
        <f>""</f>
        <v/>
      </c>
      <c r="DO355" t="str">
        <f>""</f>
        <v/>
      </c>
      <c r="DP355" t="str">
        <f>""</f>
        <v/>
      </c>
      <c r="DQ355" t="str">
        <f>""</f>
        <v/>
      </c>
      <c r="DR355" t="str">
        <f>""</f>
        <v/>
      </c>
      <c r="DS355" t="str">
        <f>""</f>
        <v/>
      </c>
      <c r="DT355" t="str">
        <f>""</f>
        <v/>
      </c>
      <c r="DU355" t="str">
        <f>""</f>
        <v/>
      </c>
    </row>
    <row r="356" spans="1:125">
      <c r="A356" t="str">
        <f>"BDH dynamic result0"</f>
        <v>BDH dynamic result0</v>
      </c>
      <c r="BN356" t="str">
        <f>""</f>
        <v/>
      </c>
      <c r="BO356" t="str">
        <f>""</f>
        <v/>
      </c>
      <c r="BP356" t="str">
        <f>""</f>
        <v/>
      </c>
      <c r="BQ356" t="str">
        <f>""</f>
        <v/>
      </c>
      <c r="BR356" t="str">
        <f>""</f>
        <v/>
      </c>
      <c r="BS356" t="str">
        <f>""</f>
        <v/>
      </c>
      <c r="BT356" t="str">
        <f>""</f>
        <v/>
      </c>
      <c r="BU356" t="str">
        <f>""</f>
        <v/>
      </c>
      <c r="BV356" t="str">
        <f>""</f>
        <v/>
      </c>
      <c r="BW356" t="str">
        <f>""</f>
        <v/>
      </c>
      <c r="BX356" t="str">
        <f>""</f>
        <v/>
      </c>
      <c r="BY356" t="str">
        <f>""</f>
        <v/>
      </c>
      <c r="BZ356" t="str">
        <f>""</f>
        <v/>
      </c>
      <c r="CA356" t="str">
        <f>""</f>
        <v/>
      </c>
      <c r="CB356" t="str">
        <f>""</f>
        <v/>
      </c>
      <c r="CC356" t="str">
        <f>""</f>
        <v/>
      </c>
      <c r="CD356" t="str">
        <f>""</f>
        <v/>
      </c>
      <c r="CE356" t="str">
        <f>""</f>
        <v/>
      </c>
      <c r="CF356" t="str">
        <f>""</f>
        <v/>
      </c>
      <c r="CG356" t="str">
        <f>""</f>
        <v/>
      </c>
      <c r="CH356" t="str">
        <f>""</f>
        <v/>
      </c>
      <c r="CI356" t="str">
        <f>""</f>
        <v/>
      </c>
      <c r="CJ356" t="str">
        <f>""</f>
        <v/>
      </c>
      <c r="CK356" t="str">
        <f>""</f>
        <v/>
      </c>
      <c r="CL356" t="str">
        <f>""</f>
        <v/>
      </c>
      <c r="CM356" t="str">
        <f>""</f>
        <v/>
      </c>
      <c r="CN356" t="str">
        <f>""</f>
        <v/>
      </c>
      <c r="CO356" t="str">
        <f>""</f>
        <v/>
      </c>
      <c r="CP356" t="str">
        <f>""</f>
        <v/>
      </c>
      <c r="CQ356" t="str">
        <f>""</f>
        <v/>
      </c>
      <c r="CR356" t="str">
        <f>""</f>
        <v/>
      </c>
      <c r="CS356" t="str">
        <f>""</f>
        <v/>
      </c>
      <c r="CT356" t="str">
        <f>""</f>
        <v/>
      </c>
      <c r="CU356" t="str">
        <f>""</f>
        <v/>
      </c>
      <c r="CV356" t="str">
        <f>""</f>
        <v/>
      </c>
      <c r="CW356" t="str">
        <f>""</f>
        <v/>
      </c>
      <c r="CX356" t="str">
        <f>""</f>
        <v/>
      </c>
      <c r="CY356" t="str">
        <f>""</f>
        <v/>
      </c>
      <c r="CZ356" t="str">
        <f>""</f>
        <v/>
      </c>
      <c r="DA356" t="str">
        <f>""</f>
        <v/>
      </c>
      <c r="DB356" t="str">
        <f>""</f>
        <v/>
      </c>
      <c r="DC356" t="str">
        <f>""</f>
        <v/>
      </c>
      <c r="DD356" t="str">
        <f>""</f>
        <v/>
      </c>
      <c r="DE356" t="str">
        <f>""</f>
        <v/>
      </c>
      <c r="DF356" t="str">
        <f>""</f>
        <v/>
      </c>
      <c r="DG356" t="str">
        <f>""</f>
        <v/>
      </c>
      <c r="DH356" t="str">
        <f>""</f>
        <v/>
      </c>
      <c r="DI356" t="str">
        <f>""</f>
        <v/>
      </c>
      <c r="DJ356" t="str">
        <f>""</f>
        <v/>
      </c>
      <c r="DK356" t="str">
        <f>""</f>
        <v/>
      </c>
      <c r="DL356" t="str">
        <f>""</f>
        <v/>
      </c>
      <c r="DM356" t="str">
        <f>""</f>
        <v/>
      </c>
      <c r="DN356" t="str">
        <f>""</f>
        <v/>
      </c>
      <c r="DO356" t="str">
        <f>""</f>
        <v/>
      </c>
      <c r="DP356" t="str">
        <f>""</f>
        <v/>
      </c>
      <c r="DQ356" t="str">
        <f>""</f>
        <v/>
      </c>
      <c r="DR356" t="str">
        <f>""</f>
        <v/>
      </c>
      <c r="DS356" t="str">
        <f>""</f>
        <v/>
      </c>
      <c r="DT356" t="str">
        <f>""</f>
        <v/>
      </c>
      <c r="DU356" t="str">
        <f>""</f>
        <v/>
      </c>
    </row>
    <row r="357" spans="1:125">
      <c r="A357" t="str">
        <f>"BDH dynamic header1"</f>
        <v>BDH dynamic header1</v>
      </c>
      <c r="B357">
        <f ca="1">IF(OR(ISERROR($C$357),ISBLANK($C$357),ISNUMBER(SEARCH("N/A",$C$357) ),ISERROR($C$358),ISBLANK($C$358)),0,1)</f>
        <v>0</v>
      </c>
      <c r="C357" t="str">
        <f ca="1">BDH($B$186,$C$186,$B$181,$B$182,"PER=CQ","Dts=S","DtFmt=FI", "rows=2","Dir=H","Points=60","Sort=R","Days=A","Fill=B","FX=USD" )</f>
        <v>#N/A Authorization</v>
      </c>
      <c r="BN357" t="str">
        <f>""</f>
        <v/>
      </c>
      <c r="BO357" t="str">
        <f>""</f>
        <v/>
      </c>
      <c r="BP357" t="str">
        <f>""</f>
        <v/>
      </c>
      <c r="BQ357" t="str">
        <f>""</f>
        <v/>
      </c>
      <c r="BR357" t="str">
        <f>""</f>
        <v/>
      </c>
      <c r="BS357" t="str">
        <f>""</f>
        <v/>
      </c>
      <c r="BT357" t="str">
        <f>""</f>
        <v/>
      </c>
      <c r="BU357" t="str">
        <f>""</f>
        <v/>
      </c>
      <c r="BV357" t="str">
        <f>""</f>
        <v/>
      </c>
      <c r="BW357" t="str">
        <f>""</f>
        <v/>
      </c>
      <c r="BX357" t="str">
        <f>""</f>
        <v/>
      </c>
      <c r="BY357" t="str">
        <f>""</f>
        <v/>
      </c>
      <c r="BZ357" t="str">
        <f>""</f>
        <v/>
      </c>
      <c r="CA357" t="str">
        <f>""</f>
        <v/>
      </c>
      <c r="CB357" t="str">
        <f>""</f>
        <v/>
      </c>
      <c r="CC357" t="str">
        <f>""</f>
        <v/>
      </c>
      <c r="CD357" t="str">
        <f>""</f>
        <v/>
      </c>
      <c r="CE357" t="str">
        <f>""</f>
        <v/>
      </c>
      <c r="CF357" t="str">
        <f>""</f>
        <v/>
      </c>
      <c r="CG357" t="str">
        <f>""</f>
        <v/>
      </c>
      <c r="CH357" t="str">
        <f>""</f>
        <v/>
      </c>
      <c r="CI357" t="str">
        <f>""</f>
        <v/>
      </c>
      <c r="CJ357" t="str">
        <f>""</f>
        <v/>
      </c>
      <c r="CK357" t="str">
        <f>""</f>
        <v/>
      </c>
      <c r="CL357" t="str">
        <f>""</f>
        <v/>
      </c>
      <c r="CM357" t="str">
        <f>""</f>
        <v/>
      </c>
      <c r="CN357" t="str">
        <f>""</f>
        <v/>
      </c>
      <c r="CO357" t="str">
        <f>""</f>
        <v/>
      </c>
      <c r="CP357" t="str">
        <f>""</f>
        <v/>
      </c>
      <c r="CQ357" t="str">
        <f>""</f>
        <v/>
      </c>
      <c r="CR357" t="str">
        <f>""</f>
        <v/>
      </c>
      <c r="CS357" t="str">
        <f>""</f>
        <v/>
      </c>
      <c r="CT357" t="str">
        <f>""</f>
        <v/>
      </c>
      <c r="CU357" t="str">
        <f>""</f>
        <v/>
      </c>
      <c r="CV357" t="str">
        <f>""</f>
        <v/>
      </c>
      <c r="CW357" t="str">
        <f>""</f>
        <v/>
      </c>
      <c r="CX357" t="str">
        <f>""</f>
        <v/>
      </c>
      <c r="CY357" t="str">
        <f>""</f>
        <v/>
      </c>
      <c r="CZ357" t="str">
        <f>""</f>
        <v/>
      </c>
      <c r="DA357" t="str">
        <f>""</f>
        <v/>
      </c>
      <c r="DB357" t="str">
        <f>""</f>
        <v/>
      </c>
      <c r="DC357" t="str">
        <f>""</f>
        <v/>
      </c>
      <c r="DD357" t="str">
        <f>""</f>
        <v/>
      </c>
      <c r="DE357" t="str">
        <f>""</f>
        <v/>
      </c>
      <c r="DF357" t="str">
        <f>""</f>
        <v/>
      </c>
      <c r="DG357" t="str">
        <f>""</f>
        <v/>
      </c>
      <c r="DH357" t="str">
        <f>""</f>
        <v/>
      </c>
      <c r="DI357" t="str">
        <f>""</f>
        <v/>
      </c>
      <c r="DJ357" t="str">
        <f>""</f>
        <v/>
      </c>
      <c r="DK357" t="str">
        <f>""</f>
        <v/>
      </c>
      <c r="DL357" t="str">
        <f>""</f>
        <v/>
      </c>
      <c r="DM357" t="str">
        <f>""</f>
        <v/>
      </c>
      <c r="DN357" t="str">
        <f>""</f>
        <v/>
      </c>
      <c r="DO357" t="str">
        <f>""</f>
        <v/>
      </c>
      <c r="DP357" t="str">
        <f>""</f>
        <v/>
      </c>
      <c r="DQ357" t="str">
        <f>""</f>
        <v/>
      </c>
      <c r="DR357" t="str">
        <f>""</f>
        <v/>
      </c>
      <c r="DS357" t="str">
        <f>""</f>
        <v/>
      </c>
      <c r="DT357" t="str">
        <f>""</f>
        <v/>
      </c>
      <c r="DU357" t="str">
        <f>""</f>
        <v/>
      </c>
    </row>
    <row r="358" spans="1:125">
      <c r="A358" t="str">
        <f>"BDH dynamic result1"</f>
        <v>BDH dynamic result1</v>
      </c>
      <c r="BN358" t="str">
        <f>""</f>
        <v/>
      </c>
      <c r="BO358" t="str">
        <f>""</f>
        <v/>
      </c>
      <c r="BP358" t="str">
        <f>""</f>
        <v/>
      </c>
      <c r="BQ358" t="str">
        <f>""</f>
        <v/>
      </c>
      <c r="BR358" t="str">
        <f>""</f>
        <v/>
      </c>
      <c r="BS358" t="str">
        <f>""</f>
        <v/>
      </c>
      <c r="BT358" t="str">
        <f>""</f>
        <v/>
      </c>
      <c r="BU358" t="str">
        <f>""</f>
        <v/>
      </c>
      <c r="BV358" t="str">
        <f>""</f>
        <v/>
      </c>
      <c r="BW358" t="str">
        <f>""</f>
        <v/>
      </c>
      <c r="BX358" t="str">
        <f>""</f>
        <v/>
      </c>
      <c r="BY358" t="str">
        <f>""</f>
        <v/>
      </c>
      <c r="BZ358" t="str">
        <f>""</f>
        <v/>
      </c>
      <c r="CA358" t="str">
        <f>""</f>
        <v/>
      </c>
      <c r="CB358" t="str">
        <f>""</f>
        <v/>
      </c>
      <c r="CC358" t="str">
        <f>""</f>
        <v/>
      </c>
      <c r="CD358" t="str">
        <f>""</f>
        <v/>
      </c>
      <c r="CE358" t="str">
        <f>""</f>
        <v/>
      </c>
      <c r="CF358" t="str">
        <f>""</f>
        <v/>
      </c>
      <c r="CG358" t="str">
        <f>""</f>
        <v/>
      </c>
      <c r="CH358" t="str">
        <f>""</f>
        <v/>
      </c>
      <c r="CI358" t="str">
        <f>""</f>
        <v/>
      </c>
      <c r="CJ358" t="str">
        <f>""</f>
        <v/>
      </c>
      <c r="CK358" t="str">
        <f>""</f>
        <v/>
      </c>
      <c r="CL358" t="str">
        <f>""</f>
        <v/>
      </c>
      <c r="CM358" t="str">
        <f>""</f>
        <v/>
      </c>
      <c r="CN358" t="str">
        <f>""</f>
        <v/>
      </c>
      <c r="CO358" t="str">
        <f>""</f>
        <v/>
      </c>
      <c r="CP358" t="str">
        <f>""</f>
        <v/>
      </c>
      <c r="CQ358" t="str">
        <f>""</f>
        <v/>
      </c>
      <c r="CR358" t="str">
        <f>""</f>
        <v/>
      </c>
      <c r="CS358" t="str">
        <f>""</f>
        <v/>
      </c>
      <c r="CT358" t="str">
        <f>""</f>
        <v/>
      </c>
      <c r="CU358" t="str">
        <f>""</f>
        <v/>
      </c>
      <c r="CV358" t="str">
        <f>""</f>
        <v/>
      </c>
      <c r="CW358" t="str">
        <f>""</f>
        <v/>
      </c>
      <c r="CX358" t="str">
        <f>""</f>
        <v/>
      </c>
      <c r="CY358" t="str">
        <f>""</f>
        <v/>
      </c>
      <c r="CZ358" t="str">
        <f>""</f>
        <v/>
      </c>
      <c r="DA358" t="str">
        <f>""</f>
        <v/>
      </c>
      <c r="DB358" t="str">
        <f>""</f>
        <v/>
      </c>
      <c r="DC358" t="str">
        <f>""</f>
        <v/>
      </c>
      <c r="DD358" t="str">
        <f>""</f>
        <v/>
      </c>
      <c r="DE358" t="str">
        <f>""</f>
        <v/>
      </c>
      <c r="DF358" t="str">
        <f>""</f>
        <v/>
      </c>
      <c r="DG358" t="str">
        <f>""</f>
        <v/>
      </c>
      <c r="DH358" t="str">
        <f>""</f>
        <v/>
      </c>
      <c r="DI358" t="str">
        <f>""</f>
        <v/>
      </c>
      <c r="DJ358" t="str">
        <f>""</f>
        <v/>
      </c>
      <c r="DK358" t="str">
        <f>""</f>
        <v/>
      </c>
      <c r="DL358" t="str">
        <f>""</f>
        <v/>
      </c>
      <c r="DM358" t="str">
        <f>""</f>
        <v/>
      </c>
      <c r="DN358" t="str">
        <f>""</f>
        <v/>
      </c>
      <c r="DO358" t="str">
        <f>""</f>
        <v/>
      </c>
      <c r="DP358" t="str">
        <f>""</f>
        <v/>
      </c>
      <c r="DQ358" t="str">
        <f>""</f>
        <v/>
      </c>
      <c r="DR358" t="str">
        <f>""</f>
        <v/>
      </c>
      <c r="DS358" t="str">
        <f>""</f>
        <v/>
      </c>
      <c r="DT358" t="str">
        <f>""</f>
        <v/>
      </c>
      <c r="DU358" t="str">
        <f>""</f>
        <v/>
      </c>
    </row>
    <row r="359" spans="1:125">
      <c r="A359" t="str">
        <f>"BDH dynamic header2"</f>
        <v>BDH dynamic header2</v>
      </c>
      <c r="B359">
        <f ca="1">IF(OR(ISERROR($C$359),ISBLANK($C$359),ISNUMBER(SEARCH("N/A",$C$359) ),ISERROR($C$360),ISBLANK($C$360)),0,1)</f>
        <v>0</v>
      </c>
      <c r="C359" t="str">
        <f ca="1">BDH($B$187,$C$187,$B$181,$B$182,"PER=CQ","Dts=S","DtFmt=FI", "rows=2","Dir=H","Points=60","Sort=R","Days=A","Fill=B","FX=USD" )</f>
        <v>#N/A Authorization</v>
      </c>
      <c r="BN359" t="str">
        <f>""</f>
        <v/>
      </c>
      <c r="BO359" t="str">
        <f>""</f>
        <v/>
      </c>
      <c r="BP359" t="str">
        <f>""</f>
        <v/>
      </c>
      <c r="BQ359" t="str">
        <f>""</f>
        <v/>
      </c>
      <c r="BR359" t="str">
        <f>""</f>
        <v/>
      </c>
      <c r="BS359" t="str">
        <f>""</f>
        <v/>
      </c>
      <c r="BT359" t="str">
        <f>""</f>
        <v/>
      </c>
      <c r="BU359" t="str">
        <f>""</f>
        <v/>
      </c>
      <c r="BV359" t="str">
        <f>""</f>
        <v/>
      </c>
      <c r="BW359" t="str">
        <f>""</f>
        <v/>
      </c>
      <c r="BX359" t="str">
        <f>""</f>
        <v/>
      </c>
      <c r="BY359" t="str">
        <f>""</f>
        <v/>
      </c>
      <c r="BZ359" t="str">
        <f>""</f>
        <v/>
      </c>
      <c r="CA359" t="str">
        <f>""</f>
        <v/>
      </c>
      <c r="CB359" t="str">
        <f>""</f>
        <v/>
      </c>
      <c r="CC359" t="str">
        <f>""</f>
        <v/>
      </c>
      <c r="CD359" t="str">
        <f>""</f>
        <v/>
      </c>
      <c r="CE359" t="str">
        <f>""</f>
        <v/>
      </c>
      <c r="CF359" t="str">
        <f>""</f>
        <v/>
      </c>
      <c r="CG359" t="str">
        <f>""</f>
        <v/>
      </c>
      <c r="CH359" t="str">
        <f>""</f>
        <v/>
      </c>
      <c r="CI359" t="str">
        <f>""</f>
        <v/>
      </c>
      <c r="CJ359" t="str">
        <f>""</f>
        <v/>
      </c>
      <c r="CK359" t="str">
        <f>""</f>
        <v/>
      </c>
      <c r="CL359" t="str">
        <f>""</f>
        <v/>
      </c>
      <c r="CM359" t="str">
        <f>""</f>
        <v/>
      </c>
      <c r="CN359" t="str">
        <f>""</f>
        <v/>
      </c>
      <c r="CO359" t="str">
        <f>""</f>
        <v/>
      </c>
      <c r="CP359" t="str">
        <f>""</f>
        <v/>
      </c>
      <c r="CQ359" t="str">
        <f>""</f>
        <v/>
      </c>
      <c r="CR359" t="str">
        <f>""</f>
        <v/>
      </c>
      <c r="CS359" t="str">
        <f>""</f>
        <v/>
      </c>
      <c r="CT359" t="str">
        <f>""</f>
        <v/>
      </c>
      <c r="CU359" t="str">
        <f>""</f>
        <v/>
      </c>
      <c r="CV359" t="str">
        <f>""</f>
        <v/>
      </c>
      <c r="CW359" t="str">
        <f>""</f>
        <v/>
      </c>
      <c r="CX359" t="str">
        <f>""</f>
        <v/>
      </c>
      <c r="CY359" t="str">
        <f>""</f>
        <v/>
      </c>
      <c r="CZ359" t="str">
        <f>""</f>
        <v/>
      </c>
      <c r="DA359" t="str">
        <f>""</f>
        <v/>
      </c>
      <c r="DB359" t="str">
        <f>""</f>
        <v/>
      </c>
      <c r="DC359" t="str">
        <f>""</f>
        <v/>
      </c>
      <c r="DD359" t="str">
        <f>""</f>
        <v/>
      </c>
      <c r="DE359" t="str">
        <f>""</f>
        <v/>
      </c>
      <c r="DF359" t="str">
        <f>""</f>
        <v/>
      </c>
      <c r="DG359" t="str">
        <f>""</f>
        <v/>
      </c>
      <c r="DH359" t="str">
        <f>""</f>
        <v/>
      </c>
      <c r="DI359" t="str">
        <f>""</f>
        <v/>
      </c>
      <c r="DJ359" t="str">
        <f>""</f>
        <v/>
      </c>
      <c r="DK359" t="str">
        <f>""</f>
        <v/>
      </c>
      <c r="DL359" t="str">
        <f>""</f>
        <v/>
      </c>
      <c r="DM359" t="str">
        <f>""</f>
        <v/>
      </c>
      <c r="DN359" t="str">
        <f>""</f>
        <v/>
      </c>
      <c r="DO359" t="str">
        <f>""</f>
        <v/>
      </c>
      <c r="DP359" t="str">
        <f>""</f>
        <v/>
      </c>
      <c r="DQ359" t="str">
        <f>""</f>
        <v/>
      </c>
      <c r="DR359" t="str">
        <f>""</f>
        <v/>
      </c>
      <c r="DS359" t="str">
        <f>""</f>
        <v/>
      </c>
      <c r="DT359" t="str">
        <f>""</f>
        <v/>
      </c>
      <c r="DU359" t="str">
        <f>""</f>
        <v/>
      </c>
    </row>
    <row r="360" spans="1:125">
      <c r="A360" t="str">
        <f>"BDH dynamic result2"</f>
        <v>BDH dynamic result2</v>
      </c>
      <c r="BN360" t="str">
        <f>""</f>
        <v/>
      </c>
      <c r="BO360" t="str">
        <f>""</f>
        <v/>
      </c>
      <c r="BP360" t="str">
        <f>""</f>
        <v/>
      </c>
      <c r="BQ360" t="str">
        <f>""</f>
        <v/>
      </c>
      <c r="BR360" t="str">
        <f>""</f>
        <v/>
      </c>
      <c r="BS360" t="str">
        <f>""</f>
        <v/>
      </c>
      <c r="BT360" t="str">
        <f>""</f>
        <v/>
      </c>
      <c r="BU360" t="str">
        <f>""</f>
        <v/>
      </c>
      <c r="BV360" t="str">
        <f>""</f>
        <v/>
      </c>
      <c r="BW360" t="str">
        <f>""</f>
        <v/>
      </c>
      <c r="BX360" t="str">
        <f>""</f>
        <v/>
      </c>
      <c r="BY360" t="str">
        <f>""</f>
        <v/>
      </c>
      <c r="BZ360" t="str">
        <f>""</f>
        <v/>
      </c>
      <c r="CA360" t="str">
        <f>""</f>
        <v/>
      </c>
      <c r="CB360" t="str">
        <f>""</f>
        <v/>
      </c>
      <c r="CC360" t="str">
        <f>""</f>
        <v/>
      </c>
      <c r="CD360" t="str">
        <f>""</f>
        <v/>
      </c>
      <c r="CE360" t="str">
        <f>""</f>
        <v/>
      </c>
      <c r="CF360" t="str">
        <f>""</f>
        <v/>
      </c>
      <c r="CG360" t="str">
        <f>""</f>
        <v/>
      </c>
      <c r="CH360" t="str">
        <f>""</f>
        <v/>
      </c>
      <c r="CI360" t="str">
        <f>""</f>
        <v/>
      </c>
      <c r="CJ360" t="str">
        <f>""</f>
        <v/>
      </c>
      <c r="CK360" t="str">
        <f>""</f>
        <v/>
      </c>
      <c r="CL360" t="str">
        <f>""</f>
        <v/>
      </c>
      <c r="CM360" t="str">
        <f>""</f>
        <v/>
      </c>
      <c r="CN360" t="str">
        <f>""</f>
        <v/>
      </c>
      <c r="CO360" t="str">
        <f>""</f>
        <v/>
      </c>
      <c r="CP360" t="str">
        <f>""</f>
        <v/>
      </c>
      <c r="CQ360" t="str">
        <f>""</f>
        <v/>
      </c>
      <c r="CR360" t="str">
        <f>""</f>
        <v/>
      </c>
      <c r="CS360" t="str">
        <f>""</f>
        <v/>
      </c>
      <c r="CT360" t="str">
        <f>""</f>
        <v/>
      </c>
      <c r="CU360" t="str">
        <f>""</f>
        <v/>
      </c>
      <c r="CV360" t="str">
        <f>""</f>
        <v/>
      </c>
      <c r="CW360" t="str">
        <f>""</f>
        <v/>
      </c>
      <c r="CX360" t="str">
        <f>""</f>
        <v/>
      </c>
      <c r="CY360" t="str">
        <f>""</f>
        <v/>
      </c>
      <c r="CZ360" t="str">
        <f>""</f>
        <v/>
      </c>
      <c r="DA360" t="str">
        <f>""</f>
        <v/>
      </c>
      <c r="DB360" t="str">
        <f>""</f>
        <v/>
      </c>
      <c r="DC360" t="str">
        <f>""</f>
        <v/>
      </c>
      <c r="DD360" t="str">
        <f>""</f>
        <v/>
      </c>
      <c r="DE360" t="str">
        <f>""</f>
        <v/>
      </c>
      <c r="DF360" t="str">
        <f>""</f>
        <v/>
      </c>
      <c r="DG360" t="str">
        <f>""</f>
        <v/>
      </c>
      <c r="DH360" t="str">
        <f>""</f>
        <v/>
      </c>
      <c r="DI360" t="str">
        <f>""</f>
        <v/>
      </c>
      <c r="DJ360" t="str">
        <f>""</f>
        <v/>
      </c>
      <c r="DK360" t="str">
        <f>""</f>
        <v/>
      </c>
      <c r="DL360" t="str">
        <f>""</f>
        <v/>
      </c>
      <c r="DM360" t="str">
        <f>""</f>
        <v/>
      </c>
      <c r="DN360" t="str">
        <f>""</f>
        <v/>
      </c>
      <c r="DO360" t="str">
        <f>""</f>
        <v/>
      </c>
      <c r="DP360" t="str">
        <f>""</f>
        <v/>
      </c>
      <c r="DQ360" t="str">
        <f>""</f>
        <v/>
      </c>
      <c r="DR360" t="str">
        <f>""</f>
        <v/>
      </c>
      <c r="DS360" t="str">
        <f>""</f>
        <v/>
      </c>
      <c r="DT360" t="str">
        <f>""</f>
        <v/>
      </c>
      <c r="DU360" t="str">
        <f>""</f>
        <v/>
      </c>
    </row>
    <row r="361" spans="1:125">
      <c r="A361" t="str">
        <f>"BDH dynamic"</f>
        <v>BDH dynamic</v>
      </c>
      <c r="B361">
        <f ca="1">IF($B$355&gt;=1,$B$355,IF($B$357&gt;=1,$B$357,IF($B$359&gt;=1,$B$359,$B$346)))</f>
        <v>2</v>
      </c>
      <c r="C361" t="str">
        <f ca="1">IF($B$355&gt;=1,$C$355,IF($B$357&gt;=1,$C$357,IF($B$359&gt;=1,$C$359,$C$346)))</f>
        <v>2017 Q4</v>
      </c>
      <c r="D361" t="str">
        <f ca="1">IF($B$355&gt;=1,$D$355,IF($B$357&gt;=1,$D$357,IF($B$359&gt;=1,$D$359,$D$346)))</f>
        <v>2017 Q3</v>
      </c>
      <c r="E361" t="str">
        <f ca="1">IF($B$355&gt;=1,$E$355,IF($B$357&gt;=1,$E$357,IF($B$359&gt;=1,$E$359,$E$346)))</f>
        <v>2017 Q2</v>
      </c>
      <c r="F361" t="str">
        <f ca="1">IF($B$355&gt;=1,$F$355,IF($B$357&gt;=1,$F$357,IF($B$359&gt;=1,$F$359,$F$346)))</f>
        <v>2017 Q1</v>
      </c>
      <c r="G361" t="str">
        <f ca="1">IF($B$355&gt;=1,$G$355,IF($B$357&gt;=1,$G$357,IF($B$359&gt;=1,$G$359,$G$346)))</f>
        <v>2016 Q4</v>
      </c>
      <c r="H361" t="str">
        <f ca="1">IF($B$355&gt;=1,$H$355,IF($B$357&gt;=1,$H$357,IF($B$359&gt;=1,$H$359,$H$346)))</f>
        <v>2016 Q3</v>
      </c>
      <c r="I361" t="str">
        <f ca="1">IF($B$355&gt;=1,$I$355,IF($B$357&gt;=1,$I$357,IF($B$359&gt;=1,$I$359,$I$346)))</f>
        <v>2016 Q2</v>
      </c>
      <c r="J361" t="str">
        <f ca="1">IF($B$355&gt;=1,$J$355,IF($B$357&gt;=1,$J$357,IF($B$359&gt;=1,$J$359,$J$346)))</f>
        <v>2016 Q1</v>
      </c>
      <c r="K361" t="str">
        <f ca="1">IF($B$355&gt;=1,$K$355,IF($B$357&gt;=1,$K$357,IF($B$359&gt;=1,$K$359,$K$346)))</f>
        <v>2015 Q4</v>
      </c>
      <c r="L361" t="str">
        <f ca="1">IF($B$355&gt;=1,$L$355,IF($B$357&gt;=1,$L$357,IF($B$359&gt;=1,$L$359,$L$346)))</f>
        <v>2015 Q3</v>
      </c>
      <c r="M361" t="str">
        <f ca="1">IF($B$355&gt;=1,$M$355,IF($B$357&gt;=1,$M$357,IF($B$359&gt;=1,$M$359,$M$346)))</f>
        <v>2015 Q2</v>
      </c>
      <c r="N361" t="str">
        <f ca="1">IF($B$355&gt;=1,$N$355,IF($B$357&gt;=1,$N$357,IF($B$359&gt;=1,$N$359,$N$346)))</f>
        <v>2015 Q1</v>
      </c>
      <c r="O361" t="str">
        <f ca="1">IF($B$355&gt;=1,$O$355,IF($B$357&gt;=1,$O$357,IF($B$359&gt;=1,$O$359,$O$346)))</f>
        <v>2014 Q4</v>
      </c>
      <c r="P361" t="str">
        <f ca="1">IF($B$355&gt;=1,$P$355,IF($B$357&gt;=1,$P$357,IF($B$359&gt;=1,$P$359,$P$346)))</f>
        <v>2014 Q3</v>
      </c>
      <c r="Q361" t="str">
        <f ca="1">IF($B$355&gt;=1,$Q$355,IF($B$357&gt;=1,$Q$357,IF($B$359&gt;=1,$Q$359,$Q$346)))</f>
        <v>2014 Q2</v>
      </c>
      <c r="R361" t="str">
        <f ca="1">IF($B$355&gt;=1,$R$355,IF($B$357&gt;=1,$R$357,IF($B$359&gt;=1,$R$359,$R$346)))</f>
        <v>2014 Q1</v>
      </c>
      <c r="S361" t="str">
        <f ca="1">IF($B$355&gt;=1,$S$355,IF($B$357&gt;=1,$S$357,IF($B$359&gt;=1,$S$359,$S$346)))</f>
        <v>2013 Q4</v>
      </c>
      <c r="T361" t="str">
        <f ca="1">IF($B$355&gt;=1,$T$355,IF($B$357&gt;=1,$T$357,IF($B$359&gt;=1,$T$359,$T$346)))</f>
        <v>2013 Q3</v>
      </c>
      <c r="U361" t="str">
        <f ca="1">IF($B$355&gt;=1,$U$355,IF($B$357&gt;=1,$U$357,IF($B$359&gt;=1,$U$359,$U$346)))</f>
        <v>2013 Q2</v>
      </c>
      <c r="V361" t="str">
        <f ca="1">IF($B$355&gt;=1,$V$355,IF($B$357&gt;=1,$V$357,IF($B$359&gt;=1,$V$359,$V$346)))</f>
        <v>2013 Q1</v>
      </c>
      <c r="W361" t="str">
        <f ca="1">IF($B$355&gt;=1,$W$355,IF($B$357&gt;=1,$W$357,IF($B$359&gt;=1,$W$359,$W$346)))</f>
        <v>2012 Q4</v>
      </c>
      <c r="X361" t="str">
        <f ca="1">IF($B$355&gt;=1,$X$355,IF($B$357&gt;=1,$X$357,IF($B$359&gt;=1,$X$359,$X$346)))</f>
        <v>2012 Q3</v>
      </c>
      <c r="Y361" t="str">
        <f ca="1">IF($B$355&gt;=1,$Y$355,IF($B$357&gt;=1,$Y$357,IF($B$359&gt;=1,$Y$359,$Y$346)))</f>
        <v>2012 Q2</v>
      </c>
      <c r="Z361" t="str">
        <f ca="1">IF($B$355&gt;=1,$Z$355,IF($B$357&gt;=1,$Z$357,IF($B$359&gt;=1,$Z$359,$Z$346)))</f>
        <v>2012 Q1</v>
      </c>
      <c r="AA361" t="str">
        <f ca="1">IF($B$355&gt;=1,$AA$355,IF($B$357&gt;=1,$AA$357,IF($B$359&gt;=1,$AA$359,$AA$346)))</f>
        <v>2011 Q4</v>
      </c>
      <c r="AB361" t="str">
        <f ca="1">IF($B$355&gt;=1,$AB$355,IF($B$357&gt;=1,$AB$357,IF($B$359&gt;=1,$AB$359,$AB$346)))</f>
        <v>2011 Q3</v>
      </c>
      <c r="AC361" t="str">
        <f ca="1">IF($B$355&gt;=1,$AC$355,IF($B$357&gt;=1,$AC$357,IF($B$359&gt;=1,$AC$359,$AC$346)))</f>
        <v>2011 Q2</v>
      </c>
      <c r="AD361" t="str">
        <f ca="1">IF($B$355&gt;=1,$AD$355,IF($B$357&gt;=1,$AD$357,IF($B$359&gt;=1,$AD$359,$AD$346)))</f>
        <v>2011 Q1</v>
      </c>
      <c r="AE361" t="str">
        <f ca="1">IF($B$355&gt;=1,$AE$355,IF($B$357&gt;=1,$AE$357,IF($B$359&gt;=1,$AE$359,$AE$346)))</f>
        <v>2010 Q4</v>
      </c>
      <c r="AF361" t="str">
        <f ca="1">IF($B$355&gt;=1,$AF$355,IF($B$357&gt;=1,$AF$357,IF($B$359&gt;=1,$AF$359,$AF$346)))</f>
        <v>2010 Q3</v>
      </c>
      <c r="AG361" t="str">
        <f ca="1">IF($B$355&gt;=1,$AG$355,IF($B$357&gt;=1,$AG$357,IF($B$359&gt;=1,$AG$359,$AG$346)))</f>
        <v>2010 Q2</v>
      </c>
      <c r="AH361" t="str">
        <f ca="1">IF($B$355&gt;=1,$AH$355,IF($B$357&gt;=1,$AH$357,IF($B$359&gt;=1,$AH$359,$AH$346)))</f>
        <v>2010 Q1</v>
      </c>
      <c r="AI361" t="str">
        <f ca="1">IF($B$355&gt;=1,$AI$355,IF($B$357&gt;=1,$AI$357,IF($B$359&gt;=1,$AI$359,$AI$346)))</f>
        <v>2009 Q4</v>
      </c>
      <c r="AJ361" t="str">
        <f ca="1">IF($B$355&gt;=1,$AJ$355,IF($B$357&gt;=1,$AJ$357,IF($B$359&gt;=1,$AJ$359,$AJ$346)))</f>
        <v>2009 Q3</v>
      </c>
      <c r="AK361" t="str">
        <f ca="1">IF($B$355&gt;=1,$AK$355,IF($B$357&gt;=1,$AK$357,IF($B$359&gt;=1,$AK$359,$AK$346)))</f>
        <v>2009 Q2</v>
      </c>
      <c r="AL361" t="str">
        <f ca="1">IF($B$355&gt;=1,$AL$355,IF($B$357&gt;=1,$AL$357,IF($B$359&gt;=1,$AL$359,$AL$346)))</f>
        <v>2009 Q1</v>
      </c>
      <c r="AM361" t="str">
        <f ca="1">IF($B$355&gt;=1,$AM$355,IF($B$357&gt;=1,$AM$357,IF($B$359&gt;=1,$AM$359,$AM$346)))</f>
        <v>2008 Q4</v>
      </c>
      <c r="AN361" t="str">
        <f ca="1">IF($B$355&gt;=1,$AN$355,IF($B$357&gt;=1,$AN$357,IF($B$359&gt;=1,$AN$359,$AN$346)))</f>
        <v>2008 Q3</v>
      </c>
      <c r="AO361" t="str">
        <f ca="1">IF($B$355&gt;=1,$AO$355,IF($B$357&gt;=1,$AO$357,IF($B$359&gt;=1,$AO$359,$AO$346)))</f>
        <v>2008 Q2</v>
      </c>
      <c r="AP361" t="str">
        <f ca="1">IF($B$355&gt;=1,$AP$355,IF($B$357&gt;=1,$AP$357,IF($B$359&gt;=1,$AP$359,$AP$346)))</f>
        <v>2008 Q1</v>
      </c>
      <c r="AQ361" t="str">
        <f ca="1">IF($B$355&gt;=1,$AQ$355,IF($B$357&gt;=1,$AQ$357,IF($B$359&gt;=1,$AQ$359,$AQ$346)))</f>
        <v>2007 Q4</v>
      </c>
      <c r="AR361" t="str">
        <f ca="1">IF($B$355&gt;=1,$AR$355,IF($B$357&gt;=1,$AR$357,IF($B$359&gt;=1,$AR$359,$AR$346)))</f>
        <v>2007 Q3</v>
      </c>
      <c r="AS361" t="str">
        <f ca="1">IF($B$355&gt;=1,$AS$355,IF($B$357&gt;=1,$AS$357,IF($B$359&gt;=1,$AS$359,$AS$346)))</f>
        <v>2007 Q2</v>
      </c>
      <c r="AT361" t="str">
        <f ca="1">IF($B$355&gt;=1,$AT$355,IF($B$357&gt;=1,$AT$357,IF($B$359&gt;=1,$AT$359,$AT$346)))</f>
        <v>2007 Q1</v>
      </c>
      <c r="AU361" t="str">
        <f ca="1">IF($B$355&gt;=1,$AU$355,IF($B$357&gt;=1,$AU$357,IF($B$359&gt;=1,$AU$359,$AU$346)))</f>
        <v>2006 Q4</v>
      </c>
      <c r="AV361" t="str">
        <f ca="1">IF($B$355&gt;=1,$AV$355,IF($B$357&gt;=1,$AV$357,IF($B$359&gt;=1,$AV$359,$AV$346)))</f>
        <v>2006 Q3</v>
      </c>
      <c r="AW361" t="str">
        <f ca="1">IF($B$355&gt;=1,$AW$355,IF($B$357&gt;=1,$AW$357,IF($B$359&gt;=1,$AW$359,$AW$346)))</f>
        <v>2006 Q2</v>
      </c>
      <c r="AX361" t="str">
        <f ca="1">IF($B$355&gt;=1,$AX$355,IF($B$357&gt;=1,$AX$357,IF($B$359&gt;=1,$AX$359,$AX$346)))</f>
        <v>2006 Q1</v>
      </c>
      <c r="AY361" t="str">
        <f ca="1">IF($B$355&gt;=1,$AY$355,IF($B$357&gt;=1,$AY$357,IF($B$359&gt;=1,$AY$359,$AY$346)))</f>
        <v>2005 Q4</v>
      </c>
      <c r="AZ361" t="str">
        <f ca="1">IF($B$355&gt;=1,$AZ$355,IF($B$357&gt;=1,$AZ$357,IF($B$359&gt;=1,$AZ$359,$AZ$346)))</f>
        <v>2005 Q3</v>
      </c>
      <c r="BA361" t="str">
        <f ca="1">IF($B$355&gt;=1,$BA$355,IF($B$357&gt;=1,$BA$357,IF($B$359&gt;=1,$BA$359,$BA$346)))</f>
        <v>2005 Q2</v>
      </c>
      <c r="BB361" t="str">
        <f ca="1">IF($B$355&gt;=1,$BB$355,IF($B$357&gt;=1,$BB$357,IF($B$359&gt;=1,$BB$359,$BB$346)))</f>
        <v>2005 Q1</v>
      </c>
      <c r="BC361" t="str">
        <f ca="1">IF($B$355&gt;=1,$BC$355,IF($B$357&gt;=1,$BC$357,IF($B$359&gt;=1,$BC$359,$BC$346)))</f>
        <v>2004 Q4</v>
      </c>
      <c r="BD361" t="str">
        <f ca="1">IF($B$355&gt;=1,$BD$355,IF($B$357&gt;=1,$BD$357,IF($B$359&gt;=1,$BD$359,$BD$346)))</f>
        <v>2004 Q3</v>
      </c>
      <c r="BE361" t="str">
        <f ca="1">IF($B$355&gt;=1,$BE$355,IF($B$357&gt;=1,$BE$357,IF($B$359&gt;=1,$BE$359,$BE$346)))</f>
        <v>2004 Q2</v>
      </c>
      <c r="BF361" t="str">
        <f ca="1">IF($B$355&gt;=1,$BF$355,IF($B$357&gt;=1,$BF$357,IF($B$359&gt;=1,$BF$359,$BF$346)))</f>
        <v>2004 Q1</v>
      </c>
      <c r="BG361" t="str">
        <f ca="1">IF($B$355&gt;=1,$BG$355,IF($B$357&gt;=1,$BG$357,IF($B$359&gt;=1,$BG$359,$BG$346)))</f>
        <v>2003 Q4</v>
      </c>
      <c r="BH361" t="str">
        <f ca="1">IF($B$355&gt;=1,$BH$355,IF($B$357&gt;=1,$BH$357,IF($B$359&gt;=1,$BH$359,$BH$346)))</f>
        <v>2003 Q3</v>
      </c>
      <c r="BI361" t="str">
        <f ca="1">IF($B$355&gt;=1,$BI$355,IF($B$357&gt;=1,$BI$357,IF($B$359&gt;=1,$BI$359,$BI$346)))</f>
        <v>2003 Q2</v>
      </c>
      <c r="BJ361" t="str">
        <f ca="1">IF($B$355&gt;=1,$BJ$355,IF($B$357&gt;=1,$BJ$357,IF($B$359&gt;=1,$BJ$359,$BJ$346)))</f>
        <v>2003 Q1</v>
      </c>
      <c r="BN361" t="str">
        <f>""</f>
        <v/>
      </c>
      <c r="BO361" t="str">
        <f>""</f>
        <v/>
      </c>
      <c r="BP361" t="str">
        <f>""</f>
        <v/>
      </c>
      <c r="BQ361" t="str">
        <f>""</f>
        <v/>
      </c>
      <c r="BR361" t="str">
        <f>""</f>
        <v/>
      </c>
      <c r="BS361" t="str">
        <f>""</f>
        <v/>
      </c>
      <c r="BT361" t="str">
        <f>""</f>
        <v/>
      </c>
      <c r="BU361" t="str">
        <f>""</f>
        <v/>
      </c>
      <c r="BV361" t="str">
        <f>""</f>
        <v/>
      </c>
      <c r="BW361" t="str">
        <f>""</f>
        <v/>
      </c>
      <c r="BX361" t="str">
        <f>""</f>
        <v/>
      </c>
      <c r="BY361" t="str">
        <f>""</f>
        <v/>
      </c>
      <c r="BZ361" t="str">
        <f>""</f>
        <v/>
      </c>
      <c r="CA361" t="str">
        <f>""</f>
        <v/>
      </c>
      <c r="CB361" t="str">
        <f>""</f>
        <v/>
      </c>
      <c r="CC361" t="str">
        <f>""</f>
        <v/>
      </c>
      <c r="CD361" t="str">
        <f>""</f>
        <v/>
      </c>
      <c r="CE361" t="str">
        <f>""</f>
        <v/>
      </c>
      <c r="CF361" t="str">
        <f>""</f>
        <v/>
      </c>
      <c r="CG361" t="str">
        <f>""</f>
        <v/>
      </c>
      <c r="CH361" t="str">
        <f>""</f>
        <v/>
      </c>
      <c r="CI361" t="str">
        <f>""</f>
        <v/>
      </c>
      <c r="CJ361" t="str">
        <f>""</f>
        <v/>
      </c>
      <c r="CK361" t="str">
        <f>""</f>
        <v/>
      </c>
      <c r="CL361" t="str">
        <f>""</f>
        <v/>
      </c>
      <c r="CM361" t="str">
        <f>""</f>
        <v/>
      </c>
      <c r="CN361" t="str">
        <f>""</f>
        <v/>
      </c>
      <c r="CO361" t="str">
        <f>""</f>
        <v/>
      </c>
      <c r="CP361" t="str">
        <f>""</f>
        <v/>
      </c>
      <c r="CQ361" t="str">
        <f>""</f>
        <v/>
      </c>
      <c r="CR361" t="str">
        <f>""</f>
        <v/>
      </c>
      <c r="CS361" t="str">
        <f>""</f>
        <v/>
      </c>
      <c r="CT361" t="str">
        <f>""</f>
        <v/>
      </c>
      <c r="CU361" t="str">
        <f>""</f>
        <v/>
      </c>
      <c r="CV361" t="str">
        <f>""</f>
        <v/>
      </c>
      <c r="CW361" t="str">
        <f>""</f>
        <v/>
      </c>
      <c r="CX361" t="str">
        <f>""</f>
        <v/>
      </c>
      <c r="CY361" t="str">
        <f>""</f>
        <v/>
      </c>
      <c r="CZ361" t="str">
        <f>""</f>
        <v/>
      </c>
      <c r="DA361" t="str">
        <f>""</f>
        <v/>
      </c>
      <c r="DB361" t="str">
        <f>""</f>
        <v/>
      </c>
      <c r="DC361" t="str">
        <f>""</f>
        <v/>
      </c>
      <c r="DD361" t="str">
        <f>""</f>
        <v/>
      </c>
      <c r="DE361" t="str">
        <f>""</f>
        <v/>
      </c>
      <c r="DF361" t="str">
        <f>""</f>
        <v/>
      </c>
      <c r="DG361" t="str">
        <f>""</f>
        <v/>
      </c>
      <c r="DH361" t="str">
        <f>""</f>
        <v/>
      </c>
      <c r="DI361" t="str">
        <f>""</f>
        <v/>
      </c>
      <c r="DJ361" t="str">
        <f>""</f>
        <v/>
      </c>
      <c r="DK361" t="str">
        <f>""</f>
        <v/>
      </c>
      <c r="DL361" t="str">
        <f>""</f>
        <v/>
      </c>
      <c r="DM361" t="str">
        <f>""</f>
        <v/>
      </c>
      <c r="DN361" t="str">
        <f>""</f>
        <v/>
      </c>
      <c r="DO361" t="str">
        <f>""</f>
        <v/>
      </c>
      <c r="DP361" t="str">
        <f>""</f>
        <v/>
      </c>
      <c r="DQ361" t="str">
        <f>""</f>
        <v/>
      </c>
      <c r="DR361" t="str">
        <f>""</f>
        <v/>
      </c>
      <c r="DS361" t="str">
        <f>""</f>
        <v/>
      </c>
      <c r="DT361" t="str">
        <f>""</f>
        <v/>
      </c>
      <c r="DU361" t="str">
        <f>""</f>
        <v/>
      </c>
    </row>
    <row r="362" spans="1:125">
      <c r="A362" t="str">
        <f>"BDH dynamic title"</f>
        <v>BDH dynamic title</v>
      </c>
      <c r="B362">
        <f ca="1">$B$361</f>
        <v>2</v>
      </c>
      <c r="C362" t="str">
        <f ca="1">IF(LEN($C$361)&lt;&gt;8,$C$361,RIGHT($C$361,4)&amp;" "&amp;MID($C$361,3,1)&amp;LEFT($C$361,1))</f>
        <v>2017 Q4</v>
      </c>
      <c r="D362" t="str">
        <f ca="1">IF(LEN($D$361)&lt;&gt;8,$D$361,RIGHT($D$361,4)&amp;" "&amp;MID($D$361,3,1)&amp;LEFT($D$361,1))</f>
        <v>2017 Q3</v>
      </c>
      <c r="E362" t="str">
        <f ca="1">IF(LEN($E$361)&lt;&gt;8,$E$361,RIGHT($E$361,4)&amp;" "&amp;MID($E$361,3,1)&amp;LEFT($E$361,1))</f>
        <v>2017 Q2</v>
      </c>
      <c r="F362" t="str">
        <f ca="1">IF(LEN($F$361)&lt;&gt;8,$F$361,RIGHT($F$361,4)&amp;" "&amp;MID($F$361,3,1)&amp;LEFT($F$361,1))</f>
        <v>2017 Q1</v>
      </c>
      <c r="G362" t="str">
        <f ca="1">IF(LEN($G$361)&lt;&gt;8,$G$361,RIGHT($G$361,4)&amp;" "&amp;MID($G$361,3,1)&amp;LEFT($G$361,1))</f>
        <v>2016 Q4</v>
      </c>
      <c r="H362" t="str">
        <f ca="1">IF(LEN($H$361)&lt;&gt;8,$H$361,RIGHT($H$361,4)&amp;" "&amp;MID($H$361,3,1)&amp;LEFT($H$361,1))</f>
        <v>2016 Q3</v>
      </c>
      <c r="I362" t="str">
        <f ca="1">IF(LEN($I$361)&lt;&gt;8,$I$361,RIGHT($I$361,4)&amp;" "&amp;MID($I$361,3,1)&amp;LEFT($I$361,1))</f>
        <v>2016 Q2</v>
      </c>
      <c r="J362" t="str">
        <f ca="1">IF(LEN($J$361)&lt;&gt;8,$J$361,RIGHT($J$361,4)&amp;" "&amp;MID($J$361,3,1)&amp;LEFT($J$361,1))</f>
        <v>2016 Q1</v>
      </c>
      <c r="K362" t="str">
        <f ca="1">IF(LEN($K$361)&lt;&gt;8,$K$361,RIGHT($K$361,4)&amp;" "&amp;MID($K$361,3,1)&amp;LEFT($K$361,1))</f>
        <v>2015 Q4</v>
      </c>
      <c r="L362" t="str">
        <f ca="1">IF(LEN($L$361)&lt;&gt;8,$L$361,RIGHT($L$361,4)&amp;" "&amp;MID($L$361,3,1)&amp;LEFT($L$361,1))</f>
        <v>2015 Q3</v>
      </c>
      <c r="M362" t="str">
        <f ca="1">IF(LEN($M$361)&lt;&gt;8,$M$361,RIGHT($M$361,4)&amp;" "&amp;MID($M$361,3,1)&amp;LEFT($M$361,1))</f>
        <v>2015 Q2</v>
      </c>
      <c r="N362" t="str">
        <f ca="1">IF(LEN($N$361)&lt;&gt;8,$N$361,RIGHT($N$361,4)&amp;" "&amp;MID($N$361,3,1)&amp;LEFT($N$361,1))</f>
        <v>2015 Q1</v>
      </c>
      <c r="O362" t="str">
        <f ca="1">IF(LEN($O$361)&lt;&gt;8,$O$361,RIGHT($O$361,4)&amp;" "&amp;MID($O$361,3,1)&amp;LEFT($O$361,1))</f>
        <v>2014 Q4</v>
      </c>
      <c r="P362" t="str">
        <f ca="1">IF(LEN($P$361)&lt;&gt;8,$P$361,RIGHT($P$361,4)&amp;" "&amp;MID($P$361,3,1)&amp;LEFT($P$361,1))</f>
        <v>2014 Q3</v>
      </c>
      <c r="Q362" t="str">
        <f ca="1">IF(LEN($Q$361)&lt;&gt;8,$Q$361,RIGHT($Q$361,4)&amp;" "&amp;MID($Q$361,3,1)&amp;LEFT($Q$361,1))</f>
        <v>2014 Q2</v>
      </c>
      <c r="R362" t="str">
        <f ca="1">IF(LEN($R$361)&lt;&gt;8,$R$361,RIGHT($R$361,4)&amp;" "&amp;MID($R$361,3,1)&amp;LEFT($R$361,1))</f>
        <v>2014 Q1</v>
      </c>
      <c r="S362" t="str">
        <f ca="1">IF(LEN($S$361)&lt;&gt;8,$S$361,RIGHT($S$361,4)&amp;" "&amp;MID($S$361,3,1)&amp;LEFT($S$361,1))</f>
        <v>2013 Q4</v>
      </c>
      <c r="T362" t="str">
        <f ca="1">IF(LEN($T$361)&lt;&gt;8,$T$361,RIGHT($T$361,4)&amp;" "&amp;MID($T$361,3,1)&amp;LEFT($T$361,1))</f>
        <v>2013 Q3</v>
      </c>
      <c r="U362" t="str">
        <f ca="1">IF(LEN($U$361)&lt;&gt;8,$U$361,RIGHT($U$361,4)&amp;" "&amp;MID($U$361,3,1)&amp;LEFT($U$361,1))</f>
        <v>2013 Q2</v>
      </c>
      <c r="V362" t="str">
        <f ca="1">IF(LEN($V$361)&lt;&gt;8,$V$361,RIGHT($V$361,4)&amp;" "&amp;MID($V$361,3,1)&amp;LEFT($V$361,1))</f>
        <v>2013 Q1</v>
      </c>
      <c r="W362" t="str">
        <f ca="1">IF(LEN($W$361)&lt;&gt;8,$W$361,RIGHT($W$361,4)&amp;" "&amp;MID($W$361,3,1)&amp;LEFT($W$361,1))</f>
        <v>2012 Q4</v>
      </c>
      <c r="X362" t="str">
        <f ca="1">IF(LEN($X$361)&lt;&gt;8,$X$361,RIGHT($X$361,4)&amp;" "&amp;MID($X$361,3,1)&amp;LEFT($X$361,1))</f>
        <v>2012 Q3</v>
      </c>
      <c r="Y362" t="str">
        <f ca="1">IF(LEN($Y$361)&lt;&gt;8,$Y$361,RIGHT($Y$361,4)&amp;" "&amp;MID($Y$361,3,1)&amp;LEFT($Y$361,1))</f>
        <v>2012 Q2</v>
      </c>
      <c r="Z362" t="str">
        <f ca="1">IF(LEN($Z$361)&lt;&gt;8,$Z$361,RIGHT($Z$361,4)&amp;" "&amp;MID($Z$361,3,1)&amp;LEFT($Z$361,1))</f>
        <v>2012 Q1</v>
      </c>
      <c r="AA362" t="str">
        <f ca="1">IF(LEN($AA$361)&lt;&gt;8,$AA$361,RIGHT($AA$361,4)&amp;" "&amp;MID($AA$361,3,1)&amp;LEFT($AA$361,1))</f>
        <v>2011 Q4</v>
      </c>
      <c r="AB362" t="str">
        <f ca="1">IF(LEN($AB$361)&lt;&gt;8,$AB$361,RIGHT($AB$361,4)&amp;" "&amp;MID($AB$361,3,1)&amp;LEFT($AB$361,1))</f>
        <v>2011 Q3</v>
      </c>
      <c r="AC362" t="str">
        <f ca="1">IF(LEN($AC$361)&lt;&gt;8,$AC$361,RIGHT($AC$361,4)&amp;" "&amp;MID($AC$361,3,1)&amp;LEFT($AC$361,1))</f>
        <v>2011 Q2</v>
      </c>
      <c r="AD362" t="str">
        <f ca="1">IF(LEN($AD$361)&lt;&gt;8,$AD$361,RIGHT($AD$361,4)&amp;" "&amp;MID($AD$361,3,1)&amp;LEFT($AD$361,1))</f>
        <v>2011 Q1</v>
      </c>
      <c r="AE362" t="str">
        <f ca="1">IF(LEN($AE$361)&lt;&gt;8,$AE$361,RIGHT($AE$361,4)&amp;" "&amp;MID($AE$361,3,1)&amp;LEFT($AE$361,1))</f>
        <v>2010 Q4</v>
      </c>
      <c r="AF362" t="str">
        <f ca="1">IF(LEN($AF$361)&lt;&gt;8,$AF$361,RIGHT($AF$361,4)&amp;" "&amp;MID($AF$361,3,1)&amp;LEFT($AF$361,1))</f>
        <v>2010 Q3</v>
      </c>
      <c r="AG362" t="str">
        <f ca="1">IF(LEN($AG$361)&lt;&gt;8,$AG$361,RIGHT($AG$361,4)&amp;" "&amp;MID($AG$361,3,1)&amp;LEFT($AG$361,1))</f>
        <v>2010 Q2</v>
      </c>
      <c r="AH362" t="str">
        <f ca="1">IF(LEN($AH$361)&lt;&gt;8,$AH$361,RIGHT($AH$361,4)&amp;" "&amp;MID($AH$361,3,1)&amp;LEFT($AH$361,1))</f>
        <v>2010 Q1</v>
      </c>
      <c r="AI362" t="str">
        <f ca="1">IF(LEN($AI$361)&lt;&gt;8,$AI$361,RIGHT($AI$361,4)&amp;" "&amp;MID($AI$361,3,1)&amp;LEFT($AI$361,1))</f>
        <v>2009 Q4</v>
      </c>
      <c r="AJ362" t="str">
        <f ca="1">IF(LEN($AJ$361)&lt;&gt;8,$AJ$361,RIGHT($AJ$361,4)&amp;" "&amp;MID($AJ$361,3,1)&amp;LEFT($AJ$361,1))</f>
        <v>2009 Q3</v>
      </c>
      <c r="AK362" t="str">
        <f ca="1">IF(LEN($AK$361)&lt;&gt;8,$AK$361,RIGHT($AK$361,4)&amp;" "&amp;MID($AK$361,3,1)&amp;LEFT($AK$361,1))</f>
        <v>2009 Q2</v>
      </c>
      <c r="AL362" t="str">
        <f ca="1">IF(LEN($AL$361)&lt;&gt;8,$AL$361,RIGHT($AL$361,4)&amp;" "&amp;MID($AL$361,3,1)&amp;LEFT($AL$361,1))</f>
        <v>2009 Q1</v>
      </c>
      <c r="AM362" t="str">
        <f ca="1">IF(LEN($AM$361)&lt;&gt;8,$AM$361,RIGHT($AM$361,4)&amp;" "&amp;MID($AM$361,3,1)&amp;LEFT($AM$361,1))</f>
        <v>2008 Q4</v>
      </c>
      <c r="AN362" t="str">
        <f ca="1">IF(LEN($AN$361)&lt;&gt;8,$AN$361,RIGHT($AN$361,4)&amp;" "&amp;MID($AN$361,3,1)&amp;LEFT($AN$361,1))</f>
        <v>2008 Q3</v>
      </c>
      <c r="AO362" t="str">
        <f ca="1">IF(LEN($AO$361)&lt;&gt;8,$AO$361,RIGHT($AO$361,4)&amp;" "&amp;MID($AO$361,3,1)&amp;LEFT($AO$361,1))</f>
        <v>2008 Q2</v>
      </c>
      <c r="AP362" t="str">
        <f ca="1">IF(LEN($AP$361)&lt;&gt;8,$AP$361,RIGHT($AP$361,4)&amp;" "&amp;MID($AP$361,3,1)&amp;LEFT($AP$361,1))</f>
        <v>2008 Q1</v>
      </c>
      <c r="AQ362" t="str">
        <f ca="1">IF(LEN($AQ$361)&lt;&gt;8,$AQ$361,RIGHT($AQ$361,4)&amp;" "&amp;MID($AQ$361,3,1)&amp;LEFT($AQ$361,1))</f>
        <v>2007 Q4</v>
      </c>
      <c r="AR362" t="str">
        <f ca="1">IF(LEN($AR$361)&lt;&gt;8,$AR$361,RIGHT($AR$361,4)&amp;" "&amp;MID($AR$361,3,1)&amp;LEFT($AR$361,1))</f>
        <v>2007 Q3</v>
      </c>
      <c r="AS362" t="str">
        <f ca="1">IF(LEN($AS$361)&lt;&gt;8,$AS$361,RIGHT($AS$361,4)&amp;" "&amp;MID($AS$361,3,1)&amp;LEFT($AS$361,1))</f>
        <v>2007 Q2</v>
      </c>
      <c r="AT362" t="str">
        <f ca="1">IF(LEN($AT$361)&lt;&gt;8,$AT$361,RIGHT($AT$361,4)&amp;" "&amp;MID($AT$361,3,1)&amp;LEFT($AT$361,1))</f>
        <v>2007 Q1</v>
      </c>
      <c r="AU362" t="str">
        <f ca="1">IF(LEN($AU$361)&lt;&gt;8,$AU$361,RIGHT($AU$361,4)&amp;" "&amp;MID($AU$361,3,1)&amp;LEFT($AU$361,1))</f>
        <v>2006 Q4</v>
      </c>
      <c r="AV362" t="str">
        <f ca="1">IF(LEN($AV$361)&lt;&gt;8,$AV$361,RIGHT($AV$361,4)&amp;" "&amp;MID($AV$361,3,1)&amp;LEFT($AV$361,1))</f>
        <v>2006 Q3</v>
      </c>
      <c r="AW362" t="str">
        <f ca="1">IF(LEN($AW$361)&lt;&gt;8,$AW$361,RIGHT($AW$361,4)&amp;" "&amp;MID($AW$361,3,1)&amp;LEFT($AW$361,1))</f>
        <v>2006 Q2</v>
      </c>
      <c r="AX362" t="str">
        <f ca="1">IF(LEN($AX$361)&lt;&gt;8,$AX$361,RIGHT($AX$361,4)&amp;" "&amp;MID($AX$361,3,1)&amp;LEFT($AX$361,1))</f>
        <v>2006 Q1</v>
      </c>
      <c r="AY362" t="str">
        <f ca="1">IF(LEN($AY$361)&lt;&gt;8,$AY$361,RIGHT($AY$361,4)&amp;" "&amp;MID($AY$361,3,1)&amp;LEFT($AY$361,1))</f>
        <v>2005 Q4</v>
      </c>
      <c r="AZ362" t="str">
        <f ca="1">IF(LEN($AZ$361)&lt;&gt;8,$AZ$361,RIGHT($AZ$361,4)&amp;" "&amp;MID($AZ$361,3,1)&amp;LEFT($AZ$361,1))</f>
        <v>2005 Q3</v>
      </c>
      <c r="BA362" t="str">
        <f ca="1">IF(LEN($BA$361)&lt;&gt;8,$BA$361,RIGHT($BA$361,4)&amp;" "&amp;MID($BA$361,3,1)&amp;LEFT($BA$361,1))</f>
        <v>2005 Q2</v>
      </c>
      <c r="BB362" t="str">
        <f ca="1">IF(LEN($BB$361)&lt;&gt;8,$BB$361,RIGHT($BB$361,4)&amp;" "&amp;MID($BB$361,3,1)&amp;LEFT($BB$361,1))</f>
        <v>2005 Q1</v>
      </c>
      <c r="BC362" t="str">
        <f ca="1">IF(LEN($BC$361)&lt;&gt;8,$BC$361,RIGHT($BC$361,4)&amp;" "&amp;MID($BC$361,3,1)&amp;LEFT($BC$361,1))</f>
        <v>2004 Q4</v>
      </c>
      <c r="BD362" t="str">
        <f ca="1">IF(LEN($BD$361)&lt;&gt;8,$BD$361,RIGHT($BD$361,4)&amp;" "&amp;MID($BD$361,3,1)&amp;LEFT($BD$361,1))</f>
        <v>2004 Q3</v>
      </c>
      <c r="BE362" t="str">
        <f ca="1">IF(LEN($BE$361)&lt;&gt;8,$BE$361,RIGHT($BE$361,4)&amp;" "&amp;MID($BE$361,3,1)&amp;LEFT($BE$361,1))</f>
        <v>2004 Q2</v>
      </c>
      <c r="BF362" t="str">
        <f ca="1">IF(LEN($BF$361)&lt;&gt;8,$BF$361,RIGHT($BF$361,4)&amp;" "&amp;MID($BF$361,3,1)&amp;LEFT($BF$361,1))</f>
        <v>2004 Q1</v>
      </c>
      <c r="BG362" t="str">
        <f ca="1">IF(LEN($BG$361)&lt;&gt;8,$BG$361,RIGHT($BG$361,4)&amp;" "&amp;MID($BG$361,3,1)&amp;LEFT($BG$361,1))</f>
        <v>2003 Q4</v>
      </c>
      <c r="BH362" t="str">
        <f ca="1">IF(LEN($BH$361)&lt;&gt;8,$BH$361,RIGHT($BH$361,4)&amp;" "&amp;MID($BH$361,3,1)&amp;LEFT($BH$361,1))</f>
        <v>2003 Q3</v>
      </c>
      <c r="BI362" t="str">
        <f ca="1">IF(LEN($BI$361)&lt;&gt;8,$BI$361,RIGHT($BI$361,4)&amp;" "&amp;MID($BI$361,3,1)&amp;LEFT($BI$361,1))</f>
        <v>2003 Q2</v>
      </c>
      <c r="BJ362" t="str">
        <f ca="1">IF(LEN($BJ$361)&lt;&gt;8,$BJ$361,RIGHT($BJ$361,4)&amp;" "&amp;MID($BJ$361,3,1)&amp;LEFT($BJ$361,1))</f>
        <v>2003 Q1</v>
      </c>
      <c r="BN362" t="str">
        <f>""</f>
        <v/>
      </c>
      <c r="BO362" t="str">
        <f>""</f>
        <v/>
      </c>
      <c r="BP362" t="str">
        <f>""</f>
        <v/>
      </c>
      <c r="BQ362" t="str">
        <f>""</f>
        <v/>
      </c>
      <c r="BR362" t="str">
        <f>""</f>
        <v/>
      </c>
      <c r="BS362" t="str">
        <f>""</f>
        <v/>
      </c>
      <c r="BT362" t="str">
        <f>""</f>
        <v/>
      </c>
      <c r="BU362" t="str">
        <f>""</f>
        <v/>
      </c>
      <c r="BV362" t="str">
        <f>""</f>
        <v/>
      </c>
      <c r="BW362" t="str">
        <f>""</f>
        <v/>
      </c>
      <c r="BX362" t="str">
        <f>""</f>
        <v/>
      </c>
      <c r="BY362" t="str">
        <f>""</f>
        <v/>
      </c>
      <c r="BZ362" t="str">
        <f>""</f>
        <v/>
      </c>
      <c r="CA362" t="str">
        <f>""</f>
        <v/>
      </c>
      <c r="CB362" t="str">
        <f>""</f>
        <v/>
      </c>
      <c r="CC362" t="str">
        <f>""</f>
        <v/>
      </c>
      <c r="CD362" t="str">
        <f>""</f>
        <v/>
      </c>
      <c r="CE362" t="str">
        <f>""</f>
        <v/>
      </c>
      <c r="CF362" t="str">
        <f>""</f>
        <v/>
      </c>
      <c r="CG362" t="str">
        <f>""</f>
        <v/>
      </c>
      <c r="CH362" t="str">
        <f>""</f>
        <v/>
      </c>
      <c r="CI362" t="str">
        <f>""</f>
        <v/>
      </c>
      <c r="CJ362" t="str">
        <f>""</f>
        <v/>
      </c>
      <c r="CK362" t="str">
        <f>""</f>
        <v/>
      </c>
      <c r="CL362" t="str">
        <f>""</f>
        <v/>
      </c>
      <c r="CM362" t="str">
        <f>""</f>
        <v/>
      </c>
      <c r="CN362" t="str">
        <f>""</f>
        <v/>
      </c>
      <c r="CO362" t="str">
        <f>""</f>
        <v/>
      </c>
      <c r="CP362" t="str">
        <f>""</f>
        <v/>
      </c>
      <c r="CQ362" t="str">
        <f>""</f>
        <v/>
      </c>
      <c r="CR362" t="str">
        <f>""</f>
        <v/>
      </c>
      <c r="CS362" t="str">
        <f>""</f>
        <v/>
      </c>
      <c r="CT362" t="str">
        <f>""</f>
        <v/>
      </c>
      <c r="CU362" t="str">
        <f>""</f>
        <v/>
      </c>
      <c r="CV362" t="str">
        <f>""</f>
        <v/>
      </c>
      <c r="CW362" t="str">
        <f>""</f>
        <v/>
      </c>
      <c r="CX362" t="str">
        <f>""</f>
        <v/>
      </c>
      <c r="CY362" t="str">
        <f>""</f>
        <v/>
      </c>
      <c r="CZ362" t="str">
        <f>""</f>
        <v/>
      </c>
      <c r="DA362" t="str">
        <f>""</f>
        <v/>
      </c>
      <c r="DB362" t="str">
        <f>""</f>
        <v/>
      </c>
      <c r="DC362" t="str">
        <f>""</f>
        <v/>
      </c>
      <c r="DD362" t="str">
        <f>""</f>
        <v/>
      </c>
      <c r="DE362" t="str">
        <f>""</f>
        <v/>
      </c>
      <c r="DF362" t="str">
        <f>""</f>
        <v/>
      </c>
      <c r="DG362" t="str">
        <f>""</f>
        <v/>
      </c>
      <c r="DH362" t="str">
        <f>""</f>
        <v/>
      </c>
      <c r="DI362" t="str">
        <f>""</f>
        <v/>
      </c>
      <c r="DJ362" t="str">
        <f>""</f>
        <v/>
      </c>
      <c r="DK362" t="str">
        <f>""</f>
        <v/>
      </c>
      <c r="DL362" t="str">
        <f>""</f>
        <v/>
      </c>
      <c r="DM362" t="str">
        <f>""</f>
        <v/>
      </c>
      <c r="DN362" t="str">
        <f>""</f>
        <v/>
      </c>
      <c r="DO362" t="str">
        <f>""</f>
        <v/>
      </c>
      <c r="DP362" t="str">
        <f>""</f>
        <v/>
      </c>
      <c r="DQ362" t="str">
        <f>""</f>
        <v/>
      </c>
      <c r="DR362" t="str">
        <f>""</f>
        <v/>
      </c>
      <c r="DS362" t="str">
        <f>""</f>
        <v/>
      </c>
      <c r="DT362" t="str">
        <f>""</f>
        <v/>
      </c>
      <c r="DU362" t="str">
        <f>""</f>
        <v/>
      </c>
    </row>
    <row r="363" spans="1:125">
      <c r="A363" t="str">
        <f>"No error found"</f>
        <v>No error found</v>
      </c>
      <c r="B363" t="str">
        <f>""</f>
        <v/>
      </c>
      <c r="C363" t="str">
        <f>""</f>
        <v/>
      </c>
      <c r="D363" t="str">
        <f>""</f>
        <v/>
      </c>
      <c r="E363" t="str">
        <f>""</f>
        <v/>
      </c>
      <c r="BN363" t="str">
        <f>""</f>
        <v/>
      </c>
      <c r="BO363" t="str">
        <f>""</f>
        <v/>
      </c>
      <c r="BP363" t="str">
        <f>""</f>
        <v/>
      </c>
      <c r="BQ363" t="str">
        <f>""</f>
        <v/>
      </c>
      <c r="BR363" t="str">
        <f>""</f>
        <v/>
      </c>
      <c r="BS363" t="str">
        <f>""</f>
        <v/>
      </c>
      <c r="BT363" t="str">
        <f>""</f>
        <v/>
      </c>
      <c r="BU363" t="str">
        <f>""</f>
        <v/>
      </c>
      <c r="BV363" t="str">
        <f>""</f>
        <v/>
      </c>
      <c r="BW363" t="str">
        <f>""</f>
        <v/>
      </c>
      <c r="BX363" t="str">
        <f>""</f>
        <v/>
      </c>
      <c r="BY363" t="str">
        <f>""</f>
        <v/>
      </c>
      <c r="BZ363" t="str">
        <f>""</f>
        <v/>
      </c>
      <c r="CA363" t="str">
        <f>""</f>
        <v/>
      </c>
      <c r="CB363" t="str">
        <f>""</f>
        <v/>
      </c>
      <c r="CC363" t="str">
        <f>""</f>
        <v/>
      </c>
      <c r="CD363" t="str">
        <f>""</f>
        <v/>
      </c>
      <c r="CE363" t="str">
        <f>""</f>
        <v/>
      </c>
      <c r="CF363" t="str">
        <f>""</f>
        <v/>
      </c>
      <c r="CG363" t="str">
        <f>""</f>
        <v/>
      </c>
      <c r="CH363" t="str">
        <f>""</f>
        <v/>
      </c>
      <c r="CI363" t="str">
        <f>""</f>
        <v/>
      </c>
      <c r="CJ363" t="str">
        <f>""</f>
        <v/>
      </c>
      <c r="CK363" t="str">
        <f>""</f>
        <v/>
      </c>
      <c r="CL363" t="str">
        <f>""</f>
        <v/>
      </c>
      <c r="CM363" t="str">
        <f>""</f>
        <v/>
      </c>
      <c r="CN363" t="str">
        <f>""</f>
        <v/>
      </c>
      <c r="CO363" t="str">
        <f>""</f>
        <v/>
      </c>
      <c r="CP363" t="str">
        <f>""</f>
        <v/>
      </c>
      <c r="CQ363" t="str">
        <f>""</f>
        <v/>
      </c>
      <c r="CR363" t="str">
        <f>""</f>
        <v/>
      </c>
      <c r="CS363" t="str">
        <f>""</f>
        <v/>
      </c>
      <c r="CT363" t="str">
        <f>""</f>
        <v/>
      </c>
      <c r="CU363" t="str">
        <f>""</f>
        <v/>
      </c>
      <c r="CV363" t="str">
        <f>""</f>
        <v/>
      </c>
      <c r="CW363" t="str">
        <f>""</f>
        <v/>
      </c>
      <c r="CX363" t="str">
        <f>""</f>
        <v/>
      </c>
      <c r="CY363" t="str">
        <f>""</f>
        <v/>
      </c>
      <c r="CZ363" t="str">
        <f>""</f>
        <v/>
      </c>
      <c r="DA363" t="str">
        <f>""</f>
        <v/>
      </c>
      <c r="DB363" t="str">
        <f>""</f>
        <v/>
      </c>
      <c r="DC363" t="str">
        <f>""</f>
        <v/>
      </c>
      <c r="DD363" t="str">
        <f>""</f>
        <v/>
      </c>
      <c r="DE363" t="str">
        <f>""</f>
        <v/>
      </c>
      <c r="DF363" t="str">
        <f>""</f>
        <v/>
      </c>
      <c r="DG363" t="str">
        <f>""</f>
        <v/>
      </c>
      <c r="DH363" t="str">
        <f>""</f>
        <v/>
      </c>
      <c r="DI363" t="str">
        <f>""</f>
        <v/>
      </c>
      <c r="DJ363" t="str">
        <f>""</f>
        <v/>
      </c>
      <c r="DK363" t="str">
        <f>""</f>
        <v/>
      </c>
      <c r="DL363" t="str">
        <f>""</f>
        <v/>
      </c>
      <c r="DM363" t="str">
        <f>""</f>
        <v/>
      </c>
      <c r="DN363" t="str">
        <f>""</f>
        <v/>
      </c>
      <c r="DO363" t="str">
        <f>""</f>
        <v/>
      </c>
      <c r="DP363" t="str">
        <f>""</f>
        <v/>
      </c>
      <c r="DQ363" t="str">
        <f>""</f>
        <v/>
      </c>
      <c r="DR363" t="str">
        <f>""</f>
        <v/>
      </c>
      <c r="DS363" t="str">
        <f>""</f>
        <v/>
      </c>
      <c r="DT363" t="str">
        <f>""</f>
        <v/>
      </c>
      <c r="DU363" t="str">
        <f>""</f>
        <v/>
      </c>
    </row>
  </sheetData>
  <phoneticPr fontId="1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5"/>
  <sheetViews>
    <sheetView workbookViewId="0"/>
  </sheetViews>
  <sheetFormatPr defaultRowHeight="13.5"/>
  <cols>
    <col min="1" max="1" width="9.125" bestFit="1" customWidth="1"/>
  </cols>
  <sheetData>
    <row r="1" spans="1:1" ht="15">
      <c r="A1" s="1"/>
    </row>
    <row r="2" spans="1:1">
      <c r="A2" t="s">
        <v>0</v>
      </c>
    </row>
    <row r="3" spans="1:1">
      <c r="A3" t="s">
        <v>1</v>
      </c>
    </row>
    <row r="5" spans="1:1">
      <c r="A5" t="s">
        <v>2</v>
      </c>
    </row>
    <row r="6" spans="1:1">
      <c r="A6" t="s">
        <v>3</v>
      </c>
    </row>
    <row r="7" spans="1:1">
      <c r="A7" t="s">
        <v>4</v>
      </c>
    </row>
    <row r="8" spans="1:1">
      <c r="A8" t="s">
        <v>5</v>
      </c>
    </row>
    <row r="9" spans="1:1">
      <c r="A9" t="s">
        <v>6</v>
      </c>
    </row>
    <row r="11" spans="1:1">
      <c r="A11" t="s">
        <v>7</v>
      </c>
    </row>
    <row r="12" spans="1:1">
      <c r="A12" t="s">
        <v>8</v>
      </c>
    </row>
    <row r="13" spans="1:1">
      <c r="A13" t="s">
        <v>9</v>
      </c>
    </row>
    <row r="14" spans="1:1">
      <c r="A14" t="s">
        <v>10</v>
      </c>
    </row>
    <row r="15" spans="1:1">
      <c r="A15" t="s">
        <v>11</v>
      </c>
    </row>
    <row r="16" spans="1:1">
      <c r="A16" t="s">
        <v>12</v>
      </c>
    </row>
    <row r="17" spans="1:1">
      <c r="A17" t="s">
        <v>13</v>
      </c>
    </row>
    <row r="18" spans="1:1">
      <c r="A18" t="s">
        <v>14</v>
      </c>
    </row>
    <row r="19" spans="1:1">
      <c r="A19" t="s">
        <v>15</v>
      </c>
    </row>
    <row r="21" spans="1:1">
      <c r="A21" t="s">
        <v>16</v>
      </c>
    </row>
    <row r="22" spans="1:1">
      <c r="A22" t="s">
        <v>17</v>
      </c>
    </row>
    <row r="23" spans="1:1">
      <c r="A23" t="s">
        <v>18</v>
      </c>
    </row>
    <row r="24" spans="1:1">
      <c r="A24" t="s">
        <v>19</v>
      </c>
    </row>
    <row r="25" spans="1:1">
      <c r="A25" t="s">
        <v>20</v>
      </c>
    </row>
    <row r="26" spans="1:1">
      <c r="A26" t="s">
        <v>21</v>
      </c>
    </row>
    <row r="27" spans="1:1">
      <c r="A27" t="s">
        <v>22</v>
      </c>
    </row>
    <row r="28" spans="1:1">
      <c r="A28" t="s">
        <v>23</v>
      </c>
    </row>
    <row r="29" spans="1:1">
      <c r="A29" t="s">
        <v>24</v>
      </c>
    </row>
    <row r="30" spans="1:1">
      <c r="A30" t="s">
        <v>25</v>
      </c>
    </row>
    <row r="31" spans="1:1">
      <c r="A31" t="s">
        <v>26</v>
      </c>
    </row>
    <row r="32" spans="1:1">
      <c r="A32" t="s">
        <v>27</v>
      </c>
    </row>
    <row r="33" spans="1:1">
      <c r="A33" t="s">
        <v>28</v>
      </c>
    </row>
    <row r="34" spans="1:1">
      <c r="A34" t="s">
        <v>29</v>
      </c>
    </row>
    <row r="35" spans="1:1">
      <c r="A35" t="s">
        <v>30</v>
      </c>
    </row>
  </sheetData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BIData</vt:lpstr>
      <vt:lpstr>ReferenceData</vt:lpstr>
      <vt:lpstr>帮助-参考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lenovo</cp:lastModifiedBy>
  <dcterms:created xsi:type="dcterms:W3CDTF">2013-04-03T15:49:21Z</dcterms:created>
  <dcterms:modified xsi:type="dcterms:W3CDTF">2018-03-14T02:48:07Z</dcterms:modified>
</cp:coreProperties>
</file>