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95" yWindow="-105" windowWidth="14850" windowHeight="12735"/>
  </bookViews>
  <sheets>
    <sheet name="BIData" sheetId="2" r:id="rId1"/>
    <sheet name="ReferenceData" sheetId="3" r:id="rId2"/>
    <sheet name="帮助-参考" sheetId="4" r:id="rId3"/>
  </sheets>
  <calcPr calcId="124519"/>
</workbook>
</file>

<file path=xl/calcChain.xml><?xml version="1.0" encoding="utf-8"?>
<calcChain xmlns="http://schemas.openxmlformats.org/spreadsheetml/2006/main">
  <c r="DU84" i="3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E84"/>
  <c r="D84"/>
  <c r="C84"/>
  <c r="B84"/>
  <c r="A84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A83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A82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A81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A80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A79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A78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A77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A76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A75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A74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A73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A72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A71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A70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A69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A68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E66"/>
  <c r="D66"/>
  <c r="C66"/>
  <c r="B66"/>
  <c r="A66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E65"/>
  <c r="D65"/>
  <c r="C65"/>
  <c r="B65"/>
  <c r="A65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E64"/>
  <c r="D64"/>
  <c r="C64"/>
  <c r="A64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E63"/>
  <c r="D63"/>
  <c r="C63"/>
  <c r="B63"/>
  <c r="A63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A62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E61"/>
  <c r="D61"/>
  <c r="C61"/>
  <c r="B61"/>
  <c r="A61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E60"/>
  <c r="D60"/>
  <c r="C60"/>
  <c r="B60"/>
  <c r="A60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E59"/>
  <c r="D59"/>
  <c r="C59"/>
  <c r="B59"/>
  <c r="A59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E58"/>
  <c r="D58"/>
  <c r="C58"/>
  <c r="B58"/>
  <c r="A58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E57"/>
  <c r="D57"/>
  <c r="C57"/>
  <c r="B57"/>
  <c r="A57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E56"/>
  <c r="D56"/>
  <c r="C56"/>
  <c r="B56"/>
  <c r="A56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D54"/>
  <c r="C54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C51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D50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E48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E44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43"/>
  <c r="A43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E40"/>
  <c r="A40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A38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37"/>
  <c r="B64" s="1"/>
  <c r="A37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A36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35"/>
  <c r="A35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C34"/>
  <c r="B34"/>
  <c r="A34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33"/>
  <c r="A33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A31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E22"/>
  <c r="E55" s="1"/>
  <c r="D22"/>
  <c r="D55" s="1"/>
  <c r="C22"/>
  <c r="B22"/>
  <c r="B22" i="2" s="1"/>
  <c r="A22" i="3"/>
  <c r="A22" i="2" s="1"/>
  <c r="DU21" i="3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E21"/>
  <c r="E54" s="1"/>
  <c r="D21"/>
  <c r="D21" i="2" s="1"/>
  <c r="C21" i="3"/>
  <c r="B21"/>
  <c r="B54" s="1"/>
  <c r="A21"/>
  <c r="A54" s="1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E20"/>
  <c r="D20"/>
  <c r="C20"/>
  <c r="B20"/>
  <c r="B53" s="1"/>
  <c r="A20"/>
  <c r="A53" s="1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E19"/>
  <c r="B19"/>
  <c r="A19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E18"/>
  <c r="E18" i="2" s="1"/>
  <c r="D18" i="3"/>
  <c r="D52" s="1"/>
  <c r="C18"/>
  <c r="C52" s="1"/>
  <c r="B18"/>
  <c r="B52" s="1"/>
  <c r="A18"/>
  <c r="A18" i="2" s="1"/>
  <c r="DU17" i="3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E17"/>
  <c r="E51" s="1"/>
  <c r="D17"/>
  <c r="D51" s="1"/>
  <c r="C17"/>
  <c r="B17"/>
  <c r="B17" i="2" s="1"/>
  <c r="A17" i="3"/>
  <c r="A17" i="2" s="1"/>
  <c r="DU16" i="3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E16"/>
  <c r="E50" s="1"/>
  <c r="D16"/>
  <c r="C16"/>
  <c r="C16" i="2" s="1"/>
  <c r="B16" i="3"/>
  <c r="B50" s="1"/>
  <c r="A16"/>
  <c r="A50" s="1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E15"/>
  <c r="E49" s="1"/>
  <c r="D15"/>
  <c r="C15"/>
  <c r="C49" s="1"/>
  <c r="B15"/>
  <c r="A15"/>
  <c r="A49" s="1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E14"/>
  <c r="E14" i="2" s="1"/>
  <c r="B14" i="3"/>
  <c r="B14" i="2" s="1"/>
  <c r="A14" i="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E13"/>
  <c r="D13"/>
  <c r="D48" s="1"/>
  <c r="C13"/>
  <c r="C48" s="1"/>
  <c r="B13"/>
  <c r="B48" s="1"/>
  <c r="A13"/>
  <c r="A48" s="1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E12"/>
  <c r="E47" s="1"/>
  <c r="D12"/>
  <c r="D47" s="1"/>
  <c r="C12"/>
  <c r="C47" s="1"/>
  <c r="B12"/>
  <c r="B47" s="1"/>
  <c r="A12"/>
  <c r="A12" i="2" s="1"/>
  <c r="DU11" i="3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E11"/>
  <c r="E46" s="1"/>
  <c r="D11"/>
  <c r="D46" s="1"/>
  <c r="C11"/>
  <c r="C46" s="1"/>
  <c r="B11"/>
  <c r="B46" s="1"/>
  <c r="A11"/>
  <c r="A46" s="1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E10"/>
  <c r="E45" s="1"/>
  <c r="D10"/>
  <c r="D45" s="1"/>
  <c r="C10"/>
  <c r="B10"/>
  <c r="B45" s="1"/>
  <c r="A10"/>
  <c r="A45" s="1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E9"/>
  <c r="B9"/>
  <c r="A9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E8"/>
  <c r="D8"/>
  <c r="D44" s="1"/>
  <c r="C8"/>
  <c r="B8"/>
  <c r="A8"/>
  <c r="A44" s="1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E7"/>
  <c r="E43" s="1"/>
  <c r="D7"/>
  <c r="D43" s="1"/>
  <c r="C7"/>
  <c r="C43" s="1"/>
  <c r="B7"/>
  <c r="A7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E6"/>
  <c r="E42" s="1"/>
  <c r="D6"/>
  <c r="D42" s="1"/>
  <c r="C6"/>
  <c r="C42" s="1"/>
  <c r="B6"/>
  <c r="B42" s="1"/>
  <c r="A6"/>
  <c r="A42" s="1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E5"/>
  <c r="E41" s="1"/>
  <c r="D5"/>
  <c r="D41" s="1"/>
  <c r="C5"/>
  <c r="C41" s="1"/>
  <c r="B5"/>
  <c r="B41" s="1"/>
  <c r="A5"/>
  <c r="A41" s="1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E4"/>
  <c r="E4" i="2" s="1"/>
  <c r="D4" i="3"/>
  <c r="D40" s="1"/>
  <c r="C4"/>
  <c r="C40" s="1"/>
  <c r="B4"/>
  <c r="B40" s="1"/>
  <c r="A4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E3"/>
  <c r="B3"/>
  <c r="A3"/>
  <c r="E2"/>
  <c r="E2" i="2" s="1"/>
  <c r="D2" i="3"/>
  <c r="C2"/>
  <c r="B2"/>
  <c r="A2"/>
  <c r="E22" i="2"/>
  <c r="E21"/>
  <c r="C21"/>
  <c r="B21"/>
  <c r="A21"/>
  <c r="B20"/>
  <c r="E19"/>
  <c r="D19"/>
  <c r="C19"/>
  <c r="B19"/>
  <c r="A19"/>
  <c r="C18"/>
  <c r="B18"/>
  <c r="D17"/>
  <c r="C17"/>
  <c r="E16"/>
  <c r="D16"/>
  <c r="A16"/>
  <c r="E15"/>
  <c r="D14"/>
  <c r="C14"/>
  <c r="A14"/>
  <c r="E13"/>
  <c r="B13"/>
  <c r="D12"/>
  <c r="C12"/>
  <c r="B12"/>
  <c r="E11"/>
  <c r="D11"/>
  <c r="C11"/>
  <c r="B11"/>
  <c r="A11"/>
  <c r="E10"/>
  <c r="D10"/>
  <c r="B10"/>
  <c r="A10"/>
  <c r="E9"/>
  <c r="D9"/>
  <c r="C9"/>
  <c r="B9"/>
  <c r="A9"/>
  <c r="E8"/>
  <c r="D8"/>
  <c r="A8"/>
  <c r="E7"/>
  <c r="D7"/>
  <c r="C7"/>
  <c r="B7"/>
  <c r="A7"/>
  <c r="E6"/>
  <c r="D6"/>
  <c r="C6"/>
  <c r="B6"/>
  <c r="A6"/>
  <c r="E5"/>
  <c r="D5"/>
  <c r="C5"/>
  <c r="B5"/>
  <c r="A5"/>
  <c r="D4"/>
  <c r="C4"/>
  <c r="B4"/>
  <c r="A4"/>
  <c r="E3"/>
  <c r="D3"/>
  <c r="C3"/>
  <c r="B3"/>
  <c r="A3"/>
  <c r="D2"/>
  <c r="C2"/>
  <c r="B2"/>
  <c r="A2"/>
  <c r="A32" i="3"/>
  <c r="A13" i="2" l="1"/>
  <c r="D22"/>
  <c r="A55" i="3"/>
  <c r="B16" i="2"/>
  <c r="C13"/>
  <c r="C15"/>
  <c r="E17"/>
  <c r="A20"/>
  <c r="A52" i="3"/>
  <c r="D13" i="2"/>
  <c r="A15"/>
  <c r="C44" i="3"/>
  <c r="C8" i="2"/>
  <c r="C22"/>
  <c r="C55" i="3"/>
  <c r="B44"/>
  <c r="B8" i="2"/>
  <c r="D49" i="3"/>
  <c r="D15" i="2"/>
  <c r="C45" i="3"/>
  <c r="C10" i="2"/>
  <c r="B49" i="3"/>
  <c r="B15" i="2"/>
  <c r="E20"/>
  <c r="E53" i="3"/>
  <c r="D20" i="2"/>
  <c r="D53" i="3"/>
  <c r="A51"/>
  <c r="C20" i="2"/>
  <c r="C53" i="3"/>
  <c r="A47"/>
  <c r="E52"/>
  <c r="B36"/>
  <c r="C36"/>
  <c r="E12" i="2"/>
  <c r="C50" i="3"/>
  <c r="B51"/>
  <c r="D18" i="2"/>
  <c r="B55" i="3"/>
  <c r="F45"/>
  <c r="F44"/>
  <c r="F40"/>
  <c r="F50"/>
  <c r="F53"/>
  <c r="C70"/>
  <c r="C78"/>
  <c r="C68"/>
  <c r="C72"/>
  <c r="C76"/>
  <c r="C80"/>
  <c r="F46"/>
  <c r="F47"/>
  <c r="F42"/>
  <c r="F43"/>
  <c r="F55"/>
  <c r="F52"/>
  <c r="F48"/>
  <c r="F41"/>
  <c r="F49"/>
  <c r="F54"/>
  <c r="F51"/>
  <c r="B80" l="1"/>
  <c r="B76"/>
  <c r="B72"/>
  <c r="B68"/>
  <c r="B78"/>
  <c r="B70"/>
  <c r="BJ74" l="1"/>
  <c r="BJ75" s="1"/>
  <c r="BB74"/>
  <c r="BB75" s="1"/>
  <c r="AT74"/>
  <c r="AT75" s="1"/>
  <c r="AL74"/>
  <c r="AL75" s="1"/>
  <c r="AD74"/>
  <c r="AD75" s="1"/>
  <c r="V74"/>
  <c r="V75" s="1"/>
  <c r="N74"/>
  <c r="N75" s="1"/>
  <c r="F74"/>
  <c r="F75" s="1"/>
  <c r="BC74"/>
  <c r="BC75" s="1"/>
  <c r="AU74"/>
  <c r="AU75" s="1"/>
  <c r="AM74"/>
  <c r="AM75" s="1"/>
  <c r="AE74"/>
  <c r="AE75" s="1"/>
  <c r="W74"/>
  <c r="W75" s="1"/>
  <c r="O74"/>
  <c r="O75" s="1"/>
  <c r="G74"/>
  <c r="G75" s="1"/>
  <c r="BE74"/>
  <c r="BE75" s="1"/>
  <c r="AW74"/>
  <c r="AW75" s="1"/>
  <c r="AO74"/>
  <c r="AO75" s="1"/>
  <c r="AG74"/>
  <c r="AG75" s="1"/>
  <c r="Y74"/>
  <c r="Y75" s="1"/>
  <c r="Q74"/>
  <c r="Q75" s="1"/>
  <c r="I74"/>
  <c r="I75" s="1"/>
  <c r="BI74"/>
  <c r="BI75" s="1"/>
  <c r="BA74"/>
  <c r="BA75" s="1"/>
  <c r="AS74"/>
  <c r="AS75" s="1"/>
  <c r="AK74"/>
  <c r="AK75" s="1"/>
  <c r="AC74"/>
  <c r="AC75" s="1"/>
  <c r="U74"/>
  <c r="U75" s="1"/>
  <c r="M74"/>
  <c r="M75" s="1"/>
  <c r="E74"/>
  <c r="E75" s="1"/>
  <c r="BH74"/>
  <c r="BH75" s="1"/>
  <c r="AR74"/>
  <c r="AR75" s="1"/>
  <c r="AB74"/>
  <c r="AB75" s="1"/>
  <c r="L74"/>
  <c r="L75" s="1"/>
  <c r="AV74"/>
  <c r="AV75" s="1"/>
  <c r="AF74"/>
  <c r="AF75" s="1"/>
  <c r="P74"/>
  <c r="P75" s="1"/>
  <c r="AY74"/>
  <c r="AY75" s="1"/>
  <c r="AI74"/>
  <c r="AI75" s="1"/>
  <c r="S74"/>
  <c r="S75" s="1"/>
  <c r="C74"/>
  <c r="C75" s="1"/>
  <c r="AZ74"/>
  <c r="AZ75" s="1"/>
  <c r="AJ74"/>
  <c r="AJ75" s="1"/>
  <c r="T74"/>
  <c r="T75" s="1"/>
  <c r="D74"/>
  <c r="D75" s="1"/>
  <c r="BG74"/>
  <c r="BG75" s="1"/>
  <c r="AQ74"/>
  <c r="AQ75" s="1"/>
  <c r="AA74"/>
  <c r="AA75" s="1"/>
  <c r="K74"/>
  <c r="K75" s="1"/>
  <c r="AX74"/>
  <c r="AX75" s="1"/>
  <c r="H74"/>
  <c r="H75" s="1"/>
  <c r="BF74"/>
  <c r="BF75" s="1"/>
  <c r="BD74"/>
  <c r="BD75" s="1"/>
  <c r="J74"/>
  <c r="J75" s="1"/>
  <c r="R74"/>
  <c r="R75" s="1"/>
  <c r="AH74"/>
  <c r="AH75" s="1"/>
  <c r="X74"/>
  <c r="X75" s="1"/>
  <c r="Z74"/>
  <c r="Z75" s="1"/>
  <c r="AP74"/>
  <c r="AP75" s="1"/>
  <c r="B74"/>
  <c r="B75" s="1"/>
  <c r="AN74"/>
  <c r="AN75" s="1"/>
  <c r="BJ82"/>
  <c r="BJ83" s="1"/>
  <c r="BB82"/>
  <c r="BB83" s="1"/>
  <c r="AT82"/>
  <c r="AT83" s="1"/>
  <c r="AL82"/>
  <c r="AL83" s="1"/>
  <c r="AD82"/>
  <c r="AD83" s="1"/>
  <c r="V82"/>
  <c r="V83" s="1"/>
  <c r="N82"/>
  <c r="N83" s="1"/>
  <c r="F82"/>
  <c r="F83" s="1"/>
  <c r="BC82"/>
  <c r="BC83" s="1"/>
  <c r="AU82"/>
  <c r="AU83" s="1"/>
  <c r="AM82"/>
  <c r="AM83" s="1"/>
  <c r="AE82"/>
  <c r="AE83" s="1"/>
  <c r="W82"/>
  <c r="W83" s="1"/>
  <c r="O82"/>
  <c r="O83" s="1"/>
  <c r="G82"/>
  <c r="G83" s="1"/>
  <c r="BE82"/>
  <c r="BE83" s="1"/>
  <c r="AW82"/>
  <c r="AW83" s="1"/>
  <c r="AO82"/>
  <c r="AO83" s="1"/>
  <c r="AG82"/>
  <c r="AG83" s="1"/>
  <c r="Y82"/>
  <c r="Y83" s="1"/>
  <c r="Q82"/>
  <c r="Q83" s="1"/>
  <c r="I82"/>
  <c r="I83" s="1"/>
  <c r="BI82"/>
  <c r="BI83" s="1"/>
  <c r="BA82"/>
  <c r="BA83" s="1"/>
  <c r="AS82"/>
  <c r="AS83" s="1"/>
  <c r="AK82"/>
  <c r="AK83" s="1"/>
  <c r="AC82"/>
  <c r="AC83" s="1"/>
  <c r="U82"/>
  <c r="U83" s="1"/>
  <c r="M82"/>
  <c r="M83" s="1"/>
  <c r="E82"/>
  <c r="E83" s="1"/>
  <c r="AV82"/>
  <c r="AV83" s="1"/>
  <c r="AF82"/>
  <c r="AF83" s="1"/>
  <c r="P82"/>
  <c r="P83" s="1"/>
  <c r="AX82"/>
  <c r="AX83" s="1"/>
  <c r="AH82"/>
  <c r="AH83" s="1"/>
  <c r="R82"/>
  <c r="R83" s="1"/>
  <c r="B82"/>
  <c r="B83" s="1"/>
  <c r="AZ82"/>
  <c r="AZ83" s="1"/>
  <c r="AJ82"/>
  <c r="AJ83" s="1"/>
  <c r="T82"/>
  <c r="T83" s="1"/>
  <c r="D82"/>
  <c r="D83" s="1"/>
  <c r="BD82"/>
  <c r="BD83" s="1"/>
  <c r="AN82"/>
  <c r="AN83" s="1"/>
  <c r="X82"/>
  <c r="X83" s="1"/>
  <c r="H82"/>
  <c r="H83" s="1"/>
  <c r="BH82"/>
  <c r="BH83" s="1"/>
  <c r="AR82"/>
  <c r="AR83" s="1"/>
  <c r="AB82"/>
  <c r="AB83" s="1"/>
  <c r="L82"/>
  <c r="L83" s="1"/>
  <c r="BF82"/>
  <c r="BF83" s="1"/>
  <c r="K82"/>
  <c r="K83" s="1"/>
  <c r="BG82"/>
  <c r="BG83" s="1"/>
  <c r="S82"/>
  <c r="S83" s="1"/>
  <c r="Z82"/>
  <c r="Z83" s="1"/>
  <c r="AP82"/>
  <c r="AP83" s="1"/>
  <c r="AA82"/>
  <c r="AA83" s="1"/>
  <c r="AI82"/>
  <c r="AI83" s="1"/>
  <c r="J82"/>
  <c r="J83" s="1"/>
  <c r="AY82"/>
  <c r="AY83" s="1"/>
  <c r="AQ82"/>
  <c r="AQ83" s="1"/>
  <c r="C82"/>
  <c r="C83" s="1"/>
  <c r="BN2" l="1"/>
  <c r="F2"/>
  <c r="BM2"/>
  <c r="DU2"/>
  <c r="CK2"/>
  <c r="AC2"/>
  <c r="DI2"/>
  <c r="BA2"/>
  <c r="BC2"/>
  <c r="DK2"/>
  <c r="BW2"/>
  <c r="O2"/>
  <c r="CV2"/>
  <c r="AN2"/>
  <c r="AR2"/>
  <c r="CZ2"/>
  <c r="AX2"/>
  <c r="DF2"/>
  <c r="BE2"/>
  <c r="DM2"/>
  <c r="DA2"/>
  <c r="AS2"/>
  <c r="K2"/>
  <c r="BS2"/>
  <c r="AM2"/>
  <c r="CU2"/>
  <c r="DG2"/>
  <c r="AY2"/>
  <c r="CN2"/>
  <c r="AF2"/>
  <c r="AJ2"/>
  <c r="CR2"/>
  <c r="AP2"/>
  <c r="CX2"/>
  <c r="AW2"/>
  <c r="DE2"/>
  <c r="BV2"/>
  <c r="N2"/>
  <c r="DQ2"/>
  <c r="BI2"/>
  <c r="W2"/>
  <c r="CE2"/>
  <c r="CQ2"/>
  <c r="AI2"/>
  <c r="CF2"/>
  <c r="X2"/>
  <c r="AB2"/>
  <c r="CJ2"/>
  <c r="AH2"/>
  <c r="CP2"/>
  <c r="AO2"/>
  <c r="CW2"/>
  <c r="AQ2"/>
  <c r="CY2"/>
  <c r="BG2"/>
  <c r="DO2"/>
  <c r="G2"/>
  <c r="BO2"/>
  <c r="CA2"/>
  <c r="S2"/>
  <c r="BX2"/>
  <c r="P2"/>
  <c r="T2"/>
  <c r="CB2"/>
  <c r="Z2"/>
  <c r="CH2"/>
  <c r="AG2"/>
  <c r="CO2"/>
  <c r="B38"/>
  <c r="CM2"/>
  <c r="AE2"/>
  <c r="AZ2"/>
  <c r="DH2"/>
  <c r="DR2"/>
  <c r="BJ2"/>
  <c r="BP2"/>
  <c r="H2"/>
  <c r="Y2"/>
  <c r="CG2"/>
  <c r="CC2"/>
  <c r="U2"/>
  <c r="DB2"/>
  <c r="AT2"/>
  <c r="CT2"/>
  <c r="AL2"/>
  <c r="DS2"/>
  <c r="BK2"/>
  <c r="DT2"/>
  <c r="BL2"/>
  <c r="J2"/>
  <c r="BR2"/>
  <c r="Q2"/>
  <c r="BY2"/>
  <c r="AA2"/>
  <c r="CI2"/>
  <c r="DD2"/>
  <c r="AV2"/>
  <c r="BF2"/>
  <c r="DN2"/>
  <c r="BU2"/>
  <c r="M2"/>
  <c r="DJ2"/>
  <c r="BB2"/>
  <c r="L2"/>
  <c r="BT2"/>
  <c r="R2"/>
  <c r="BZ2"/>
  <c r="CS2"/>
  <c r="AK2"/>
  <c r="CL2"/>
  <c r="AD2"/>
  <c r="CD2"/>
  <c r="V2"/>
  <c r="DC2"/>
  <c r="AU2"/>
  <c r="DL2"/>
  <c r="BD2"/>
  <c r="BH2"/>
  <c r="DP2"/>
  <c r="I2"/>
  <c r="BQ2"/>
  <c r="BA14"/>
  <c r="BA3"/>
  <c r="BA9"/>
  <c r="BA19"/>
  <c r="BI14"/>
  <c r="BI3"/>
  <c r="BI9"/>
  <c r="BI19"/>
  <c r="AZ3"/>
  <c r="AZ9"/>
  <c r="AZ14"/>
  <c r="AZ19"/>
  <c r="L3"/>
  <c r="L9"/>
  <c r="L14"/>
  <c r="L19"/>
  <c r="I19"/>
  <c r="I14"/>
  <c r="I9"/>
  <c r="I3"/>
  <c r="AR3"/>
  <c r="AR9"/>
  <c r="AR14"/>
  <c r="AR19"/>
  <c r="K3"/>
  <c r="K19"/>
  <c r="K9"/>
  <c r="K14"/>
  <c r="AJ3"/>
  <c r="AJ9"/>
  <c r="AJ14"/>
  <c r="AJ19"/>
  <c r="AB3"/>
  <c r="AB9"/>
  <c r="AB14"/>
  <c r="AB19"/>
  <c r="BG3"/>
  <c r="BG19"/>
  <c r="BG9"/>
  <c r="BG14"/>
  <c r="T3"/>
  <c r="T9"/>
  <c r="T14"/>
  <c r="T19"/>
  <c r="AE9"/>
  <c r="AE14"/>
  <c r="AE19"/>
  <c r="AE3"/>
  <c r="BB9"/>
  <c r="BB19"/>
  <c r="BB14"/>
  <c r="BB3"/>
  <c r="AT19"/>
  <c r="AT9"/>
  <c r="AT14"/>
  <c r="AT3"/>
  <c r="R19"/>
  <c r="R3"/>
  <c r="R14"/>
  <c r="R9"/>
  <c r="BC9"/>
  <c r="BC14"/>
  <c r="BC19"/>
  <c r="BC3"/>
  <c r="AP3"/>
  <c r="AP19"/>
  <c r="AP14"/>
  <c r="AP9"/>
  <c r="G9"/>
  <c r="G14"/>
  <c r="G19"/>
  <c r="G3"/>
  <c r="U14"/>
  <c r="U3"/>
  <c r="U9"/>
  <c r="U19"/>
  <c r="BK9"/>
  <c r="BK14"/>
  <c r="BK19"/>
  <c r="BK3"/>
  <c r="AD9"/>
  <c r="AD19"/>
  <c r="AD14"/>
  <c r="AD3"/>
  <c r="BE19"/>
  <c r="BE14"/>
  <c r="BE9"/>
  <c r="BE3"/>
  <c r="AG14"/>
  <c r="AG19"/>
  <c r="AG9"/>
  <c r="AG3"/>
  <c r="BF19"/>
  <c r="BF3"/>
  <c r="BF14"/>
  <c r="BF9"/>
  <c r="AM9"/>
  <c r="AM14"/>
  <c r="AM19"/>
  <c r="AM3"/>
  <c r="AH3"/>
  <c r="AH19"/>
  <c r="AH14"/>
  <c r="AH9"/>
  <c r="AV19"/>
  <c r="AV3"/>
  <c r="AV9"/>
  <c r="AV14"/>
  <c r="AC14"/>
  <c r="AC3"/>
  <c r="AC9"/>
  <c r="AC19"/>
  <c r="AN3"/>
  <c r="AN9"/>
  <c r="AN14"/>
  <c r="AN19"/>
  <c r="AS14"/>
  <c r="AS3"/>
  <c r="AS9"/>
  <c r="AS19"/>
  <c r="AF19"/>
  <c r="AF9"/>
  <c r="AF14"/>
  <c r="AF3"/>
  <c r="N9"/>
  <c r="N19"/>
  <c r="N14"/>
  <c r="N3"/>
  <c r="X3"/>
  <c r="X9"/>
  <c r="X14"/>
  <c r="X19"/>
  <c r="P19"/>
  <c r="P3"/>
  <c r="P9"/>
  <c r="P14"/>
  <c r="Y19"/>
  <c r="Y14"/>
  <c r="Y9"/>
  <c r="Y3"/>
  <c r="AA3"/>
  <c r="AA19"/>
  <c r="AA9"/>
  <c r="AA14"/>
  <c r="BH3"/>
  <c r="BH9"/>
  <c r="BH14"/>
  <c r="BH19"/>
  <c r="AQ3"/>
  <c r="AQ19"/>
  <c r="AQ9"/>
  <c r="AQ14"/>
  <c r="H3"/>
  <c r="H9"/>
  <c r="H14"/>
  <c r="H19"/>
  <c r="AL9"/>
  <c r="AL19"/>
  <c r="AL14"/>
  <c r="AL3"/>
  <c r="M14"/>
  <c r="M3"/>
  <c r="M9"/>
  <c r="M19"/>
  <c r="AK14"/>
  <c r="AK3"/>
  <c r="AK9"/>
  <c r="AK19"/>
  <c r="BD3"/>
  <c r="BD9"/>
  <c r="BD14"/>
  <c r="BD19"/>
  <c r="O14"/>
  <c r="O9"/>
  <c r="O19"/>
  <c r="O3"/>
  <c r="AY3"/>
  <c r="AY19"/>
  <c r="AY9"/>
  <c r="AY14"/>
  <c r="AI3"/>
  <c r="AI19"/>
  <c r="AI9"/>
  <c r="AI14"/>
  <c r="S3"/>
  <c r="S19"/>
  <c r="S9"/>
  <c r="S14"/>
  <c r="Q19"/>
  <c r="Q14"/>
  <c r="Q9"/>
  <c r="Q3"/>
  <c r="BM14"/>
  <c r="BM19"/>
  <c r="BM9"/>
  <c r="BM3"/>
  <c r="AW19"/>
  <c r="AW14"/>
  <c r="AW9"/>
  <c r="AW3"/>
  <c r="AO19"/>
  <c r="AO14"/>
  <c r="AO9"/>
  <c r="AO3"/>
  <c r="BJ9"/>
  <c r="BJ19"/>
  <c r="BJ14"/>
  <c r="BJ3"/>
  <c r="AU14"/>
  <c r="AU9"/>
  <c r="AU19"/>
  <c r="AU3"/>
  <c r="F9"/>
  <c r="F19"/>
  <c r="F14"/>
  <c r="F3"/>
  <c r="J3"/>
  <c r="J19"/>
  <c r="J14"/>
  <c r="J9"/>
  <c r="AX19"/>
  <c r="AX3"/>
  <c r="AX14"/>
  <c r="AX9"/>
  <c r="W9"/>
  <c r="W14"/>
  <c r="W19"/>
  <c r="W3"/>
  <c r="Z19"/>
  <c r="Z3"/>
  <c r="Z14"/>
  <c r="Z9"/>
  <c r="BL19"/>
  <c r="BL9"/>
  <c r="BL14"/>
  <c r="BL3"/>
  <c r="V9"/>
  <c r="V19"/>
  <c r="V14"/>
  <c r="V3"/>
  <c r="V3" i="2" l="1"/>
  <c r="V14"/>
  <c r="V19"/>
  <c r="V9"/>
  <c r="BL3"/>
  <c r="BL14"/>
  <c r="BL9"/>
  <c r="BL19"/>
  <c r="Z9"/>
  <c r="Z14"/>
  <c r="Z3"/>
  <c r="Z19"/>
  <c r="W3"/>
  <c r="W19"/>
  <c r="W14"/>
  <c r="W9"/>
  <c r="AX9"/>
  <c r="AX14"/>
  <c r="AX3"/>
  <c r="AX19"/>
  <c r="J9"/>
  <c r="J14"/>
  <c r="J19"/>
  <c r="J3"/>
  <c r="F3"/>
  <c r="F14"/>
  <c r="F19"/>
  <c r="F9"/>
  <c r="AU3"/>
  <c r="AU19"/>
  <c r="AU9"/>
  <c r="AU14"/>
  <c r="BJ3"/>
  <c r="BJ14"/>
  <c r="BJ19"/>
  <c r="BJ9"/>
  <c r="AO3"/>
  <c r="AO9"/>
  <c r="AO14"/>
  <c r="AO19"/>
  <c r="AW3"/>
  <c r="AW9"/>
  <c r="AW14"/>
  <c r="AW19"/>
  <c r="BM3"/>
  <c r="BM9"/>
  <c r="BM19"/>
  <c r="BM14"/>
  <c r="Q3"/>
  <c r="Q9"/>
  <c r="Q14"/>
  <c r="Q19"/>
  <c r="S14"/>
  <c r="S9"/>
  <c r="S19"/>
  <c r="S3"/>
  <c r="AI14"/>
  <c r="AI9"/>
  <c r="AI19"/>
  <c r="AI3"/>
  <c r="AY14"/>
  <c r="AY9"/>
  <c r="AY19"/>
  <c r="AY3"/>
  <c r="O3"/>
  <c r="O19"/>
  <c r="O9"/>
  <c r="O14"/>
  <c r="BD19"/>
  <c r="BD14"/>
  <c r="BD9"/>
  <c r="BD3"/>
  <c r="AK19"/>
  <c r="AK9"/>
  <c r="AK3"/>
  <c r="AK14"/>
  <c r="M19"/>
  <c r="M9"/>
  <c r="M3"/>
  <c r="M14"/>
  <c r="AL3"/>
  <c r="AL14"/>
  <c r="AL19"/>
  <c r="AL9"/>
  <c r="H19"/>
  <c r="H14"/>
  <c r="H9"/>
  <c r="H3"/>
  <c r="AQ14"/>
  <c r="AQ9"/>
  <c r="AQ19"/>
  <c r="AQ3"/>
  <c r="BH19"/>
  <c r="BH14"/>
  <c r="BH9"/>
  <c r="BH3"/>
  <c r="AA14"/>
  <c r="AA9"/>
  <c r="AA19"/>
  <c r="AA3"/>
  <c r="Y3"/>
  <c r="Y9"/>
  <c r="Y14"/>
  <c r="Y19"/>
  <c r="P14"/>
  <c r="P9"/>
  <c r="P3"/>
  <c r="P19"/>
  <c r="X19"/>
  <c r="X14"/>
  <c r="X9"/>
  <c r="X3"/>
  <c r="N3"/>
  <c r="N14"/>
  <c r="N19"/>
  <c r="N9"/>
  <c r="AF3"/>
  <c r="AF14"/>
  <c r="AF9"/>
  <c r="AF19"/>
  <c r="AS19"/>
  <c r="AS9"/>
  <c r="AS3"/>
  <c r="AS14"/>
  <c r="AN19"/>
  <c r="AN14"/>
  <c r="AN9"/>
  <c r="AN3"/>
  <c r="AC19"/>
  <c r="AC9"/>
  <c r="AC3"/>
  <c r="AC14"/>
  <c r="AV14"/>
  <c r="AV9"/>
  <c r="AV3"/>
  <c r="AV19"/>
  <c r="AH9"/>
  <c r="AH14"/>
  <c r="AH19"/>
  <c r="AH3"/>
  <c r="AM3"/>
  <c r="AM19"/>
  <c r="AM14"/>
  <c r="AM9"/>
  <c r="BF9"/>
  <c r="BF14"/>
  <c r="BF3"/>
  <c r="BF19"/>
  <c r="AG3"/>
  <c r="AG9"/>
  <c r="AG19"/>
  <c r="AG14"/>
  <c r="BE3"/>
  <c r="BE9"/>
  <c r="BE14"/>
  <c r="BE19"/>
  <c r="AD3"/>
  <c r="AD14"/>
  <c r="AD19"/>
  <c r="AD9"/>
  <c r="BK3"/>
  <c r="BK19"/>
  <c r="BK14"/>
  <c r="BK9"/>
  <c r="U19"/>
  <c r="U9"/>
  <c r="U3"/>
  <c r="U14"/>
  <c r="G3"/>
  <c r="G19"/>
  <c r="G14"/>
  <c r="G9"/>
  <c r="AP9"/>
  <c r="AP14"/>
  <c r="AP19"/>
  <c r="AP3"/>
  <c r="BC3"/>
  <c r="BC19"/>
  <c r="BC14"/>
  <c r="BC9"/>
  <c r="R9"/>
  <c r="R14"/>
  <c r="R3"/>
  <c r="R19"/>
  <c r="AT3"/>
  <c r="AT14"/>
  <c r="AT9"/>
  <c r="AT19"/>
  <c r="BB3"/>
  <c r="BB14"/>
  <c r="BB19"/>
  <c r="BB9"/>
  <c r="AE3"/>
  <c r="AE19"/>
  <c r="AE14"/>
  <c r="AE9"/>
  <c r="T19"/>
  <c r="T14"/>
  <c r="T9"/>
  <c r="T3"/>
  <c r="BG14"/>
  <c r="BG9"/>
  <c r="BG19"/>
  <c r="BG3"/>
  <c r="AB19"/>
  <c r="AB14"/>
  <c r="AB9"/>
  <c r="AB3"/>
  <c r="AJ19"/>
  <c r="AJ14"/>
  <c r="AJ9"/>
  <c r="AJ3"/>
  <c r="K14"/>
  <c r="K9"/>
  <c r="K19"/>
  <c r="K3"/>
  <c r="AR19"/>
  <c r="AR14"/>
  <c r="AR9"/>
  <c r="AR3"/>
  <c r="I3"/>
  <c r="I9"/>
  <c r="I14"/>
  <c r="I19"/>
  <c r="L19"/>
  <c r="L14"/>
  <c r="L9"/>
  <c r="L3"/>
  <c r="AZ19"/>
  <c r="AZ14"/>
  <c r="AZ9"/>
  <c r="AZ3"/>
  <c r="BI19"/>
  <c r="BI9"/>
  <c r="BI3"/>
  <c r="BI14"/>
  <c r="BA19"/>
  <c r="BA9"/>
  <c r="BA3"/>
  <c r="BA14"/>
  <c r="V2"/>
  <c r="BL2"/>
  <c r="Z2"/>
  <c r="W2"/>
  <c r="AX2"/>
  <c r="J2"/>
  <c r="F2"/>
  <c r="AU2"/>
  <c r="BJ2"/>
  <c r="AO2"/>
  <c r="AW2"/>
  <c r="BM2"/>
  <c r="Q2"/>
  <c r="S2"/>
  <c r="AI2"/>
  <c r="AY2"/>
  <c r="O2"/>
  <c r="BD2"/>
  <c r="AK2"/>
  <c r="M2"/>
  <c r="AL2"/>
  <c r="H2"/>
  <c r="AQ2"/>
  <c r="BH2"/>
  <c r="AA2"/>
  <c r="Y2"/>
  <c r="P2"/>
  <c r="X2"/>
  <c r="N2"/>
  <c r="AF2"/>
  <c r="AS2"/>
  <c r="AN2"/>
  <c r="AC2"/>
  <c r="AV2"/>
  <c r="AH2"/>
  <c r="AM2"/>
  <c r="BF2"/>
  <c r="AG2"/>
  <c r="BE2"/>
  <c r="AD2"/>
  <c r="BK2"/>
  <c r="U2"/>
  <c r="G2"/>
  <c r="AP2"/>
  <c r="BC2"/>
  <c r="R2"/>
  <c r="AT2"/>
  <c r="BB2"/>
  <c r="AE2"/>
  <c r="T2"/>
  <c r="BG2"/>
  <c r="AB2"/>
  <c r="AJ2"/>
  <c r="K2"/>
  <c r="AR2"/>
  <c r="I2"/>
  <c r="L2"/>
  <c r="AZ2"/>
  <c r="BI2"/>
  <c r="BA2"/>
  <c r="BA22" i="3"/>
  <c r="AP21"/>
  <c r="AM20"/>
  <c r="AM18"/>
  <c r="AJ17"/>
  <c r="AG16"/>
  <c r="AD15"/>
  <c r="V13"/>
  <c r="K12"/>
  <c r="H11"/>
  <c r="BI8"/>
  <c r="AX7"/>
  <c r="AU6"/>
  <c r="AR5"/>
  <c r="AO4"/>
  <c r="AL22"/>
  <c r="AA21"/>
  <c r="X20"/>
  <c r="X18"/>
  <c r="U17"/>
  <c r="J16"/>
  <c r="G15"/>
  <c r="G13"/>
  <c r="BM11"/>
  <c r="BJ10"/>
  <c r="BB8"/>
  <c r="AQ7"/>
  <c r="AN6"/>
  <c r="AK5"/>
  <c r="Z4"/>
  <c r="X22"/>
  <c r="U21"/>
  <c r="J20"/>
  <c r="BK17"/>
  <c r="BH16"/>
  <c r="BE15"/>
  <c r="BE13"/>
  <c r="BB12"/>
  <c r="AQ11"/>
  <c r="AN10"/>
  <c r="AN8"/>
  <c r="AK7"/>
  <c r="Z6"/>
  <c r="W5"/>
  <c r="T4"/>
  <c r="L22"/>
  <c r="I21"/>
  <c r="BJ18"/>
  <c r="AY17"/>
  <c r="AV16"/>
  <c r="AS15"/>
  <c r="AK13"/>
  <c r="Z12"/>
  <c r="W11"/>
  <c r="T10"/>
  <c r="L8"/>
  <c r="I7"/>
  <c r="BG5"/>
  <c r="BD4"/>
  <c r="AQ22"/>
  <c r="AQ20"/>
  <c r="AF17"/>
  <c r="AA15"/>
  <c r="Q12"/>
  <c r="K10"/>
  <c r="AZ6"/>
  <c r="AU4"/>
  <c r="AZ18"/>
  <c r="L15"/>
  <c r="Y8"/>
  <c r="S4"/>
  <c r="BM20"/>
  <c r="BB17"/>
  <c r="R15"/>
  <c r="H12"/>
  <c r="AQ8"/>
  <c r="AQ6"/>
  <c r="AL4"/>
  <c r="X21"/>
  <c r="AG18"/>
  <c r="AC16"/>
  <c r="R13"/>
  <c r="M11"/>
  <c r="AZ7"/>
  <c r="AF5"/>
  <c r="AT21"/>
  <c r="AU16"/>
  <c r="AU10"/>
  <c r="AI4"/>
  <c r="AY16"/>
  <c r="AR11"/>
  <c r="AS6"/>
  <c r="AK20"/>
  <c r="AV7"/>
  <c r="V21"/>
  <c r="G22"/>
  <c r="V16"/>
  <c r="T11"/>
  <c r="Q6"/>
  <c r="AB18"/>
  <c r="BC10"/>
  <c r="Q22"/>
  <c r="Z17"/>
  <c r="Y12"/>
  <c r="X7"/>
  <c r="S22"/>
  <c r="AI15"/>
  <c r="AG10"/>
  <c r="AD5"/>
  <c r="AE12"/>
  <c r="AH8"/>
  <c r="BC21"/>
  <c r="I12"/>
  <c r="M18"/>
  <c r="M4"/>
  <c r="BM6"/>
  <c r="BI20"/>
  <c r="AQ4"/>
  <c r="F18"/>
  <c r="F13"/>
  <c r="BC18"/>
  <c r="AT15"/>
  <c r="X11"/>
  <c r="BK6"/>
  <c r="BB22"/>
  <c r="AN20"/>
  <c r="Z16"/>
  <c r="T12"/>
  <c r="BG7"/>
  <c r="AP4"/>
  <c r="Z20"/>
  <c r="L16"/>
  <c r="BG11"/>
  <c r="BA7"/>
  <c r="AM5"/>
  <c r="Y21"/>
  <c r="BL16"/>
  <c r="AP12"/>
  <c r="AB8"/>
  <c r="K5"/>
  <c r="BL17"/>
  <c r="AQ10"/>
  <c r="AD21"/>
  <c r="AH5"/>
  <c r="AX15"/>
  <c r="L7"/>
  <c r="BM18"/>
  <c r="AS11"/>
  <c r="BK22"/>
  <c r="AK6"/>
  <c r="AT7"/>
  <c r="AA4"/>
  <c r="O12"/>
  <c r="P13"/>
  <c r="X13"/>
  <c r="AH17"/>
  <c r="AL16"/>
  <c r="W21"/>
  <c r="AP11"/>
  <c r="K4"/>
  <c r="BK18"/>
  <c r="BB15"/>
  <c r="AF11"/>
  <c r="J7"/>
  <c r="BJ22"/>
  <c r="AV18"/>
  <c r="AE15"/>
  <c r="Y11"/>
  <c r="BL6"/>
  <c r="AS21"/>
  <c r="W17"/>
  <c r="Q13"/>
  <c r="BL8"/>
  <c r="AU5"/>
  <c r="AG21"/>
  <c r="K17"/>
  <c r="AX12"/>
  <c r="AJ8"/>
  <c r="S5"/>
  <c r="S18"/>
  <c r="BG10"/>
  <c r="BJ21"/>
  <c r="AX5"/>
  <c r="U16"/>
  <c r="AB7"/>
  <c r="I20"/>
  <c r="BI11"/>
  <c r="N4"/>
  <c r="G7"/>
  <c r="U4"/>
  <c r="AJ11"/>
  <c r="AU7"/>
  <c r="AZ20"/>
  <c r="AX8"/>
  <c r="BH11"/>
  <c r="BL13"/>
  <c r="U20"/>
  <c r="BK21"/>
  <c r="F4"/>
  <c r="U22"/>
  <c r="G18"/>
  <c r="AQ12"/>
  <c r="AC8"/>
  <c r="I4"/>
  <c r="BA17"/>
  <c r="AG11"/>
  <c r="H6"/>
  <c r="AP20"/>
  <c r="Y15"/>
  <c r="H10"/>
  <c r="AZ4"/>
  <c r="S17"/>
  <c r="BC11"/>
  <c r="AL6"/>
  <c r="AI18"/>
  <c r="G8"/>
  <c r="U6"/>
  <c r="BI22"/>
  <c r="AX21"/>
  <c r="AU20"/>
  <c r="AU18"/>
  <c r="AR17"/>
  <c r="AO16"/>
  <c r="AL15"/>
  <c r="AD13"/>
  <c r="S12"/>
  <c r="P11"/>
  <c r="M10"/>
  <c r="BF7"/>
  <c r="BC6"/>
  <c r="AZ5"/>
  <c r="AW4"/>
  <c r="AT22"/>
  <c r="AI21"/>
  <c r="AF20"/>
  <c r="AF18"/>
  <c r="AC17"/>
  <c r="R16"/>
  <c r="O15"/>
  <c r="O13"/>
  <c r="L12"/>
  <c r="I11"/>
  <c r="BJ8"/>
  <c r="AY7"/>
  <c r="AV6"/>
  <c r="AS5"/>
  <c r="AH4"/>
  <c r="AF22"/>
  <c r="AC21"/>
  <c r="R20"/>
  <c r="J18"/>
  <c r="G17"/>
  <c r="BM15"/>
  <c r="BM13"/>
  <c r="BJ12"/>
  <c r="AY11"/>
  <c r="AV10"/>
  <c r="AV8"/>
  <c r="AS7"/>
  <c r="AH6"/>
  <c r="AE5"/>
  <c r="AB4"/>
  <c r="T22"/>
  <c r="Q21"/>
  <c r="N20"/>
  <c r="BG17"/>
  <c r="BD16"/>
  <c r="BA15"/>
  <c r="AS13"/>
  <c r="AH12"/>
  <c r="AE11"/>
  <c r="AB10"/>
  <c r="T8"/>
  <c r="Q7"/>
  <c r="N6"/>
  <c r="BL4"/>
  <c r="BG22"/>
  <c r="BG20"/>
  <c r="AV17"/>
  <c r="AQ15"/>
  <c r="AG12"/>
  <c r="AA10"/>
  <c r="V7"/>
  <c r="BK4"/>
  <c r="AR20"/>
  <c r="AR15"/>
  <c r="BE8"/>
  <c r="AY4"/>
  <c r="P21"/>
  <c r="I18"/>
  <c r="AH15"/>
  <c r="X12"/>
  <c r="BG8"/>
  <c r="BG6"/>
  <c r="BB4"/>
  <c r="AN21"/>
  <c r="AW18"/>
  <c r="AS16"/>
  <c r="AH13"/>
  <c r="AC11"/>
  <c r="S8"/>
  <c r="AV5"/>
  <c r="AE22"/>
  <c r="AG17"/>
  <c r="R11"/>
  <c r="R5"/>
  <c r="R17"/>
  <c r="M12"/>
  <c r="N7"/>
  <c r="G21"/>
  <c r="AW8"/>
  <c r="W22"/>
  <c r="AM22"/>
  <c r="BB16"/>
  <c r="AZ11"/>
  <c r="AW6"/>
  <c r="BH18"/>
  <c r="V11"/>
  <c r="AW22"/>
  <c r="BF17"/>
  <c r="BE12"/>
  <c r="BD7"/>
  <c r="AY22"/>
  <c r="AI16"/>
  <c r="BM10"/>
  <c r="BJ5"/>
  <c r="AB13"/>
  <c r="AM10"/>
  <c r="L6"/>
  <c r="AO17"/>
  <c r="AC20"/>
  <c r="AL5"/>
  <c r="G10"/>
  <c r="AG22"/>
  <c r="AP5"/>
  <c r="F7"/>
  <c r="F12"/>
  <c r="BC20"/>
  <c r="AZ17"/>
  <c r="AL13"/>
  <c r="U10"/>
  <c r="BE4"/>
  <c r="AK17"/>
  <c r="W13"/>
  <c r="N10"/>
  <c r="BA5"/>
  <c r="AK21"/>
  <c r="O17"/>
  <c r="I13"/>
  <c r="BD8"/>
  <c r="AJ4"/>
  <c r="V20"/>
  <c r="BI15"/>
  <c r="AM11"/>
  <c r="Y7"/>
  <c r="H4"/>
  <c r="BG15"/>
  <c r="AL7"/>
  <c r="O16"/>
  <c r="AF21"/>
  <c r="AN12"/>
  <c r="H5"/>
  <c r="BI16"/>
  <c r="AI8"/>
  <c r="BM17"/>
  <c r="AX17"/>
  <c r="AO22"/>
  <c r="BK8"/>
  <c r="O7"/>
  <c r="AE8"/>
  <c r="R8"/>
  <c r="AB11"/>
  <c r="G12"/>
  <c r="J5"/>
  <c r="J11"/>
  <c r="F11"/>
  <c r="M22"/>
  <c r="BH17"/>
  <c r="AT13"/>
  <c r="AC10"/>
  <c r="G6"/>
  <c r="AY21"/>
  <c r="AS17"/>
  <c r="AE13"/>
  <c r="V10"/>
  <c r="BI5"/>
  <c r="AV22"/>
  <c r="Z18"/>
  <c r="Q15"/>
  <c r="BL10"/>
  <c r="AX6"/>
  <c r="AJ22"/>
  <c r="V18"/>
  <c r="BI13"/>
  <c r="AR10"/>
  <c r="AD6"/>
  <c r="AB21"/>
  <c r="BM12"/>
  <c r="AG5"/>
  <c r="BK10"/>
  <c r="AO18"/>
  <c r="AH10"/>
  <c r="J22"/>
  <c r="J15"/>
  <c r="S6"/>
  <c r="BA12"/>
  <c r="K13"/>
  <c r="BB11"/>
  <c r="BD17"/>
  <c r="I22"/>
  <c r="BI18"/>
  <c r="BI4"/>
  <c r="BI6"/>
  <c r="G16"/>
  <c r="BL7"/>
  <c r="I10"/>
  <c r="F15"/>
  <c r="J21"/>
  <c r="BJ15"/>
  <c r="AN11"/>
  <c r="R7"/>
  <c r="BG21"/>
  <c r="AP16"/>
  <c r="AJ12"/>
  <c r="K7"/>
  <c r="BA21"/>
  <c r="AB16"/>
  <c r="K11"/>
  <c r="BC5"/>
  <c r="AL20"/>
  <c r="M15"/>
  <c r="AR8"/>
  <c r="X4"/>
  <c r="S13"/>
  <c r="O22"/>
  <c r="BL21"/>
  <c r="AC22"/>
  <c r="R21"/>
  <c r="O20"/>
  <c r="O18"/>
  <c r="L17"/>
  <c r="I16"/>
  <c r="BJ13"/>
  <c r="AY12"/>
  <c r="AV11"/>
  <c r="AS10"/>
  <c r="AK8"/>
  <c r="Z7"/>
  <c r="W6"/>
  <c r="T5"/>
  <c r="Q4"/>
  <c r="N22"/>
  <c r="BL20"/>
  <c r="BL18"/>
  <c r="BI17"/>
  <c r="AX16"/>
  <c r="AU15"/>
  <c r="AU13"/>
  <c r="AR12"/>
  <c r="AO11"/>
  <c r="AL10"/>
  <c r="AD8"/>
  <c r="S7"/>
  <c r="P6"/>
  <c r="M5"/>
  <c r="BL22"/>
  <c r="BI21"/>
  <c r="AX20"/>
  <c r="AP18"/>
  <c r="AM17"/>
  <c r="AJ16"/>
  <c r="AG15"/>
  <c r="AG13"/>
  <c r="AD12"/>
  <c r="S11"/>
  <c r="P10"/>
  <c r="P8"/>
  <c r="M7"/>
  <c r="BK5"/>
  <c r="BH4"/>
  <c r="AZ22"/>
  <c r="AW21"/>
  <c r="AT20"/>
  <c r="AL18"/>
  <c r="AA17"/>
  <c r="X16"/>
  <c r="U15"/>
  <c r="M13"/>
  <c r="BK11"/>
  <c r="BH10"/>
  <c r="AZ8"/>
  <c r="AW7"/>
  <c r="AT6"/>
  <c r="AI5"/>
  <c r="AF4"/>
  <c r="BH21"/>
  <c r="AY18"/>
  <c r="AT16"/>
  <c r="AI13"/>
  <c r="AD11"/>
  <c r="W8"/>
  <c r="BM5"/>
  <c r="AU22"/>
  <c r="Q17"/>
  <c r="AX11"/>
  <c r="BA6"/>
  <c r="R22"/>
  <c r="Q20"/>
  <c r="BA16"/>
  <c r="Z13"/>
  <c r="U11"/>
  <c r="BH7"/>
  <c r="BD5"/>
  <c r="AP22"/>
  <c r="AO20"/>
  <c r="AT17"/>
  <c r="AP15"/>
  <c r="AF12"/>
  <c r="Z10"/>
  <c r="AY6"/>
  <c r="AT4"/>
  <c r="AB20"/>
  <c r="AZ13"/>
  <c r="I8"/>
  <c r="AI20"/>
  <c r="S15"/>
  <c r="Q10"/>
  <c r="N5"/>
  <c r="BC12"/>
  <c r="BE5"/>
  <c r="BH13"/>
  <c r="BG18"/>
  <c r="AR13"/>
  <c r="AU8"/>
  <c r="BC4"/>
  <c r="BC16"/>
  <c r="BC22"/>
  <c r="AS20"/>
  <c r="BL15"/>
  <c r="BE10"/>
  <c r="BF5"/>
  <c r="AY20"/>
  <c r="BI12"/>
  <c r="BJ7"/>
  <c r="AQ18"/>
  <c r="J17"/>
  <c r="AE7"/>
  <c r="L18"/>
  <c r="K16"/>
  <c r="H13"/>
  <c r="AR18"/>
  <c r="AN7"/>
  <c r="AN15"/>
  <c r="AF7"/>
  <c r="F22"/>
  <c r="F17"/>
  <c r="AK22"/>
  <c r="Z21"/>
  <c r="W20"/>
  <c r="W18"/>
  <c r="T17"/>
  <c r="Q16"/>
  <c r="N15"/>
  <c r="BG12"/>
  <c r="BD11"/>
  <c r="BA10"/>
  <c r="AS8"/>
  <c r="AH7"/>
  <c r="AE6"/>
  <c r="AB5"/>
  <c r="Y4"/>
  <c r="V22"/>
  <c r="K21"/>
  <c r="H20"/>
  <c r="H18"/>
  <c r="BF16"/>
  <c r="BC15"/>
  <c r="BC13"/>
  <c r="AZ12"/>
  <c r="AW11"/>
  <c r="AT10"/>
  <c r="AL8"/>
  <c r="AA7"/>
  <c r="X6"/>
  <c r="U5"/>
  <c r="J4"/>
  <c r="H22"/>
  <c r="BF20"/>
  <c r="AX18"/>
  <c r="AU17"/>
  <c r="AR16"/>
  <c r="AO15"/>
  <c r="AO13"/>
  <c r="AL12"/>
  <c r="AA11"/>
  <c r="X10"/>
  <c r="X8"/>
  <c r="U7"/>
  <c r="J6"/>
  <c r="G5"/>
  <c r="BH22"/>
  <c r="BE21"/>
  <c r="BB20"/>
  <c r="AT18"/>
  <c r="AI17"/>
  <c r="AF16"/>
  <c r="AC15"/>
  <c r="U13"/>
  <c r="J12"/>
  <c r="G11"/>
  <c r="BH8"/>
  <c r="BE7"/>
  <c r="BB6"/>
  <c r="AQ5"/>
  <c r="AN4"/>
  <c r="K22"/>
  <c r="K20"/>
  <c r="BJ16"/>
  <c r="AY13"/>
  <c r="AT11"/>
  <c r="AM8"/>
  <c r="T6"/>
  <c r="O4"/>
  <c r="AW17"/>
  <c r="AK12"/>
  <c r="W7"/>
  <c r="AH22"/>
  <c r="AG20"/>
  <c r="V17"/>
  <c r="AP13"/>
  <c r="AK11"/>
  <c r="K8"/>
  <c r="K6"/>
  <c r="BF22"/>
  <c r="BE20"/>
  <c r="BJ17"/>
  <c r="BF15"/>
  <c r="AV12"/>
  <c r="AP10"/>
  <c r="T7"/>
  <c r="BJ4"/>
  <c r="BH20"/>
  <c r="AB15"/>
  <c r="AO8"/>
  <c r="AJ21"/>
  <c r="AY15"/>
  <c r="AW10"/>
  <c r="AT5"/>
  <c r="AV13"/>
  <c r="Y6"/>
  <c r="AJ15"/>
  <c r="AJ20"/>
  <c r="T15"/>
  <c r="S10"/>
  <c r="V5"/>
  <c r="Y17"/>
  <c r="P7"/>
  <c r="O21"/>
  <c r="AA16"/>
  <c r="Z11"/>
  <c r="AB6"/>
  <c r="T21"/>
  <c r="AA13"/>
  <c r="Z8"/>
  <c r="T20"/>
  <c r="BE22"/>
  <c r="AS4"/>
  <c r="I5"/>
  <c r="BM8"/>
  <c r="H15"/>
  <c r="BA20"/>
  <c r="AM4"/>
  <c r="I17"/>
  <c r="AP17"/>
  <c r="F20"/>
  <c r="F5"/>
  <c r="BM16"/>
  <c r="O6"/>
  <c r="BD20"/>
  <c r="AM15"/>
  <c r="AD10"/>
  <c r="BF4"/>
  <c r="AH18"/>
  <c r="Y13"/>
  <c r="H8"/>
  <c r="AR22"/>
  <c r="AD18"/>
  <c r="BF12"/>
  <c r="AO7"/>
  <c r="AR21"/>
  <c r="N11"/>
  <c r="BK16"/>
  <c r="AS22"/>
  <c r="AH21"/>
  <c r="AE20"/>
  <c r="AE18"/>
  <c r="AB17"/>
  <c r="Y16"/>
  <c r="V15"/>
  <c r="N13"/>
  <c r="BL11"/>
  <c r="BI10"/>
  <c r="BA8"/>
  <c r="AP7"/>
  <c r="AM6"/>
  <c r="AJ5"/>
  <c r="AG4"/>
  <c r="AD22"/>
  <c r="S21"/>
  <c r="P20"/>
  <c r="P18"/>
  <c r="M17"/>
  <c r="BK15"/>
  <c r="BK13"/>
  <c r="BH12"/>
  <c r="BE11"/>
  <c r="BB10"/>
  <c r="AT8"/>
  <c r="AI7"/>
  <c r="AF6"/>
  <c r="AC5"/>
  <c r="R4"/>
  <c r="P22"/>
  <c r="M21"/>
  <c r="BF18"/>
  <c r="BC17"/>
  <c r="AZ16"/>
  <c r="AW15"/>
  <c r="AW13"/>
  <c r="AT12"/>
  <c r="AI11"/>
  <c r="AF10"/>
  <c r="AF8"/>
  <c r="AC7"/>
  <c r="R6"/>
  <c r="O5"/>
  <c r="L4"/>
  <c r="BM21"/>
  <c r="BJ20"/>
  <c r="BB18"/>
  <c r="AQ17"/>
  <c r="AN16"/>
  <c r="AK15"/>
  <c r="AC13"/>
  <c r="R12"/>
  <c r="O11"/>
  <c r="L10"/>
  <c r="BM7"/>
  <c r="BJ6"/>
  <c r="AY5"/>
  <c r="AV4"/>
  <c r="AA22"/>
  <c r="AA20"/>
  <c r="P17"/>
  <c r="K15"/>
  <c r="BJ11"/>
  <c r="BC8"/>
  <c r="AJ6"/>
  <c r="AE4"/>
  <c r="T18"/>
  <c r="T13"/>
  <c r="BC7"/>
  <c r="AX22"/>
  <c r="AW20"/>
  <c r="AL17"/>
  <c r="BF13"/>
  <c r="BA11"/>
  <c r="AA8"/>
  <c r="AA6"/>
  <c r="V4"/>
  <c r="H21"/>
  <c r="Q18"/>
  <c r="M16"/>
  <c r="BL12"/>
  <c r="BF10"/>
  <c r="AJ7"/>
  <c r="P5"/>
  <c r="N21"/>
  <c r="BH15"/>
  <c r="O10"/>
  <c r="AI22"/>
  <c r="S16"/>
  <c r="L11"/>
  <c r="M6"/>
  <c r="X15"/>
  <c r="BE6"/>
  <c r="H17"/>
  <c r="AL21"/>
  <c r="AZ15"/>
  <c r="AY10"/>
  <c r="BB5"/>
  <c r="BE17"/>
  <c r="Q8"/>
  <c r="AU21"/>
  <c r="BG16"/>
  <c r="BF11"/>
  <c r="BH6"/>
  <c r="AZ21"/>
  <c r="BG13"/>
  <c r="BF8"/>
  <c r="AK4"/>
  <c r="AI10"/>
  <c r="H7"/>
  <c r="AG6"/>
  <c r="AO10"/>
  <c r="AQ16"/>
  <c r="Y22"/>
  <c r="AO5"/>
  <c r="AS18"/>
  <c r="AE21"/>
  <c r="F21"/>
  <c r="F8"/>
  <c r="BF21"/>
  <c r="AW16"/>
  <c r="AA12"/>
  <c r="M8"/>
  <c r="BH5"/>
  <c r="AQ21"/>
  <c r="AN18"/>
  <c r="W15"/>
  <c r="Q11"/>
  <c r="BD6"/>
  <c r="AN22"/>
  <c r="R18"/>
  <c r="I15"/>
  <c r="BD10"/>
  <c r="AP6"/>
  <c r="AB22"/>
  <c r="N18"/>
  <c r="BA13"/>
  <c r="AJ10"/>
  <c r="V6"/>
  <c r="L21"/>
  <c r="AW12"/>
  <c r="Q5"/>
  <c r="AE10"/>
  <c r="Y18"/>
  <c r="R10"/>
  <c r="BD21"/>
  <c r="AX13"/>
  <c r="BL5"/>
  <c r="U12"/>
  <c r="AS12"/>
  <c r="W10"/>
  <c r="X17"/>
  <c r="AM21"/>
  <c r="AC18"/>
  <c r="AC4"/>
  <c r="AC6"/>
  <c r="AM12"/>
  <c r="AR6"/>
  <c r="AG8"/>
  <c r="F16"/>
  <c r="BK20"/>
  <c r="BE16"/>
  <c r="AI12"/>
  <c r="U8"/>
  <c r="BM4"/>
  <c r="AV20"/>
  <c r="AH16"/>
  <c r="AB12"/>
  <c r="N8"/>
  <c r="AX4"/>
  <c r="AH20"/>
  <c r="T16"/>
  <c r="N12"/>
  <c r="BI7"/>
  <c r="AR4"/>
  <c r="AD20"/>
  <c r="H16"/>
  <c r="AU11"/>
  <c r="AG7"/>
  <c r="P4"/>
  <c r="N16"/>
  <c r="BB7"/>
  <c r="AE16"/>
  <c r="AV21"/>
  <c r="BD12"/>
  <c r="X5"/>
  <c r="N17"/>
  <c r="AY8"/>
  <c r="AJ18"/>
  <c r="U18"/>
  <c r="J8"/>
  <c r="BG4"/>
  <c r="AU12"/>
  <c r="BD15"/>
  <c r="BD13"/>
  <c r="AK18"/>
  <c r="AN17"/>
  <c r="BM22"/>
  <c r="AF13"/>
  <c r="AO6"/>
  <c r="G20"/>
  <c r="BB13"/>
  <c r="AK10"/>
  <c r="L5"/>
  <c r="BD18"/>
  <c r="AM13"/>
  <c r="V8"/>
  <c r="BD22"/>
  <c r="AE17"/>
  <c r="V12"/>
  <c r="BF6"/>
  <c r="AO21"/>
  <c r="P16"/>
  <c r="AZ10"/>
  <c r="AA5"/>
  <c r="AD16"/>
  <c r="AW5"/>
  <c r="AH11"/>
  <c r="Y20"/>
  <c r="AJ13"/>
  <c r="BK12"/>
  <c r="AF15"/>
  <c r="I6"/>
  <c r="F10"/>
  <c r="L20"/>
  <c r="Y5"/>
  <c r="M20"/>
  <c r="AV15"/>
  <c r="AM16"/>
  <c r="AN5"/>
  <c r="BB21"/>
  <c r="AN13"/>
  <c r="Z22"/>
  <c r="W12"/>
  <c r="AR7"/>
  <c r="AI6"/>
  <c r="BA4"/>
  <c r="W16"/>
  <c r="AD7"/>
  <c r="G4"/>
  <c r="AX10"/>
  <c r="J10"/>
  <c r="AP8"/>
  <c r="W4"/>
  <c r="AC12"/>
  <c r="P15"/>
  <c r="J13"/>
  <c r="P12"/>
  <c r="AQ13"/>
  <c r="O8"/>
  <c r="S20"/>
  <c r="AL11"/>
  <c r="AK16"/>
  <c r="Z15"/>
  <c r="BA18"/>
  <c r="L13"/>
  <c r="Z5"/>
  <c r="AO12"/>
  <c r="BE18"/>
  <c r="AD17"/>
  <c r="AM7"/>
  <c r="AA18"/>
  <c r="Y10"/>
  <c r="BK7"/>
  <c r="F6"/>
  <c r="AD4"/>
  <c r="K18"/>
  <c r="K18" i="2" l="1"/>
  <c r="AD4"/>
  <c r="F6"/>
  <c r="BK7"/>
  <c r="Y10"/>
  <c r="AA18"/>
  <c r="AM7"/>
  <c r="AD17"/>
  <c r="BE18"/>
  <c r="AO12"/>
  <c r="Z5"/>
  <c r="L13"/>
  <c r="BA18"/>
  <c r="Z15"/>
  <c r="AK16"/>
  <c r="AL11"/>
  <c r="S20"/>
  <c r="O8"/>
  <c r="AQ13"/>
  <c r="P12"/>
  <c r="J13"/>
  <c r="P15"/>
  <c r="AC12"/>
  <c r="W4"/>
  <c r="AP8"/>
  <c r="J10"/>
  <c r="AX10"/>
  <c r="G4"/>
  <c r="AD7"/>
  <c r="W16"/>
  <c r="BA4"/>
  <c r="AI6"/>
  <c r="AR7"/>
  <c r="W12"/>
  <c r="Z22"/>
  <c r="AN13"/>
  <c r="BB21"/>
  <c r="AN5"/>
  <c r="AM16"/>
  <c r="AV15"/>
  <c r="M20"/>
  <c r="Y5"/>
  <c r="L20"/>
  <c r="F10"/>
  <c r="I6"/>
  <c r="AF15"/>
  <c r="BK12"/>
  <c r="AJ13"/>
  <c r="Y20"/>
  <c r="AH11"/>
  <c r="AW5"/>
  <c r="AD16"/>
  <c r="AA5"/>
  <c r="AZ10"/>
  <c r="P16"/>
  <c r="AO21"/>
  <c r="BF6"/>
  <c r="V12"/>
  <c r="AE17"/>
  <c r="BD22"/>
  <c r="V8"/>
  <c r="AM13"/>
  <c r="BD18"/>
  <c r="L5"/>
  <c r="AK10"/>
  <c r="BB13"/>
  <c r="G20"/>
  <c r="AO6"/>
  <c r="AF13"/>
  <c r="BM22"/>
  <c r="AN17"/>
  <c r="AK18"/>
  <c r="BD13"/>
  <c r="BD15"/>
  <c r="AU12"/>
  <c r="BG4"/>
  <c r="J8"/>
  <c r="U18"/>
  <c r="AJ18"/>
  <c r="AY8"/>
  <c r="N17"/>
  <c r="X5"/>
  <c r="BD12"/>
  <c r="AV21"/>
  <c r="AE16"/>
  <c r="BB7"/>
  <c r="N16"/>
  <c r="P4"/>
  <c r="AG7"/>
  <c r="AU11"/>
  <c r="H16"/>
  <c r="AD20"/>
  <c r="AR4"/>
  <c r="BI7"/>
  <c r="N12"/>
  <c r="T16"/>
  <c r="AH20"/>
  <c r="AX4"/>
  <c r="N8"/>
  <c r="AB12"/>
  <c r="AH16"/>
  <c r="AV20"/>
  <c r="BM4"/>
  <c r="U8"/>
  <c r="AI12"/>
  <c r="BE16"/>
  <c r="BK20"/>
  <c r="F16"/>
  <c r="AG8"/>
  <c r="AR6"/>
  <c r="AM12"/>
  <c r="AC6"/>
  <c r="AC4"/>
  <c r="AC18"/>
  <c r="AM21"/>
  <c r="X17"/>
  <c r="W10"/>
  <c r="AS12"/>
  <c r="U12"/>
  <c r="BL5"/>
  <c r="AX13"/>
  <c r="BD21"/>
  <c r="R10"/>
  <c r="Y18"/>
  <c r="AE10"/>
  <c r="Q5"/>
  <c r="AW12"/>
  <c r="L21"/>
  <c r="V6"/>
  <c r="AJ10"/>
  <c r="BA13"/>
  <c r="N18"/>
  <c r="AB22"/>
  <c r="AP6"/>
  <c r="BD10"/>
  <c r="I15"/>
  <c r="R18"/>
  <c r="AN22"/>
  <c r="BD6"/>
  <c r="Q11"/>
  <c r="W15"/>
  <c r="AN18"/>
  <c r="AQ21"/>
  <c r="BH5"/>
  <c r="M8"/>
  <c r="AA12"/>
  <c r="AW16"/>
  <c r="BF21"/>
  <c r="F8"/>
  <c r="F21"/>
  <c r="AE21"/>
  <c r="AS18"/>
  <c r="AO5"/>
  <c r="Y22"/>
  <c r="AQ16"/>
  <c r="AO10"/>
  <c r="AG6"/>
  <c r="H7"/>
  <c r="AI10"/>
  <c r="AK4"/>
  <c r="BF8"/>
  <c r="BG13"/>
  <c r="AZ21"/>
  <c r="BH6"/>
  <c r="BF11"/>
  <c r="BG16"/>
  <c r="AU21"/>
  <c r="Q8"/>
  <c r="BE17"/>
  <c r="BB5"/>
  <c r="AY10"/>
  <c r="AZ15"/>
  <c r="AL21"/>
  <c r="H17"/>
  <c r="BE6"/>
  <c r="X15"/>
  <c r="M6"/>
  <c r="L11"/>
  <c r="S16"/>
  <c r="AI22"/>
  <c r="O10"/>
  <c r="BH15"/>
  <c r="N21"/>
  <c r="P5"/>
  <c r="AJ7"/>
  <c r="BF10"/>
  <c r="BL12"/>
  <c r="M16"/>
  <c r="Q18"/>
  <c r="H21"/>
  <c r="V4"/>
  <c r="AA6"/>
  <c r="AA8"/>
  <c r="BA11"/>
  <c r="BF13"/>
  <c r="AL17"/>
  <c r="AW20"/>
  <c r="AX22"/>
  <c r="BC7"/>
  <c r="T13"/>
  <c r="T18"/>
  <c r="AE4"/>
  <c r="AJ6"/>
  <c r="BC8"/>
  <c r="BJ11"/>
  <c r="K15"/>
  <c r="P17"/>
  <c r="AA20"/>
  <c r="AA22"/>
  <c r="AV4"/>
  <c r="AY5"/>
  <c r="BJ6"/>
  <c r="BM7"/>
  <c r="L10"/>
  <c r="O11"/>
  <c r="R12"/>
  <c r="AC13"/>
  <c r="AK15"/>
  <c r="AN16"/>
  <c r="AQ17"/>
  <c r="BB18"/>
  <c r="BJ20"/>
  <c r="BM21"/>
  <c r="L4"/>
  <c r="O5"/>
  <c r="R6"/>
  <c r="AC7"/>
  <c r="AF8"/>
  <c r="AF10"/>
  <c r="AI11"/>
  <c r="AT12"/>
  <c r="AW13"/>
  <c r="AW15"/>
  <c r="AZ16"/>
  <c r="BC17"/>
  <c r="BF18"/>
  <c r="M21"/>
  <c r="P22"/>
  <c r="R4"/>
  <c r="AC5"/>
  <c r="AF6"/>
  <c r="AI7"/>
  <c r="AT8"/>
  <c r="BB10"/>
  <c r="BE11"/>
  <c r="BH12"/>
  <c r="BK13"/>
  <c r="BK15"/>
  <c r="M17"/>
  <c r="P18"/>
  <c r="P20"/>
  <c r="S21"/>
  <c r="AD22"/>
  <c r="AG4"/>
  <c r="AJ5"/>
  <c r="AM6"/>
  <c r="AP7"/>
  <c r="BA8"/>
  <c r="BI10"/>
  <c r="BL11"/>
  <c r="N13"/>
  <c r="V15"/>
  <c r="Y16"/>
  <c r="AB17"/>
  <c r="AE18"/>
  <c r="AE20"/>
  <c r="AH21"/>
  <c r="AS22"/>
  <c r="BK16"/>
  <c r="N11"/>
  <c r="AR21"/>
  <c r="AO7"/>
  <c r="BF12"/>
  <c r="AD18"/>
  <c r="AR22"/>
  <c r="H8"/>
  <c r="Y13"/>
  <c r="AH18"/>
  <c r="BF4"/>
  <c r="AD10"/>
  <c r="AM15"/>
  <c r="BD20"/>
  <c r="O6"/>
  <c r="BM16"/>
  <c r="F5"/>
  <c r="F20"/>
  <c r="AP17"/>
  <c r="I17"/>
  <c r="AM4"/>
  <c r="BA20"/>
  <c r="H15"/>
  <c r="BM8"/>
  <c r="I5"/>
  <c r="AS4"/>
  <c r="BE22"/>
  <c r="T20"/>
  <c r="Z8"/>
  <c r="AA13"/>
  <c r="T21"/>
  <c r="AB6"/>
  <c r="Z11"/>
  <c r="AA16"/>
  <c r="O21"/>
  <c r="P7"/>
  <c r="Y17"/>
  <c r="V5"/>
  <c r="S10"/>
  <c r="T15"/>
  <c r="AJ20"/>
  <c r="AJ15"/>
  <c r="Y6"/>
  <c r="AV13"/>
  <c r="AT5"/>
  <c r="AW10"/>
  <c r="AY15"/>
  <c r="AJ21"/>
  <c r="AO8"/>
  <c r="AB15"/>
  <c r="BH20"/>
  <c r="BJ4"/>
  <c r="T7"/>
  <c r="AP10"/>
  <c r="AV12"/>
  <c r="BF15"/>
  <c r="BJ17"/>
  <c r="BE20"/>
  <c r="BF22"/>
  <c r="K6"/>
  <c r="K8"/>
  <c r="AK11"/>
  <c r="AP13"/>
  <c r="V17"/>
  <c r="AG20"/>
  <c r="AH22"/>
  <c r="W7"/>
  <c r="AK12"/>
  <c r="AW17"/>
  <c r="O4"/>
  <c r="T6"/>
  <c r="AM8"/>
  <c r="AT11"/>
  <c r="AY13"/>
  <c r="BJ16"/>
  <c r="K20"/>
  <c r="K22"/>
  <c r="AN4"/>
  <c r="AQ5"/>
  <c r="BB6"/>
  <c r="BE7"/>
  <c r="BH8"/>
  <c r="G11"/>
  <c r="J12"/>
  <c r="U13"/>
  <c r="AC15"/>
  <c r="AF16"/>
  <c r="AI17"/>
  <c r="AT18"/>
  <c r="BB20"/>
  <c r="BE21"/>
  <c r="BH22"/>
  <c r="G5"/>
  <c r="J6"/>
  <c r="U7"/>
  <c r="X8"/>
  <c r="X10"/>
  <c r="AA11"/>
  <c r="AL12"/>
  <c r="AO13"/>
  <c r="AO15"/>
  <c r="AR16"/>
  <c r="AU17"/>
  <c r="AX18"/>
  <c r="BF20"/>
  <c r="H22"/>
  <c r="J4"/>
  <c r="U5"/>
  <c r="X6"/>
  <c r="AA7"/>
  <c r="AL8"/>
  <c r="AT10"/>
  <c r="AW11"/>
  <c r="AZ12"/>
  <c r="BC13"/>
  <c r="BC15"/>
  <c r="BF16"/>
  <c r="H18"/>
  <c r="H20"/>
  <c r="K21"/>
  <c r="V22"/>
  <c r="Y4"/>
  <c r="AB5"/>
  <c r="AE6"/>
  <c r="AH7"/>
  <c r="AS8"/>
  <c r="BA10"/>
  <c r="BD11"/>
  <c r="BG12"/>
  <c r="N15"/>
  <c r="Q16"/>
  <c r="T17"/>
  <c r="W18"/>
  <c r="W20"/>
  <c r="Z21"/>
  <c r="AK22"/>
  <c r="F17"/>
  <c r="F22"/>
  <c r="AF7"/>
  <c r="AN15"/>
  <c r="AN7"/>
  <c r="AR18"/>
  <c r="H13"/>
  <c r="K16"/>
  <c r="L18"/>
  <c r="AE7"/>
  <c r="J17"/>
  <c r="AQ18"/>
  <c r="BJ7"/>
  <c r="BI12"/>
  <c r="AY20"/>
  <c r="BF5"/>
  <c r="BE10"/>
  <c r="BL15"/>
  <c r="AS20"/>
  <c r="BC22"/>
  <c r="BC16"/>
  <c r="BC4"/>
  <c r="AU8"/>
  <c r="AR13"/>
  <c r="BG18"/>
  <c r="BH13"/>
  <c r="BE5"/>
  <c r="BC12"/>
  <c r="N5"/>
  <c r="Q10"/>
  <c r="S15"/>
  <c r="AI20"/>
  <c r="I8"/>
  <c r="AZ13"/>
  <c r="AB20"/>
  <c r="AT4"/>
  <c r="AY6"/>
  <c r="Z10"/>
  <c r="AF12"/>
  <c r="AP15"/>
  <c r="AT17"/>
  <c r="AO20"/>
  <c r="AP22"/>
  <c r="BD5"/>
  <c r="BH7"/>
  <c r="U11"/>
  <c r="Z13"/>
  <c r="BA16"/>
  <c r="Q20"/>
  <c r="R22"/>
  <c r="BA6"/>
  <c r="AX11"/>
  <c r="Q17"/>
  <c r="AU22"/>
  <c r="BM5"/>
  <c r="W8"/>
  <c r="AD11"/>
  <c r="AI13"/>
  <c r="AT16"/>
  <c r="AY18"/>
  <c r="BH21"/>
  <c r="AF4"/>
  <c r="AI5"/>
  <c r="AT6"/>
  <c r="AW7"/>
  <c r="AZ8"/>
  <c r="BH10"/>
  <c r="BK11"/>
  <c r="M13"/>
  <c r="U15"/>
  <c r="X16"/>
  <c r="AA17"/>
  <c r="AL18"/>
  <c r="AT20"/>
  <c r="AW21"/>
  <c r="AZ22"/>
  <c r="BH4"/>
  <c r="BK5"/>
  <c r="M7"/>
  <c r="P8"/>
  <c r="P10"/>
  <c r="S11"/>
  <c r="AD12"/>
  <c r="AG13"/>
  <c r="AG15"/>
  <c r="AJ16"/>
  <c r="AM17"/>
  <c r="AP18"/>
  <c r="AX20"/>
  <c r="BI21"/>
  <c r="BL22"/>
  <c r="M5"/>
  <c r="P6"/>
  <c r="S7"/>
  <c r="AD8"/>
  <c r="AL10"/>
  <c r="AO11"/>
  <c r="AR12"/>
  <c r="AU13"/>
  <c r="AU15"/>
  <c r="AX16"/>
  <c r="BI17"/>
  <c r="BL18"/>
  <c r="BL20"/>
  <c r="N22"/>
  <c r="Q4"/>
  <c r="T5"/>
  <c r="W6"/>
  <c r="Z7"/>
  <c r="AK8"/>
  <c r="AS10"/>
  <c r="AV11"/>
  <c r="AY12"/>
  <c r="BJ13"/>
  <c r="I16"/>
  <c r="L17"/>
  <c r="O18"/>
  <c r="O20"/>
  <c r="R21"/>
  <c r="AC22"/>
  <c r="BL21"/>
  <c r="O22"/>
  <c r="S13"/>
  <c r="X4"/>
  <c r="AR8"/>
  <c r="M15"/>
  <c r="AL20"/>
  <c r="BC5"/>
  <c r="K11"/>
  <c r="AB16"/>
  <c r="BA21"/>
  <c r="K7"/>
  <c r="AJ12"/>
  <c r="AP16"/>
  <c r="BG21"/>
  <c r="R7"/>
  <c r="AN11"/>
  <c r="BJ15"/>
  <c r="J21"/>
  <c r="F15"/>
  <c r="I10"/>
  <c r="BL7"/>
  <c r="G16"/>
  <c r="BI6"/>
  <c r="BI4"/>
  <c r="BI18"/>
  <c r="I22"/>
  <c r="BD17"/>
  <c r="BB11"/>
  <c r="K13"/>
  <c r="BA12"/>
  <c r="S6"/>
  <c r="J15"/>
  <c r="J22"/>
  <c r="AH10"/>
  <c r="AO18"/>
  <c r="BK10"/>
  <c r="AG5"/>
  <c r="BM12"/>
  <c r="AB21"/>
  <c r="AD6"/>
  <c r="AR10"/>
  <c r="BI13"/>
  <c r="V18"/>
  <c r="AJ22"/>
  <c r="AX6"/>
  <c r="BL10"/>
  <c r="Q15"/>
  <c r="Z18"/>
  <c r="AV22"/>
  <c r="BI5"/>
  <c r="V10"/>
  <c r="AE13"/>
  <c r="AS17"/>
  <c r="AY21"/>
  <c r="G6"/>
  <c r="AC10"/>
  <c r="AT13"/>
  <c r="BH17"/>
  <c r="M22"/>
  <c r="F11"/>
  <c r="J11"/>
  <c r="J5"/>
  <c r="G12"/>
  <c r="AB11"/>
  <c r="R8"/>
  <c r="AE8"/>
  <c r="O7"/>
  <c r="BK8"/>
  <c r="AO22"/>
  <c r="AX17"/>
  <c r="BM17"/>
  <c r="AI8"/>
  <c r="BI16"/>
  <c r="H5"/>
  <c r="AN12"/>
  <c r="AF21"/>
  <c r="O16"/>
  <c r="AL7"/>
  <c r="BG15"/>
  <c r="H4"/>
  <c r="Y7"/>
  <c r="AM11"/>
  <c r="BI15"/>
  <c r="V20"/>
  <c r="AJ4"/>
  <c r="BD8"/>
  <c r="I13"/>
  <c r="O17"/>
  <c r="AK21"/>
  <c r="BA5"/>
  <c r="N10"/>
  <c r="W13"/>
  <c r="AK17"/>
  <c r="BE4"/>
  <c r="U10"/>
  <c r="AL13"/>
  <c r="AZ17"/>
  <c r="BC20"/>
  <c r="F12"/>
  <c r="F7"/>
  <c r="AP5"/>
  <c r="AG22"/>
  <c r="G10"/>
  <c r="AL5"/>
  <c r="AC20"/>
  <c r="AO17"/>
  <c r="L6"/>
  <c r="AM10"/>
  <c r="AB13"/>
  <c r="BJ5"/>
  <c r="BM10"/>
  <c r="AI16"/>
  <c r="AY22"/>
  <c r="BD7"/>
  <c r="BE12"/>
  <c r="BF17"/>
  <c r="AW22"/>
  <c r="V11"/>
  <c r="BH18"/>
  <c r="AW6"/>
  <c r="AZ11"/>
  <c r="BB16"/>
  <c r="AM22"/>
  <c r="W22"/>
  <c r="AW8"/>
  <c r="G21"/>
  <c r="N7"/>
  <c r="M12"/>
  <c r="R17"/>
  <c r="R5"/>
  <c r="R11"/>
  <c r="AG17"/>
  <c r="AE22"/>
  <c r="AV5"/>
  <c r="S8"/>
  <c r="AC11"/>
  <c r="AH13"/>
  <c r="AS16"/>
  <c r="AW18"/>
  <c r="AN21"/>
  <c r="BB4"/>
  <c r="BG6"/>
  <c r="BG8"/>
  <c r="X12"/>
  <c r="AH15"/>
  <c r="I18"/>
  <c r="P21"/>
  <c r="AY4"/>
  <c r="BE8"/>
  <c r="AR15"/>
  <c r="AR20"/>
  <c r="BK4"/>
  <c r="V7"/>
  <c r="AA10"/>
  <c r="AG12"/>
  <c r="AQ15"/>
  <c r="AV17"/>
  <c r="BG20"/>
  <c r="BG22"/>
  <c r="BL4"/>
  <c r="N6"/>
  <c r="Q7"/>
  <c r="T8"/>
  <c r="AB10"/>
  <c r="AE11"/>
  <c r="AH12"/>
  <c r="AS13"/>
  <c r="BA15"/>
  <c r="BD16"/>
  <c r="BG17"/>
  <c r="N20"/>
  <c r="Q21"/>
  <c r="T22"/>
  <c r="AB4"/>
  <c r="AE5"/>
  <c r="AH6"/>
  <c r="AS7"/>
  <c r="AV8"/>
  <c r="AV10"/>
  <c r="AY11"/>
  <c r="BJ12"/>
  <c r="BM13"/>
  <c r="BM15"/>
  <c r="G17"/>
  <c r="J18"/>
  <c r="R20"/>
  <c r="AC21"/>
  <c r="AF22"/>
  <c r="AH4"/>
  <c r="AS5"/>
  <c r="AV6"/>
  <c r="AY7"/>
  <c r="BJ8"/>
  <c r="I11"/>
  <c r="L12"/>
  <c r="O13"/>
  <c r="O15"/>
  <c r="R16"/>
  <c r="AC17"/>
  <c r="AF18"/>
  <c r="AF20"/>
  <c r="AI21"/>
  <c r="AT22"/>
  <c r="AW4"/>
  <c r="AZ5"/>
  <c r="BC6"/>
  <c r="BF7"/>
  <c r="M10"/>
  <c r="P11"/>
  <c r="S12"/>
  <c r="AD13"/>
  <c r="AL15"/>
  <c r="AO16"/>
  <c r="AR17"/>
  <c r="AU18"/>
  <c r="AU20"/>
  <c r="AX21"/>
  <c r="BI22"/>
  <c r="U6"/>
  <c r="G8"/>
  <c r="AI18"/>
  <c r="AL6"/>
  <c r="BC11"/>
  <c r="S17"/>
  <c r="AZ4"/>
  <c r="H10"/>
  <c r="Y15"/>
  <c r="AP20"/>
  <c r="H6"/>
  <c r="AG11"/>
  <c r="BA17"/>
  <c r="I4"/>
  <c r="AC8"/>
  <c r="AQ12"/>
  <c r="G18"/>
  <c r="U22"/>
  <c r="F4"/>
  <c r="BK21"/>
  <c r="U20"/>
  <c r="BL13"/>
  <c r="BH11"/>
  <c r="AX8"/>
  <c r="AZ20"/>
  <c r="AU7"/>
  <c r="AJ11"/>
  <c r="U4"/>
  <c r="G7"/>
  <c r="N4"/>
  <c r="BI11"/>
  <c r="I20"/>
  <c r="AB7"/>
  <c r="U16"/>
  <c r="AX5"/>
  <c r="BJ21"/>
  <c r="BG10"/>
  <c r="S18"/>
  <c r="S5"/>
  <c r="AJ8"/>
  <c r="AX12"/>
  <c r="K17"/>
  <c r="AG21"/>
  <c r="AU5"/>
  <c r="BL8"/>
  <c r="Q13"/>
  <c r="W17"/>
  <c r="AS21"/>
  <c r="BL6"/>
  <c r="Y11"/>
  <c r="AE15"/>
  <c r="AV18"/>
  <c r="BJ22"/>
  <c r="J7"/>
  <c r="AF11"/>
  <c r="BB15"/>
  <c r="BK18"/>
  <c r="K4"/>
  <c r="AP11"/>
  <c r="W21"/>
  <c r="AL16"/>
  <c r="AH17"/>
  <c r="X13"/>
  <c r="P13"/>
  <c r="O12"/>
  <c r="AA4"/>
  <c r="AT7"/>
  <c r="AK6"/>
  <c r="BK22"/>
  <c r="AS11"/>
  <c r="BM18"/>
  <c r="L7"/>
  <c r="AX15"/>
  <c r="AH5"/>
  <c r="AD21"/>
  <c r="AQ10"/>
  <c r="BL17"/>
  <c r="K5"/>
  <c r="AB8"/>
  <c r="AP12"/>
  <c r="BL16"/>
  <c r="Y21"/>
  <c r="AM5"/>
  <c r="BA7"/>
  <c r="BG11"/>
  <c r="L16"/>
  <c r="Z20"/>
  <c r="AP4"/>
  <c r="BG7"/>
  <c r="T12"/>
  <c r="Z16"/>
  <c r="AN20"/>
  <c r="BB22"/>
  <c r="BK6"/>
  <c r="X11"/>
  <c r="AT15"/>
  <c r="BC18"/>
  <c r="F13"/>
  <c r="F18"/>
  <c r="AQ4"/>
  <c r="BI20"/>
  <c r="BM6"/>
  <c r="M4"/>
  <c r="M18"/>
  <c r="I12"/>
  <c r="BC21"/>
  <c r="AH8"/>
  <c r="AE12"/>
  <c r="AD5"/>
  <c r="AG10"/>
  <c r="AI15"/>
  <c r="S22"/>
  <c r="X7"/>
  <c r="Y12"/>
  <c r="Z17"/>
  <c r="Q22"/>
  <c r="BC10"/>
  <c r="AB18"/>
  <c r="Q6"/>
  <c r="T11"/>
  <c r="V16"/>
  <c r="G22"/>
  <c r="V21"/>
  <c r="AV7"/>
  <c r="AK20"/>
  <c r="AS6"/>
  <c r="AR11"/>
  <c r="AY16"/>
  <c r="AI4"/>
  <c r="AU10"/>
  <c r="AU16"/>
  <c r="AT21"/>
  <c r="AF5"/>
  <c r="AZ7"/>
  <c r="M11"/>
  <c r="R13"/>
  <c r="AC16"/>
  <c r="AG18"/>
  <c r="X21"/>
  <c r="AL4"/>
  <c r="AQ6"/>
  <c r="AQ8"/>
  <c r="H12"/>
  <c r="R15"/>
  <c r="BB17"/>
  <c r="BM20"/>
  <c r="S4"/>
  <c r="Y8"/>
  <c r="L15"/>
  <c r="AZ18"/>
  <c r="AU4"/>
  <c r="AZ6"/>
  <c r="K10"/>
  <c r="Q12"/>
  <c r="AA15"/>
  <c r="AF17"/>
  <c r="AQ20"/>
  <c r="AQ22"/>
  <c r="BD4"/>
  <c r="BG5"/>
  <c r="I7"/>
  <c r="L8"/>
  <c r="T10"/>
  <c r="W11"/>
  <c r="Z12"/>
  <c r="AK13"/>
  <c r="AS15"/>
  <c r="AV16"/>
  <c r="AY17"/>
  <c r="BJ18"/>
  <c r="I21"/>
  <c r="L22"/>
  <c r="T4"/>
  <c r="W5"/>
  <c r="Z6"/>
  <c r="AK7"/>
  <c r="AN8"/>
  <c r="AN10"/>
  <c r="AQ11"/>
  <c r="BB12"/>
  <c r="BE13"/>
  <c r="BE15"/>
  <c r="BH16"/>
  <c r="BK17"/>
  <c r="J20"/>
  <c r="U21"/>
  <c r="X22"/>
  <c r="Z4"/>
  <c r="AK5"/>
  <c r="AN6"/>
  <c r="AQ7"/>
  <c r="BB8"/>
  <c r="BJ10"/>
  <c r="BM11"/>
  <c r="G13"/>
  <c r="G15"/>
  <c r="J16"/>
  <c r="U17"/>
  <c r="X18"/>
  <c r="X20"/>
  <c r="AA21"/>
  <c r="AL22"/>
  <c r="AO4"/>
  <c r="AR5"/>
  <c r="AU6"/>
  <c r="AX7"/>
  <c r="BI8"/>
  <c r="H11"/>
  <c r="K12"/>
  <c r="V13"/>
  <c r="AD15"/>
  <c r="AG16"/>
  <c r="AJ17"/>
  <c r="AM18"/>
  <c r="AM20"/>
  <c r="AP21"/>
  <c r="BA22"/>
</calcChain>
</file>

<file path=xl/sharedStrings.xml><?xml version="1.0" encoding="utf-8"?>
<sst xmlns="http://schemas.openxmlformats.org/spreadsheetml/2006/main" count="31" uniqueCount="31">
  <si>
    <t>**重要提示**</t>
  </si>
  <si>
    <t>本文件、本文件所含信息以及任何基于此的衍生信息仅限SHANGHAI UNIVERSITY的JIARUI YANG使用。</t>
  </si>
  <si>
    <t>~~~~~~~~~~~~~~~~~~~~~~~~~~~~~~~~~~~~~~~~~~~~~~~~~~~~~~~~~~~~~~~~~~~~~~~~~~~~~~~~~~~~~~~~~~~~~~~~~~~~~~~~~~~~~~~~~~~~~~~~~~~~~~~~~~~~~~~~~~~~~~~~~~~~~~~</t>
  </si>
  <si>
    <t>**参考**</t>
  </si>
  <si>
    <t xml:space="preserve">     彭博行业(BI)Excel输出生成的电子数据表可作为参考表格，用于不同的模型和其他表格。</t>
  </si>
  <si>
    <t xml:space="preserve">     暂不支持自动建造模型或从BI输出表格中拖放，但将BI输出作为参考表格用于其他电子数</t>
  </si>
  <si>
    <t xml:space="preserve">   据表，功能强大，简便易用，能帮助您实现各种分析目的。</t>
  </si>
  <si>
    <t xml:space="preserve">   --BI Excel输出表格通常包含2个数据标签(有些BI模型，比如BI行情显示部分的模型，只能生</t>
  </si>
  <si>
    <t xml:space="preserve">   成1个数据标签“工作表1”)：</t>
  </si>
  <si>
    <t xml:space="preserve">     1) BI数据：此标签界面简洁，数据与BI控制面板同步。 </t>
  </si>
  <si>
    <t xml:space="preserve">          列示表格可作为参考表格，用于不同的模型和其他衍生电子数据表。</t>
  </si>
  <si>
    <t xml:space="preserve">     2) 参考数据：此标签下存储着所有的原始数据并包含数据加工。通常会有两个独立的表格：</t>
  </si>
  <si>
    <t xml:space="preserve">          上表包括出错处理、公式等等，下表包含输出的任何/所有实时API信息。 </t>
  </si>
  <si>
    <t xml:space="preserve">          实际API(BDP/BDH)公式的构建也是在下表中，因此如果想查看/运用相应API详情，可参</t>
  </si>
  <si>
    <t xml:space="preserve">          看此处。</t>
  </si>
  <si>
    <t xml:space="preserve">          注：有些时候，可能没有下表(如果所选数据无一来自实时API链接)。</t>
  </si>
  <si>
    <t xml:space="preserve">   --不同标签的表格中包含有共同的数据列：</t>
  </si>
  <si>
    <t xml:space="preserve">     1) 简介:此行标签与您在BI上看到的行标签相同。</t>
  </si>
  <si>
    <t xml:space="preserve">     2) 代码：与此行对应的公司/指数代码(代码用于 </t>
  </si>
  <si>
    <t xml:space="preserve">          此行BDP/BDH公式，如适用)</t>
  </si>
  <si>
    <t xml:space="preserve">     3) 栏目代码：此calcrout代码用于构建此行BDP/BDH公式(如适用)。</t>
  </si>
  <si>
    <t xml:space="preserve">     4) 栏目助记符：此calcrout助记符与用于构建此行BDP/BDH公式(如适用)的栏目代码相对应。</t>
  </si>
  <si>
    <t xml:space="preserve">     5) 数据状态：此特定行的数据状态，包括“动态”、“静态”、“合计”、“平均”、“中值”或“标题”。</t>
  </si>
  <si>
    <t xml:space="preserve">           如果是“动态”，那么一旦有新数据进入数据库，即可自动更新至表格，无需再次输出。</t>
  </si>
  <si>
    <t xml:space="preserve">           如果是“静态”，即此行不存在实时链接，新数据只能通过再次运行BI并输出。</t>
  </si>
  <si>
    <t xml:space="preserve">           如果是“合计”、“平均”、“中值”或“公式”，有些公式组件的数据或许能自动更新，但如果要</t>
  </si>
  <si>
    <t xml:space="preserve">           确保表格中的数据都是最新的，必须再次运行BI并输出。</t>
  </si>
  <si>
    <t>~~~~~~~~~~~~~~~~~~~~~~~~~~~~~~~~~~~~~~~~~~~~~~~~~~~~~~~~~~~~~~~~~~~~~~~~~~~~~~~~~~~~~~~~~~~~~~~~~~~~~~~~~~~~~~~~~~~~~~~~~~~~~~~~~~~~~~~~~~~~~~~~~~~~~~~~~~~~~~~~</t>
  </si>
  <si>
    <t>**帮助**</t>
  </si>
  <si>
    <t xml:space="preserve">     如果您在BI Excel输出过程中或对输出结果有任何疑问，请在彭博终端上运行BI&lt;GO&gt;功能，</t>
  </si>
  <si>
    <t xml:space="preserve">   然后按&lt;HELP&gt;键两次。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</si>
</sst>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blp_column_header" xfId="26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7" builtinId="28" customBuiltin="1"/>
    <cellStyle name="输出" xfId="39" builtinId="21" customBuiltin="1"/>
    <cellStyle name="输入" xfId="35" builtinId="20" customBuiltin="1"/>
    <cellStyle name="注释" xfId="38" builtinId="10" customBuiltin="1"/>
  </cellStyles>
  <dxfs count="0"/>
  <tableStyles count="0" defaultTableStyle="TableStyleMedium2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#N/A Authorization</v>
        <stp/>
        <stp>##V3_BDHV12</stp>
        <stp>RECFFORT Index</stp>
        <stp>PR005</stp>
        <stp>-60CQ</stp>
        <stp>2018/3/13</stp>
        <stp>[BI_REITN_1_rkh1tnm4.xlsx]ReferenceData!R72C3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72" s="3"/>
      </tp>
      <tp t="s">
        <v>#N/A Authorization</v>
        <stp/>
        <stp>##V3_BDHV12</stp>
        <stp>RECFFORT Index</stp>
        <stp>PR005</stp>
        <stp>-60CQ</stp>
        <stp>2018/3/14</stp>
        <stp>[BI_REITN_1_rkh1tnm4.xlsx]ReferenceData!R80C3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80" s="3"/>
      </tp>
    </main>
    <main first="bloomberg.ccyreader">
      <tp>
        <v>0</v>
        <stp/>
        <stp>#track</stp>
        <stp>DBG</stp>
        <stp>BIHITX</stp>
        <stp>1.0</stp>
        <stp>RepeatHit</stp>
        <tr r="A32" s="3"/>
      </tp>
    </main>
    <main first="bloomberg.rtd">
      <tp t="s">
        <v>#N/A Authorization</v>
        <stp/>
        <stp>##V3_BDHV12</stp>
        <stp>RECFAVRT Index</stp>
        <stp>PR005</stp>
        <stp>-60CQ</stp>
        <stp>2018/3/14</stp>
        <stp>[BI_REITN_1_rkh1tnm4.xlsx]ReferenceData!R76C3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76" s="3"/>
      </tp>
      <tp t="s">
        <v>#N/A Authorization</v>
        <stp/>
        <stp>##V3_BDHV12</stp>
        <stp>RECFAVRT Index</stp>
        <stp>PR005</stp>
        <stp>-60CQ</stp>
        <stp>2018/3/13</stp>
        <stp>[BI_REITN_1_rkh1tnm4.xlsx]ReferenceData!R68C3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68" s="3"/>
      </tp>
      <tp t="s">
        <v>#N/A Authorization</v>
        <stp/>
        <stp>##V3_BDHV12</stp>
        <stp>RECFSSRT Index</stp>
        <stp>PR005</stp>
        <stp>-60CQ</stp>
        <stp>2018/3/13</stp>
        <stp>[BI_REITN_1_rkh1tnm4.xlsx]ReferenceData!R70C3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70" s="3"/>
      </tp>
      <tp t="s">
        <v>#N/A Authorization</v>
        <stp/>
        <stp>##V3_BDHV12</stp>
        <stp>RECFSSRT Index</stp>
        <stp>PR005</stp>
        <stp>-60CQ</stp>
        <stp>2018/3/14</stp>
        <stp>[BI_REITN_1_rkh1tnm4.xlsx]ReferenceData!R78C3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78" s="3"/>
      </tp>
      <tp t="s">
        <v>#N/A Authorization</v>
        <stp/>
        <stp>##V3_BDHV12</stp>
        <stp>RECFNOFS Index</stp>
        <stp>PR005</stp>
        <stp>-60CQ</stp>
        <stp>2018/3/14</stp>
        <stp>[BI_REITN_1_rkh1tnm4.xlsx]ReferenceData!R54C6</stp>
        <stp>Per=CQ</stp>
        <stp>Dts=H</stp>
        <stp>Dir=H</stp>
        <stp>Points=60</stp>
        <stp>Sort=R</stp>
        <stp>Days=A</stp>
        <stp>Fill=B</stp>
        <stp>FX=USD</stp>
        <tr r="F54" s="3"/>
      </tp>
      <tp t="s">
        <v>#N/A Authorization</v>
        <stp/>
        <stp>##V3_BDHV12</stp>
        <stp>RECFNORM Index</stp>
        <stp>PR005</stp>
        <stp>-60CQ</stp>
        <stp>2018/3/14</stp>
        <stp>[BI_REITN_1_rkh1tnm4.xlsx]ReferenceData!R50C6</stp>
        <stp>Per=CQ</stp>
        <stp>Dts=H</stp>
        <stp>Dir=H</stp>
        <stp>Points=60</stp>
        <stp>Sort=R</stp>
        <stp>Days=A</stp>
        <stp>Fill=B</stp>
        <stp>FX=USD</stp>
        <tr r="F50" s="3"/>
      </tp>
      <tp t="s">
        <v>#N/A Authorization</v>
        <stp/>
        <stp>##V3_BDHV12</stp>
        <stp>RECFNOSC Index</stp>
        <stp>PR005</stp>
        <stp>-60CQ</stp>
        <stp>2018/3/14</stp>
        <stp>[BI_REITN_1_rkh1tnm4.xlsx]ReferenceData!R46C6</stp>
        <stp>Per=CQ</stp>
        <stp>Dts=H</stp>
        <stp>Dir=H</stp>
        <stp>Points=60</stp>
        <stp>Sort=R</stp>
        <stp>Days=A</stp>
        <stp>Fill=B</stp>
        <stp>FX=USD</stp>
        <tr r="F46" s="3"/>
      </tp>
      <tp t="s">
        <v>#N/A Authorization</v>
        <stp/>
        <stp>##V3_BDHV12</stp>
        <stp>RECFNORT Index</stp>
        <stp>PR005</stp>
        <stp>-60CQ</stp>
        <stp>2018/3/14</stp>
        <stp>[BI_REITN_1_rkh1tnm4.xlsx]ReferenceData!R43C6</stp>
        <stp>Per=CQ</stp>
        <stp>Dts=H</stp>
        <stp>Dir=H</stp>
        <stp>Points=60</stp>
        <stp>Sort=R</stp>
        <stp>Days=A</stp>
        <stp>Fill=B</stp>
        <stp>FX=USD</stp>
        <tr r="F43" s="3"/>
      </tp>
      <tp t="s">
        <v>#N/A Authorization</v>
        <stp/>
        <stp>##V3_BDHV12</stp>
        <stp>RECFAVRT Index</stp>
        <stp>PR005</stp>
        <stp>-60CQ</stp>
        <stp>2018/3/14</stp>
        <stp>[BI_REITN_1_rkh1tnm4.xlsx]ReferenceData!R40C6</stp>
        <stp>Per=CQ</stp>
        <stp>Dts=H</stp>
        <stp>Dir=H</stp>
        <stp>Points=60</stp>
        <stp>Sort=R</stp>
        <stp>Days=A</stp>
        <stp>Fill=B</stp>
        <stp>FX=USD</stp>
        <tr r="F40" s="3"/>
      </tp>
      <tp t="s">
        <v>#N/A Authorization</v>
        <stp/>
        <stp>##V3_BDHV12</stp>
        <stp>RECFFOFS Index</stp>
        <stp>PR005</stp>
        <stp>-60CQ</stp>
        <stp>2018/3/14</stp>
        <stp>[BI_REITN_1_rkh1tnm4.xlsx]ReferenceData!R53C6</stp>
        <stp>Per=CQ</stp>
        <stp>Dts=H</stp>
        <stp>Dir=H</stp>
        <stp>Points=60</stp>
        <stp>Sort=R</stp>
        <stp>Days=A</stp>
        <stp>Fill=B</stp>
        <stp>FX=USD</stp>
        <tr r="F53" s="3"/>
      </tp>
      <tp t="s">
        <v>#N/A Authorization</v>
        <stp/>
        <stp>##V3_BDHV12</stp>
        <stp>RECFFOSC Index</stp>
        <stp>PR005</stp>
        <stp>-60CQ</stp>
        <stp>2018/3/14</stp>
        <stp>[BI_REITN_1_rkh1tnm4.xlsx]ReferenceData!R45C6</stp>
        <stp>Per=CQ</stp>
        <stp>Dts=H</stp>
        <stp>Dir=H</stp>
        <stp>Points=60</stp>
        <stp>Sort=R</stp>
        <stp>Days=A</stp>
        <stp>Fill=B</stp>
        <stp>FX=USD</stp>
        <tr r="F45" s="3"/>
      </tp>
      <tp t="s">
        <v>#N/A Authorization</v>
        <stp/>
        <stp>##V3_BDHV12</stp>
        <stp>RECFFORM Index</stp>
        <stp>PR005</stp>
        <stp>-60CQ</stp>
        <stp>2018/3/14</stp>
        <stp>[BI_REITN_1_rkh1tnm4.xlsx]ReferenceData!R49C6</stp>
        <stp>Per=CQ</stp>
        <stp>Dts=H</stp>
        <stp>Dir=H</stp>
        <stp>Points=60</stp>
        <stp>Sort=R</stp>
        <stp>Days=A</stp>
        <stp>Fill=B</stp>
        <stp>FX=USD</stp>
        <tr r="F49" s="3"/>
      </tp>
      <tp t="s">
        <v>#N/A Authorization</v>
        <stp/>
        <stp>##V3_BDHV12</stp>
        <stp>RECFFORT Index</stp>
        <stp>PR005</stp>
        <stp>-60CQ</stp>
        <stp>2018/3/14</stp>
        <stp>[BI_REITN_1_rkh1tnm4.xlsx]ReferenceData!R42C6</stp>
        <stp>Per=CQ</stp>
        <stp>Dts=H</stp>
        <stp>Dir=H</stp>
        <stp>Points=60</stp>
        <stp>Sort=R</stp>
        <stp>Days=A</stp>
        <stp>Fill=B</stp>
        <stp>FX=USD</stp>
        <tr r="F42" s="3"/>
      </tp>
      <tp t="s">
        <v>#N/A Authorization</v>
        <stp/>
        <stp>##V3_BDHV12</stp>
        <stp>RECFSSRM Index</stp>
        <stp>PR005</stp>
        <stp>-60CQ</stp>
        <stp>2018/3/14</stp>
        <stp>[BI_REITN_1_rkh1tnm4.xlsx]ReferenceData!R51C6</stp>
        <stp>Per=CQ</stp>
        <stp>Dts=H</stp>
        <stp>Dir=H</stp>
        <stp>Points=60</stp>
        <stp>Sort=R</stp>
        <stp>Days=A</stp>
        <stp>Fill=B</stp>
        <stp>FX=USD</stp>
        <tr r="F51" s="3"/>
      </tp>
      <tp t="s">
        <v>#N/A Authorization</v>
        <stp/>
        <stp>##V3_BDHV12</stp>
        <stp>RECFSSSC Index</stp>
        <stp>PR005</stp>
        <stp>-60CQ</stp>
        <stp>2018/3/14</stp>
        <stp>[BI_REITN_1_rkh1tnm4.xlsx]ReferenceData!R47C6</stp>
        <stp>Per=CQ</stp>
        <stp>Dts=H</stp>
        <stp>Dir=H</stp>
        <stp>Points=60</stp>
        <stp>Sort=R</stp>
        <stp>Days=A</stp>
        <stp>Fill=B</stp>
        <stp>FX=USD</stp>
        <tr r="F47" s="3"/>
      </tp>
      <tp t="s">
        <v>#N/A Authorization</v>
        <stp/>
        <stp>##V3_BDHV12</stp>
        <stp>RECFSSRT Index</stp>
        <stp>PR005</stp>
        <stp>-60CQ</stp>
        <stp>2018/3/14</stp>
        <stp>[BI_REITN_1_rkh1tnm4.xlsx]ReferenceData!R41C6</stp>
        <stp>Per=CQ</stp>
        <stp>Dts=H</stp>
        <stp>Dir=H</stp>
        <stp>Points=60</stp>
        <stp>Sort=R</stp>
        <stp>Days=A</stp>
        <stp>Fill=B</stp>
        <stp>FX=USD</stp>
        <tr r="F41" s="3"/>
      </tp>
      <tp t="s">
        <v>#N/A Authorization</v>
        <stp/>
        <stp>##V3_BDHV12</stp>
        <stp>RECFTDFS Index</stp>
        <stp>PR005</stp>
        <stp>-60CQ</stp>
        <stp>2018/3/14</stp>
        <stp>[BI_REITN_1_rkh1tnm4.xlsx]ReferenceData!R55C6</stp>
        <stp>Per=CQ</stp>
        <stp>Dts=H</stp>
        <stp>Dir=H</stp>
        <stp>Points=60</stp>
        <stp>Sort=R</stp>
        <stp>Days=A</stp>
        <stp>Fill=B</stp>
        <stp>FX=USD</stp>
        <tr r="F55" s="3"/>
      </tp>
      <tp t="s">
        <v>#N/A Authorization</v>
        <stp/>
        <stp>##V3_BDHV12</stp>
        <stp>RECFTDSC Index</stp>
        <stp>PR005</stp>
        <stp>-60CQ</stp>
        <stp>2018/3/14</stp>
        <stp>[BI_REITN_1_rkh1tnm4.xlsx]ReferenceData!R48C6</stp>
        <stp>Per=CQ</stp>
        <stp>Dts=H</stp>
        <stp>Dir=H</stp>
        <stp>Points=60</stp>
        <stp>Sort=R</stp>
        <stp>Days=A</stp>
        <stp>Fill=B</stp>
        <stp>FX=USD</stp>
        <tr r="F48" s="3"/>
      </tp>
      <tp t="s">
        <v>#N/A Authorization</v>
        <stp/>
        <stp>##V3_BDHV12</stp>
        <stp>RECFTDRM Index</stp>
        <stp>PR005</stp>
        <stp>-60CQ</stp>
        <stp>2018/3/14</stp>
        <stp>[BI_REITN_1_rkh1tnm4.xlsx]ReferenceData!R52C6</stp>
        <stp>Per=CQ</stp>
        <stp>Dts=H</stp>
        <stp>Dir=H</stp>
        <stp>Points=60</stp>
        <stp>Sort=R</stp>
        <stp>Days=A</stp>
        <stp>Fill=B</stp>
        <stp>FX=USD</stp>
        <tr r="F52" s="3"/>
      </tp>
      <tp t="s">
        <v>#N/A Authorization</v>
        <stp/>
        <stp>##V3_BDHV12</stp>
        <stp>RECFTDRT Index</stp>
        <stp>PR005</stp>
        <stp>-60CQ</stp>
        <stp>2018/3/14</stp>
        <stp>[BI_REITN_1_rkh1tnm4.xlsx]ReferenceData!R44C6</stp>
        <stp>Per=CQ</stp>
        <stp>Dts=H</stp>
        <stp>Dir=H</stp>
        <stp>Points=60</stp>
        <stp>Sort=R</stp>
        <stp>Days=A</stp>
        <stp>Fill=B</stp>
        <stp>FX=USD</stp>
        <tr r="F4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22"/>
  <sheetViews>
    <sheetView tabSelected="1" workbookViewId="0"/>
  </sheetViews>
  <sheetFormatPr defaultRowHeight="13.5"/>
  <cols>
    <col min="1" max="1" width="56.375" customWidth="1"/>
    <col min="2" max="2" width="15.75" customWidth="1"/>
    <col min="3" max="65" width="9.125" bestFit="1" customWidth="1"/>
  </cols>
  <sheetData>
    <row r="1" spans="1:6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t="str">
        <f>IFERROR(IF(0=LEN(ReferenceData!$A$2),"",ReferenceData!$A$2),"")</f>
        <v>简述</v>
      </c>
      <c r="B2" t="str">
        <f>IFERROR(IF(0=LEN(ReferenceData!$B$2),"",ReferenceData!$B$2),"")</f>
        <v>代码</v>
      </c>
      <c r="C2" t="str">
        <f>IFERROR(IF(0=LEN(ReferenceData!$C$2),"",ReferenceData!$C$2),"")</f>
        <v>栏目ID</v>
      </c>
      <c r="D2" t="str">
        <f>IFERROR(IF(0=LEN(ReferenceData!$D$2),"",ReferenceData!$D$2),"")</f>
        <v>栏目助记符</v>
      </c>
      <c r="E2" t="str">
        <f>IFERROR(IF(0=LEN(ReferenceData!$E$2),"",ReferenceData!$E$2),"")</f>
        <v>数据状态</v>
      </c>
      <c r="F2" t="str">
        <f>IFERROR(IF(0=LEN(ReferenceData!$F$2),"",ReferenceData!$F$2),"")</f>
        <v>2017 Q4</v>
      </c>
      <c r="G2" t="str">
        <f>IFERROR(IF(0=LEN(ReferenceData!$G$2),"",ReferenceData!$G$2),"")</f>
        <v>2017 Q3</v>
      </c>
      <c r="H2" t="str">
        <f>IFERROR(IF(0=LEN(ReferenceData!$H$2),"",ReferenceData!$H$2),"")</f>
        <v>2017 Q2</v>
      </c>
      <c r="I2" t="str">
        <f>IFERROR(IF(0=LEN(ReferenceData!$I$2),"",ReferenceData!$I$2),"")</f>
        <v>2017 Q1</v>
      </c>
      <c r="J2" t="str">
        <f>IFERROR(IF(0=LEN(ReferenceData!$J$2),"",ReferenceData!$J$2),"")</f>
        <v>2016 Q4</v>
      </c>
      <c r="K2" t="str">
        <f>IFERROR(IF(0=LEN(ReferenceData!$K$2),"",ReferenceData!$K$2),"")</f>
        <v>2016 Q3</v>
      </c>
      <c r="L2" t="str">
        <f>IFERROR(IF(0=LEN(ReferenceData!$L$2),"",ReferenceData!$L$2),"")</f>
        <v>2016 Q2</v>
      </c>
      <c r="M2" t="str">
        <f>IFERROR(IF(0=LEN(ReferenceData!$M$2),"",ReferenceData!$M$2),"")</f>
        <v>2016 Q1</v>
      </c>
      <c r="N2" t="str">
        <f>IFERROR(IF(0=LEN(ReferenceData!$N$2),"",ReferenceData!$N$2),"")</f>
        <v>2015 Q4</v>
      </c>
      <c r="O2" t="str">
        <f>IFERROR(IF(0=LEN(ReferenceData!$O$2),"",ReferenceData!$O$2),"")</f>
        <v>2015 Q3</v>
      </c>
      <c r="P2" t="str">
        <f>IFERROR(IF(0=LEN(ReferenceData!$P$2),"",ReferenceData!$P$2),"")</f>
        <v>2015 Q2</v>
      </c>
      <c r="Q2" t="str">
        <f>IFERROR(IF(0=LEN(ReferenceData!$Q$2),"",ReferenceData!$Q$2),"")</f>
        <v>2015 Q1</v>
      </c>
      <c r="R2" t="str">
        <f>IFERROR(IF(0=LEN(ReferenceData!$R$2),"",ReferenceData!$R$2),"")</f>
        <v>2014 Q4</v>
      </c>
      <c r="S2" t="str">
        <f>IFERROR(IF(0=LEN(ReferenceData!$S$2),"",ReferenceData!$S$2),"")</f>
        <v>2014 Q3</v>
      </c>
      <c r="T2" t="str">
        <f>IFERROR(IF(0=LEN(ReferenceData!$T$2),"",ReferenceData!$T$2),"")</f>
        <v>2014 Q2</v>
      </c>
      <c r="U2" t="str">
        <f>IFERROR(IF(0=LEN(ReferenceData!$U$2),"",ReferenceData!$U$2),"")</f>
        <v>2014 Q1</v>
      </c>
      <c r="V2" t="str">
        <f>IFERROR(IF(0=LEN(ReferenceData!$V$2),"",ReferenceData!$V$2),"")</f>
        <v>2013 Q4</v>
      </c>
      <c r="W2" t="str">
        <f>IFERROR(IF(0=LEN(ReferenceData!$W$2),"",ReferenceData!$W$2),"")</f>
        <v>2013 Q3</v>
      </c>
      <c r="X2" t="str">
        <f>IFERROR(IF(0=LEN(ReferenceData!$X$2),"",ReferenceData!$X$2),"")</f>
        <v>2013 Q2</v>
      </c>
      <c r="Y2" t="str">
        <f>IFERROR(IF(0=LEN(ReferenceData!$Y$2),"",ReferenceData!$Y$2),"")</f>
        <v>2013 Q1</v>
      </c>
      <c r="Z2" t="str">
        <f>IFERROR(IF(0=LEN(ReferenceData!$Z$2),"",ReferenceData!$Z$2),"")</f>
        <v>2012 Q4</v>
      </c>
      <c r="AA2" t="str">
        <f>IFERROR(IF(0=LEN(ReferenceData!$AA$2),"",ReferenceData!$AA$2),"")</f>
        <v>2012 Q3</v>
      </c>
      <c r="AB2" t="str">
        <f>IFERROR(IF(0=LEN(ReferenceData!$AB$2),"",ReferenceData!$AB$2),"")</f>
        <v>2012 Q2</v>
      </c>
      <c r="AC2" t="str">
        <f>IFERROR(IF(0=LEN(ReferenceData!$AC$2),"",ReferenceData!$AC$2),"")</f>
        <v>2012 Q1</v>
      </c>
      <c r="AD2" t="str">
        <f>IFERROR(IF(0=LEN(ReferenceData!$AD$2),"",ReferenceData!$AD$2),"")</f>
        <v>2011 Q4</v>
      </c>
      <c r="AE2" t="str">
        <f>IFERROR(IF(0=LEN(ReferenceData!$AE$2),"",ReferenceData!$AE$2),"")</f>
        <v>2011 Q3</v>
      </c>
      <c r="AF2" t="str">
        <f>IFERROR(IF(0=LEN(ReferenceData!$AF$2),"",ReferenceData!$AF$2),"")</f>
        <v>2011 Q2</v>
      </c>
      <c r="AG2" t="str">
        <f>IFERROR(IF(0=LEN(ReferenceData!$AG$2),"",ReferenceData!$AG$2),"")</f>
        <v>2011 Q1</v>
      </c>
      <c r="AH2" t="str">
        <f>IFERROR(IF(0=LEN(ReferenceData!$AH$2),"",ReferenceData!$AH$2),"")</f>
        <v>2010 Q4</v>
      </c>
      <c r="AI2" t="str">
        <f>IFERROR(IF(0=LEN(ReferenceData!$AI$2),"",ReferenceData!$AI$2),"")</f>
        <v>2010 Q3</v>
      </c>
      <c r="AJ2" t="str">
        <f>IFERROR(IF(0=LEN(ReferenceData!$AJ$2),"",ReferenceData!$AJ$2),"")</f>
        <v>2010 Q2</v>
      </c>
      <c r="AK2" t="str">
        <f>IFERROR(IF(0=LEN(ReferenceData!$AK$2),"",ReferenceData!$AK$2),"")</f>
        <v>2010 Q1</v>
      </c>
      <c r="AL2" t="str">
        <f>IFERROR(IF(0=LEN(ReferenceData!$AL$2),"",ReferenceData!$AL$2),"")</f>
        <v>2009 Q4</v>
      </c>
      <c r="AM2" t="str">
        <f>IFERROR(IF(0=LEN(ReferenceData!$AM$2),"",ReferenceData!$AM$2),"")</f>
        <v>2009 Q3</v>
      </c>
      <c r="AN2" t="str">
        <f>IFERROR(IF(0=LEN(ReferenceData!$AN$2),"",ReferenceData!$AN$2),"")</f>
        <v>2009 Q2</v>
      </c>
      <c r="AO2" t="str">
        <f>IFERROR(IF(0=LEN(ReferenceData!$AO$2),"",ReferenceData!$AO$2),"")</f>
        <v>2009 Q1</v>
      </c>
      <c r="AP2" t="str">
        <f>IFERROR(IF(0=LEN(ReferenceData!$AP$2),"",ReferenceData!$AP$2),"")</f>
        <v>2008 Q4</v>
      </c>
      <c r="AQ2" t="str">
        <f>IFERROR(IF(0=LEN(ReferenceData!$AQ$2),"",ReferenceData!$AQ$2),"")</f>
        <v>2008 Q3</v>
      </c>
      <c r="AR2" t="str">
        <f>IFERROR(IF(0=LEN(ReferenceData!$AR$2),"",ReferenceData!$AR$2),"")</f>
        <v>2008 Q2</v>
      </c>
      <c r="AS2" t="str">
        <f>IFERROR(IF(0=LEN(ReferenceData!$AS$2),"",ReferenceData!$AS$2),"")</f>
        <v>2008 Q1</v>
      </c>
      <c r="AT2" t="str">
        <f>IFERROR(IF(0=LEN(ReferenceData!$AT$2),"",ReferenceData!$AT$2),"")</f>
        <v>2007 Q4</v>
      </c>
      <c r="AU2" t="str">
        <f>IFERROR(IF(0=LEN(ReferenceData!$AU$2),"",ReferenceData!$AU$2),"")</f>
        <v>2007 Q3</v>
      </c>
      <c r="AV2" t="str">
        <f>IFERROR(IF(0=LEN(ReferenceData!$AV$2),"",ReferenceData!$AV$2),"")</f>
        <v>2007 Q2</v>
      </c>
      <c r="AW2" t="str">
        <f>IFERROR(IF(0=LEN(ReferenceData!$AW$2),"",ReferenceData!$AW$2),"")</f>
        <v>2007 Q1</v>
      </c>
      <c r="AX2" t="str">
        <f>IFERROR(IF(0=LEN(ReferenceData!$AX$2),"",ReferenceData!$AX$2),"")</f>
        <v>2006 Q4</v>
      </c>
      <c r="AY2" t="str">
        <f>IFERROR(IF(0=LEN(ReferenceData!$AY$2),"",ReferenceData!$AY$2),"")</f>
        <v>2006 Q3</v>
      </c>
      <c r="AZ2" t="str">
        <f>IFERROR(IF(0=LEN(ReferenceData!$AZ$2),"",ReferenceData!$AZ$2),"")</f>
        <v>2006 Q2</v>
      </c>
      <c r="BA2" t="str">
        <f>IFERROR(IF(0=LEN(ReferenceData!$BA$2),"",ReferenceData!$BA$2),"")</f>
        <v>2006 Q1</v>
      </c>
      <c r="BB2" t="str">
        <f>IFERROR(IF(0=LEN(ReferenceData!$BB$2),"",ReferenceData!$BB$2),"")</f>
        <v>2005 Q4</v>
      </c>
      <c r="BC2" t="str">
        <f>IFERROR(IF(0=LEN(ReferenceData!$BC$2),"",ReferenceData!$BC$2),"")</f>
        <v>2005 Q3</v>
      </c>
      <c r="BD2" t="str">
        <f>IFERROR(IF(0=LEN(ReferenceData!$BD$2),"",ReferenceData!$BD$2),"")</f>
        <v>2005 Q2</v>
      </c>
      <c r="BE2" t="str">
        <f>IFERROR(IF(0=LEN(ReferenceData!$BE$2),"",ReferenceData!$BE$2),"")</f>
        <v>2005 Q1</v>
      </c>
      <c r="BF2" t="str">
        <f>IFERROR(IF(0=LEN(ReferenceData!$BF$2),"",ReferenceData!$BF$2),"")</f>
        <v>2004 Q4</v>
      </c>
      <c r="BG2" t="str">
        <f>IFERROR(IF(0=LEN(ReferenceData!$BG$2),"",ReferenceData!$BG$2),"")</f>
        <v>2004 Q3</v>
      </c>
      <c r="BH2" t="str">
        <f>IFERROR(IF(0=LEN(ReferenceData!$BH$2),"",ReferenceData!$BH$2),"")</f>
        <v>2004 Q2</v>
      </c>
      <c r="BI2" t="str">
        <f>IFERROR(IF(0=LEN(ReferenceData!$BI$2),"",ReferenceData!$BI$2),"")</f>
        <v>2004 Q1</v>
      </c>
      <c r="BJ2" t="str">
        <f>IFERROR(IF(0=LEN(ReferenceData!$BJ$2),"",ReferenceData!$BJ$2),"")</f>
        <v>2003 Q4</v>
      </c>
      <c r="BK2" t="str">
        <f>IFERROR(IF(0=LEN(ReferenceData!$BK$2),"",ReferenceData!$BK$2),"")</f>
        <v>2003 Q3</v>
      </c>
      <c r="BL2" t="str">
        <f>IFERROR(IF(0=LEN(ReferenceData!$BL$2),"",ReferenceData!$BL$2),"")</f>
        <v>2003 Q2</v>
      </c>
      <c r="BM2" t="str">
        <f>IFERROR(IF(0=LEN(ReferenceData!$BM$2),"",ReferenceData!$BM$2),"")</f>
        <v>2003 Q1</v>
      </c>
    </row>
    <row r="3" spans="1:65">
      <c r="A3" t="str">
        <f>IFERROR(IF(0=LEN(ReferenceData!$A$3),"",ReferenceData!$A$3),"")</f>
        <v>零售业房地产投资信托数据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静态</v>
      </c>
      <c r="F3" t="str">
        <f ca="1">IFERROR(IF(0=LEN(ReferenceData!$F$3),"",ReferenceData!$F$3),"")</f>
        <v/>
      </c>
      <c r="G3" t="str">
        <f ca="1">IFERROR(IF(0=LEN(ReferenceData!$G$3),"",ReferenceData!$G$3),"")</f>
        <v/>
      </c>
      <c r="H3" t="str">
        <f ca="1">IFERROR(IF(0=LEN(ReferenceData!$H$3),"",ReferenceData!$H$3),"")</f>
        <v/>
      </c>
      <c r="I3" t="str">
        <f ca="1">IFERROR(IF(0=LEN(ReferenceData!$I$3),"",ReferenceData!$I$3),"")</f>
        <v/>
      </c>
      <c r="J3" t="str">
        <f ca="1">IFERROR(IF(0=LEN(ReferenceData!$J$3),"",ReferenceData!$J$3),"")</f>
        <v/>
      </c>
      <c r="K3" t="str">
        <f ca="1">IFERROR(IF(0=LEN(ReferenceData!$K$3),"",ReferenceData!$K$3),"")</f>
        <v/>
      </c>
      <c r="L3" t="str">
        <f ca="1">IFERROR(IF(0=LEN(ReferenceData!$L$3),"",ReferenceData!$L$3),"")</f>
        <v/>
      </c>
      <c r="M3" t="str">
        <f ca="1">IFERROR(IF(0=LEN(ReferenceData!$M$3),"",ReferenceData!$M$3),"")</f>
        <v/>
      </c>
      <c r="N3" t="str">
        <f ca="1">IFERROR(IF(0=LEN(ReferenceData!$N$3),"",ReferenceData!$N$3),"")</f>
        <v/>
      </c>
      <c r="O3" t="str">
        <f ca="1">IFERROR(IF(0=LEN(ReferenceData!$O$3),"",ReferenceData!$O$3),"")</f>
        <v/>
      </c>
      <c r="P3" t="str">
        <f ca="1">IFERROR(IF(0=LEN(ReferenceData!$P$3),"",ReferenceData!$P$3),"")</f>
        <v/>
      </c>
      <c r="Q3" t="str">
        <f ca="1">IFERROR(IF(0=LEN(ReferenceData!$Q$3),"",ReferenceData!$Q$3),"")</f>
        <v/>
      </c>
      <c r="R3" t="str">
        <f ca="1">IFERROR(IF(0=LEN(ReferenceData!$R$3),"",ReferenceData!$R$3),"")</f>
        <v/>
      </c>
      <c r="S3" t="str">
        <f ca="1">IFERROR(IF(0=LEN(ReferenceData!$S$3),"",ReferenceData!$S$3),"")</f>
        <v/>
      </c>
      <c r="T3" t="str">
        <f ca="1">IFERROR(IF(0=LEN(ReferenceData!$T$3),"",ReferenceData!$T$3),"")</f>
        <v/>
      </c>
      <c r="U3" t="str">
        <f ca="1">IFERROR(IF(0=LEN(ReferenceData!$U$3),"",ReferenceData!$U$3),"")</f>
        <v/>
      </c>
      <c r="V3" t="str">
        <f ca="1">IFERROR(IF(0=LEN(ReferenceData!$V$3),"",ReferenceData!$V$3),"")</f>
        <v/>
      </c>
      <c r="W3" t="str">
        <f ca="1">IFERROR(IF(0=LEN(ReferenceData!$W$3),"",ReferenceData!$W$3),"")</f>
        <v/>
      </c>
      <c r="X3" t="str">
        <f ca="1">IFERROR(IF(0=LEN(ReferenceData!$X$3),"",ReferenceData!$X$3),"")</f>
        <v/>
      </c>
      <c r="Y3" t="str">
        <f ca="1">IFERROR(IF(0=LEN(ReferenceData!$Y$3),"",ReferenceData!$Y$3),"")</f>
        <v/>
      </c>
      <c r="Z3" t="str">
        <f ca="1">IFERROR(IF(0=LEN(ReferenceData!$Z$3),"",ReferenceData!$Z$3),"")</f>
        <v/>
      </c>
      <c r="AA3" t="str">
        <f ca="1">IFERROR(IF(0=LEN(ReferenceData!$AA$3),"",ReferenceData!$AA$3),"")</f>
        <v/>
      </c>
      <c r="AB3" t="str">
        <f ca="1">IFERROR(IF(0=LEN(ReferenceData!$AB$3),"",ReferenceData!$AB$3),"")</f>
        <v/>
      </c>
      <c r="AC3" t="str">
        <f ca="1">IFERROR(IF(0=LEN(ReferenceData!$AC$3),"",ReferenceData!$AC$3),"")</f>
        <v/>
      </c>
      <c r="AD3" t="str">
        <f ca="1">IFERROR(IF(0=LEN(ReferenceData!$AD$3),"",ReferenceData!$AD$3),"")</f>
        <v/>
      </c>
      <c r="AE3" t="str">
        <f ca="1">IFERROR(IF(0=LEN(ReferenceData!$AE$3),"",ReferenceData!$AE$3),"")</f>
        <v/>
      </c>
      <c r="AF3" t="str">
        <f ca="1">IFERROR(IF(0=LEN(ReferenceData!$AF$3),"",ReferenceData!$AF$3),"")</f>
        <v/>
      </c>
      <c r="AG3" t="str">
        <f ca="1">IFERROR(IF(0=LEN(ReferenceData!$AG$3),"",ReferenceData!$AG$3),"")</f>
        <v/>
      </c>
      <c r="AH3" t="str">
        <f ca="1">IFERROR(IF(0=LEN(ReferenceData!$AH$3),"",ReferenceData!$AH$3),"")</f>
        <v/>
      </c>
      <c r="AI3" t="str">
        <f ca="1">IFERROR(IF(0=LEN(ReferenceData!$AI$3),"",ReferenceData!$AI$3),"")</f>
        <v/>
      </c>
      <c r="AJ3" t="str">
        <f ca="1">IFERROR(IF(0=LEN(ReferenceData!$AJ$3),"",ReferenceData!$AJ$3),"")</f>
        <v/>
      </c>
      <c r="AK3" t="str">
        <f ca="1">IFERROR(IF(0=LEN(ReferenceData!$AK$3),"",ReferenceData!$AK$3),"")</f>
        <v/>
      </c>
      <c r="AL3" t="str">
        <f ca="1">IFERROR(IF(0=LEN(ReferenceData!$AL$3),"",ReferenceData!$AL$3),"")</f>
        <v/>
      </c>
      <c r="AM3" t="str">
        <f ca="1">IFERROR(IF(0=LEN(ReferenceData!$AM$3),"",ReferenceData!$AM$3),"")</f>
        <v/>
      </c>
      <c r="AN3" t="str">
        <f ca="1">IFERROR(IF(0=LEN(ReferenceData!$AN$3),"",ReferenceData!$AN$3),"")</f>
        <v/>
      </c>
      <c r="AO3" t="str">
        <f ca="1">IFERROR(IF(0=LEN(ReferenceData!$AO$3),"",ReferenceData!$AO$3),"")</f>
        <v/>
      </c>
      <c r="AP3" t="str">
        <f ca="1">IFERROR(IF(0=LEN(ReferenceData!$AP$3),"",ReferenceData!$AP$3),"")</f>
        <v/>
      </c>
      <c r="AQ3" t="str">
        <f ca="1">IFERROR(IF(0=LEN(ReferenceData!$AQ$3),"",ReferenceData!$AQ$3),"")</f>
        <v/>
      </c>
      <c r="AR3" t="str">
        <f ca="1">IFERROR(IF(0=LEN(ReferenceData!$AR$3),"",ReferenceData!$AR$3),"")</f>
        <v/>
      </c>
      <c r="AS3" t="str">
        <f ca="1">IFERROR(IF(0=LEN(ReferenceData!$AS$3),"",ReferenceData!$AS$3),"")</f>
        <v/>
      </c>
      <c r="AT3" t="str">
        <f ca="1">IFERROR(IF(0=LEN(ReferenceData!$AT$3),"",ReferenceData!$AT$3),"")</f>
        <v/>
      </c>
      <c r="AU3" t="str">
        <f ca="1">IFERROR(IF(0=LEN(ReferenceData!$AU$3),"",ReferenceData!$AU$3),"")</f>
        <v/>
      </c>
      <c r="AV3" t="str">
        <f ca="1">IFERROR(IF(0=LEN(ReferenceData!$AV$3),"",ReferenceData!$AV$3),"")</f>
        <v/>
      </c>
      <c r="AW3" t="str">
        <f ca="1">IFERROR(IF(0=LEN(ReferenceData!$AW$3),"",ReferenceData!$AW$3),"")</f>
        <v/>
      </c>
      <c r="AX3" t="str">
        <f ca="1">IFERROR(IF(0=LEN(ReferenceData!$AX$3),"",ReferenceData!$AX$3),"")</f>
        <v/>
      </c>
      <c r="AY3" t="str">
        <f ca="1">IFERROR(IF(0=LEN(ReferenceData!$AY$3),"",ReferenceData!$AY$3),"")</f>
        <v/>
      </c>
      <c r="AZ3" t="str">
        <f ca="1">IFERROR(IF(0=LEN(ReferenceData!$AZ$3),"",ReferenceData!$AZ$3),"")</f>
        <v/>
      </c>
      <c r="BA3" t="str">
        <f ca="1">IFERROR(IF(0=LEN(ReferenceData!$BA$3),"",ReferenceData!$BA$3),"")</f>
        <v/>
      </c>
      <c r="BB3" t="str">
        <f ca="1">IFERROR(IF(0=LEN(ReferenceData!$BB$3),"",ReferenceData!$BB$3),"")</f>
        <v/>
      </c>
      <c r="BC3" t="str">
        <f ca="1">IFERROR(IF(0=LEN(ReferenceData!$BC$3),"",ReferenceData!$BC$3),"")</f>
        <v/>
      </c>
      <c r="BD3" t="str">
        <f ca="1">IFERROR(IF(0=LEN(ReferenceData!$BD$3),"",ReferenceData!$BD$3),"")</f>
        <v/>
      </c>
      <c r="BE3" t="str">
        <f ca="1">IFERROR(IF(0=LEN(ReferenceData!$BE$3),"",ReferenceData!$BE$3),"")</f>
        <v/>
      </c>
      <c r="BF3" t="str">
        <f ca="1">IFERROR(IF(0=LEN(ReferenceData!$BF$3),"",ReferenceData!$BF$3),"")</f>
        <v/>
      </c>
      <c r="BG3" t="str">
        <f ca="1">IFERROR(IF(0=LEN(ReferenceData!$BG$3),"",ReferenceData!$BG$3),"")</f>
        <v/>
      </c>
      <c r="BH3" t="str">
        <f ca="1">IFERROR(IF(0=LEN(ReferenceData!$BH$3),"",ReferenceData!$BH$3),"")</f>
        <v/>
      </c>
      <c r="BI3" t="str">
        <f ca="1">IFERROR(IF(0=LEN(ReferenceData!$BI$3),"",ReferenceData!$BI$3),"")</f>
        <v/>
      </c>
      <c r="BJ3" t="str">
        <f ca="1">IFERROR(IF(0=LEN(ReferenceData!$BJ$3),"",ReferenceData!$BJ$3),"")</f>
        <v/>
      </c>
      <c r="BK3" t="str">
        <f ca="1">IFERROR(IF(0=LEN(ReferenceData!$BK$3),"",ReferenceData!$BK$3),"")</f>
        <v/>
      </c>
      <c r="BL3" t="str">
        <f ca="1">IFERROR(IF(0=LEN(ReferenceData!$BL$3),"",ReferenceData!$BL$3),"")</f>
        <v/>
      </c>
      <c r="BM3" t="str">
        <f ca="1">IFERROR(IF(0=LEN(ReferenceData!$BM$3),"",ReferenceData!$BM$3),"")</f>
        <v/>
      </c>
    </row>
    <row r="4" spans="1:65">
      <c r="A4" t="str">
        <f>IFERROR(IF(0=LEN(ReferenceData!$A$4),"",ReferenceData!$A$4),"")</f>
        <v xml:space="preserve">    零售业房地产投资信托平均入住率</v>
      </c>
      <c r="B4" t="str">
        <f>IFERROR(IF(0=LEN(ReferenceData!$B$4),"",ReferenceData!$B$4),"")</f>
        <v>RECFAVRT Index</v>
      </c>
      <c r="C4" t="str">
        <f>IFERROR(IF(0=LEN(ReferenceData!$C$4),"",ReferenceData!$C$4),"")</f>
        <v>PR005</v>
      </c>
      <c r="D4" t="str">
        <f>IFERROR(IF(0=LEN(ReferenceData!$D$4),"",ReferenceData!$D$4),"")</f>
        <v>PX_LAST</v>
      </c>
      <c r="E4" t="str">
        <f>IFERROR(IF(0=LEN(ReferenceData!$E$4),"",ReferenceData!$E$4),"")</f>
        <v>动态</v>
      </c>
      <c r="F4">
        <f ca="1">IFERROR(IF(0=LEN(ReferenceData!$F$4),"",ReferenceData!$F$4),"")</f>
        <v>95.821447309999996</v>
      </c>
      <c r="G4">
        <f ca="1">IFERROR(IF(0=LEN(ReferenceData!$G$4),"",ReferenceData!$G$4),"")</f>
        <v>95.426039799999998</v>
      </c>
      <c r="H4">
        <f ca="1">IFERROR(IF(0=LEN(ReferenceData!$H$4),"",ReferenceData!$H$4),"")</f>
        <v>95.178818579999998</v>
      </c>
      <c r="I4">
        <f ca="1">IFERROR(IF(0=LEN(ReferenceData!$I$4),"",ReferenceData!$I$4),"")</f>
        <v>95.383843519999999</v>
      </c>
      <c r="J4">
        <f ca="1">IFERROR(IF(0=LEN(ReferenceData!$J$4),"",ReferenceData!$J$4),"")</f>
        <v>96.122713160000004</v>
      </c>
      <c r="K4">
        <f ca="1">IFERROR(IF(0=LEN(ReferenceData!$K$4),"",ReferenceData!$K$4),"")</f>
        <v>95.874294340000006</v>
      </c>
      <c r="L4">
        <f ca="1">IFERROR(IF(0=LEN(ReferenceData!$L$4),"",ReferenceData!$L$4),"")</f>
        <v>95.814612740000001</v>
      </c>
      <c r="M4">
        <f ca="1">IFERROR(IF(0=LEN(ReferenceData!$M$4),"",ReferenceData!$M$4),"")</f>
        <v>95.667681810000005</v>
      </c>
      <c r="N4">
        <f ca="1">IFERROR(IF(0=LEN(ReferenceData!$N$4),"",ReferenceData!$N$4),"")</f>
        <v>95.965453440000005</v>
      </c>
      <c r="O4">
        <f ca="1">IFERROR(IF(0=LEN(ReferenceData!$O$4),"",ReferenceData!$O$4),"")</f>
        <v>95.735079279999994</v>
      </c>
      <c r="P4">
        <f ca="1">IFERROR(IF(0=LEN(ReferenceData!$P$4),"",ReferenceData!$P$4),"")</f>
        <v>95.301366060000007</v>
      </c>
      <c r="Q4">
        <f ca="1">IFERROR(IF(0=LEN(ReferenceData!$Q$4),"",ReferenceData!$Q$4),"")</f>
        <v>95.526291689999994</v>
      </c>
      <c r="R4">
        <f ca="1">IFERROR(IF(0=LEN(ReferenceData!$R$4),"",ReferenceData!$R$4),"")</f>
        <v>96.339548519999994</v>
      </c>
      <c r="S4">
        <f ca="1">IFERROR(IF(0=LEN(ReferenceData!$S$4),"",ReferenceData!$S$4),"")</f>
        <v>95.903189260000005</v>
      </c>
      <c r="T4">
        <f ca="1">IFERROR(IF(0=LEN(ReferenceData!$T$4),"",ReferenceData!$T$4),"")</f>
        <v>95.66214076</v>
      </c>
      <c r="U4">
        <f ca="1">IFERROR(IF(0=LEN(ReferenceData!$U$4),"",ReferenceData!$U$4),"")</f>
        <v>95.54289378</v>
      </c>
      <c r="V4">
        <f ca="1">IFERROR(IF(0=LEN(ReferenceData!$V$4),"",ReferenceData!$V$4),"")</f>
        <v>95.556497329999999</v>
      </c>
      <c r="W4">
        <f ca="1">IFERROR(IF(0=LEN(ReferenceData!$W$4),"",ReferenceData!$W$4),"")</f>
        <v>95.663597929999995</v>
      </c>
      <c r="X4">
        <f ca="1">IFERROR(IF(0=LEN(ReferenceData!$X$4),"",ReferenceData!$X$4),"")</f>
        <v>95.234216750000002</v>
      </c>
      <c r="Y4">
        <f ca="1">IFERROR(IF(0=LEN(ReferenceData!$Y$4),"",ReferenceData!$Y$4),"")</f>
        <v>94.506528360000004</v>
      </c>
      <c r="Z4">
        <f ca="1">IFERROR(IF(0=LEN(ReferenceData!$Z$4),"",ReferenceData!$Z$4),"")</f>
        <v>94.772415780000003</v>
      </c>
      <c r="AA4">
        <f ca="1">IFERROR(IF(0=LEN(ReferenceData!$AA$4),"",ReferenceData!$AA$4),"")</f>
        <v>94.302747120000006</v>
      </c>
      <c r="AB4">
        <f ca="1">IFERROR(IF(0=LEN(ReferenceData!$AB$4),"",ReferenceData!$AB$4),"")</f>
        <v>93.305031049999997</v>
      </c>
      <c r="AC4">
        <f ca="1">IFERROR(IF(0=LEN(ReferenceData!$AC$4),"",ReferenceData!$AC$4),"")</f>
        <v>92.962049199999996</v>
      </c>
      <c r="AD4">
        <f ca="1">IFERROR(IF(0=LEN(ReferenceData!$AD$4),"",ReferenceData!$AD$4),"")</f>
        <v>93.664397070000007</v>
      </c>
      <c r="AE4">
        <f ca="1">IFERROR(IF(0=LEN(ReferenceData!$AE$4),"",ReferenceData!$AE$4),"")</f>
        <v>92.572086290000001</v>
      </c>
      <c r="AF4">
        <f ca="1">IFERROR(IF(0=LEN(ReferenceData!$AF$4),"",ReferenceData!$AF$4),"")</f>
        <v>92.227880929999998</v>
      </c>
      <c r="AG4">
        <f ca="1">IFERROR(IF(0=LEN(ReferenceData!$AG$4),"",ReferenceData!$AG$4),"")</f>
        <v>92.189961940000003</v>
      </c>
      <c r="AH4">
        <f ca="1">IFERROR(IF(0=LEN(ReferenceData!$AH$4),"",ReferenceData!$AH$4),"")</f>
        <v>92.831580410000001</v>
      </c>
      <c r="AI4">
        <f ca="1">IFERROR(IF(0=LEN(ReferenceData!$AI$4),"",ReferenceData!$AI$4),"")</f>
        <v>92.265501099999994</v>
      </c>
      <c r="AJ4">
        <f ca="1">IFERROR(IF(0=LEN(ReferenceData!$AJ$4),"",ReferenceData!$AJ$4),"")</f>
        <v>91.650697219999998</v>
      </c>
      <c r="AK4">
        <f ca="1">IFERROR(IF(0=LEN(ReferenceData!$AK$4),"",ReferenceData!$AK$4),"")</f>
        <v>91.460100359999998</v>
      </c>
      <c r="AL4">
        <f ca="1">IFERROR(IF(0=LEN(ReferenceData!$AL$4),"",ReferenceData!$AL$4),"")</f>
        <v>91.817056350000001</v>
      </c>
      <c r="AM4">
        <f ca="1">IFERROR(IF(0=LEN(ReferenceData!$AM$4),"",ReferenceData!$AM$4),"")</f>
        <v>91.595716429999996</v>
      </c>
      <c r="AN4">
        <f ca="1">IFERROR(IF(0=LEN(ReferenceData!$AN$4),"",ReferenceData!$AN$4),"")</f>
        <v>91.293292579999999</v>
      </c>
      <c r="AO4">
        <f ca="1">IFERROR(IF(0=LEN(ReferenceData!$AO$4),"",ReferenceData!$AO$4),"")</f>
        <v>91.414189870000001</v>
      </c>
      <c r="AP4">
        <f ca="1">IFERROR(IF(0=LEN(ReferenceData!$AP$4),"",ReferenceData!$AP$4),"")</f>
        <v>92.99626524</v>
      </c>
      <c r="AQ4">
        <f ca="1">IFERROR(IF(0=LEN(ReferenceData!$AQ$4),"",ReferenceData!$AQ$4),"")</f>
        <v>93.328640980000003</v>
      </c>
      <c r="AR4">
        <f ca="1">IFERROR(IF(0=LEN(ReferenceData!$AR$4),"",ReferenceData!$AR$4),"")</f>
        <v>93.553881649999994</v>
      </c>
      <c r="AS4">
        <f ca="1">IFERROR(IF(0=LEN(ReferenceData!$AS$4),"",ReferenceData!$AS$4),"")</f>
        <v>93.440123319999998</v>
      </c>
      <c r="AT4">
        <f ca="1">IFERROR(IF(0=LEN(ReferenceData!$AT$4),"",ReferenceData!$AT$4),"")</f>
        <v>94.609185190000005</v>
      </c>
      <c r="AU4">
        <f ca="1">IFERROR(IF(0=LEN(ReferenceData!$AU$4),"",ReferenceData!$AU$4),"")</f>
        <v>94.0372792</v>
      </c>
      <c r="AV4">
        <f ca="1">IFERROR(IF(0=LEN(ReferenceData!$AV$4),"",ReferenceData!$AV$4),"")</f>
        <v>93.999389230000006</v>
      </c>
      <c r="AW4">
        <f ca="1">IFERROR(IF(0=LEN(ReferenceData!$AW$4),"",ReferenceData!$AW$4),"")</f>
        <v>93.855647219999994</v>
      </c>
      <c r="AX4">
        <f ca="1">IFERROR(IF(0=LEN(ReferenceData!$AX$4),"",ReferenceData!$AX$4),"")</f>
        <v>94.555984449999997</v>
      </c>
      <c r="AY4">
        <f ca="1">IFERROR(IF(0=LEN(ReferenceData!$AY$4),"",ReferenceData!$AY$4),"")</f>
        <v>93.657158240000001</v>
      </c>
      <c r="AZ4">
        <f ca="1">IFERROR(IF(0=LEN(ReferenceData!$AZ$4),"",ReferenceData!$AZ$4),"")</f>
        <v>93.000856959999993</v>
      </c>
      <c r="BA4">
        <f ca="1">IFERROR(IF(0=LEN(ReferenceData!$BA$4),"",ReferenceData!$BA$4),"")</f>
        <v>93.055642090000006</v>
      </c>
      <c r="BB4">
        <f ca="1">IFERROR(IF(0=LEN(ReferenceData!$BB$4),"",ReferenceData!$BB$4),"")</f>
        <v>94.495120099999994</v>
      </c>
      <c r="BC4">
        <f ca="1">IFERROR(IF(0=LEN(ReferenceData!$BC$4),"",ReferenceData!$BC$4),"")</f>
        <v>93.43043772</v>
      </c>
      <c r="BD4">
        <f ca="1">IFERROR(IF(0=LEN(ReferenceData!$BD$4),"",ReferenceData!$BD$4),"")</f>
        <v>92.650271520000004</v>
      </c>
      <c r="BE4">
        <f ca="1">IFERROR(IF(0=LEN(ReferenceData!$BE$4),"",ReferenceData!$BE$4),"")</f>
        <v>92.257705680000001</v>
      </c>
      <c r="BF4">
        <f ca="1">IFERROR(IF(0=LEN(ReferenceData!$BF$4),"",ReferenceData!$BF$4),"")</f>
        <v>93.792983199999995</v>
      </c>
      <c r="BG4">
        <f ca="1">IFERROR(IF(0=LEN(ReferenceData!$BG$4),"",ReferenceData!$BG$4),"")</f>
        <v>92.675318369999999</v>
      </c>
      <c r="BH4">
        <f ca="1">IFERROR(IF(0=LEN(ReferenceData!$BH$4),"",ReferenceData!$BH$4),"")</f>
        <v>92.301376419999997</v>
      </c>
      <c r="BI4">
        <f ca="1">IFERROR(IF(0=LEN(ReferenceData!$BI$4),"",ReferenceData!$BI$4),"")</f>
        <v>91.879332509999998</v>
      </c>
      <c r="BJ4">
        <f ca="1">IFERROR(IF(0=LEN(ReferenceData!$BJ$4),"",ReferenceData!$BJ$4),"")</f>
        <v>93.369280110000005</v>
      </c>
      <c r="BK4">
        <f ca="1">IFERROR(IF(0=LEN(ReferenceData!$BK$4),"",ReferenceData!$BK$4),"")</f>
        <v>92.131637339999997</v>
      </c>
      <c r="BL4">
        <f ca="1">IFERROR(IF(0=LEN(ReferenceData!$BL$4),"",ReferenceData!$BL$4),"")</f>
        <v>92.066426120000003</v>
      </c>
      <c r="BM4">
        <f ca="1">IFERROR(IF(0=LEN(ReferenceData!$BM$4),"",ReferenceData!$BM$4),"")</f>
        <v>92.096786960000003</v>
      </c>
    </row>
    <row r="5" spans="1:65">
      <c r="A5" t="str">
        <f>IFERROR(IF(0=LEN(ReferenceData!$A$5),"",ReferenceData!$A$5),"")</f>
        <v xml:space="preserve">    零售业房地产投资信托同店净营业利润增长</v>
      </c>
      <c r="B5" t="str">
        <f>IFERROR(IF(0=LEN(ReferenceData!$B$5),"",ReferenceData!$B$5),"")</f>
        <v>RECFSSRT Index</v>
      </c>
      <c r="C5" t="str">
        <f>IFERROR(IF(0=LEN(ReferenceData!$C$5),"",ReferenceData!$C$5),"")</f>
        <v>PR005</v>
      </c>
      <c r="D5" t="str">
        <f>IFERROR(IF(0=LEN(ReferenceData!$D$5),"",ReferenceData!$D$5),"")</f>
        <v>PX_LAST</v>
      </c>
      <c r="E5" t="str">
        <f>IFERROR(IF(0=LEN(ReferenceData!$E$5),"",ReferenceData!$E$5),"")</f>
        <v>动态</v>
      </c>
      <c r="F5">
        <f ca="1">IFERROR(IF(0=LEN(ReferenceData!$F$5),"",ReferenceData!$F$5),"")</f>
        <v>1.4449237239999999</v>
      </c>
      <c r="G5">
        <f ca="1">IFERROR(IF(0=LEN(ReferenceData!$G$5),"",ReferenceData!$G$5),"")</f>
        <v>1.752543695</v>
      </c>
      <c r="H5">
        <f ca="1">IFERROR(IF(0=LEN(ReferenceData!$H$5),"",ReferenceData!$H$5),"")</f>
        <v>2.30663141</v>
      </c>
      <c r="I5">
        <f ca="1">IFERROR(IF(0=LEN(ReferenceData!$I$5),"",ReferenceData!$I$5),"")</f>
        <v>2.5844137030000001</v>
      </c>
      <c r="J5">
        <f ca="1">IFERROR(IF(0=LEN(ReferenceData!$J$5),"",ReferenceData!$J$5),"")</f>
        <v>3.0597791230000002</v>
      </c>
      <c r="K5">
        <f ca="1">IFERROR(IF(0=LEN(ReferenceData!$K$5),"",ReferenceData!$K$5),"")</f>
        <v>2.7756256029999999</v>
      </c>
      <c r="L5">
        <f ca="1">IFERROR(IF(0=LEN(ReferenceData!$L$5),"",ReferenceData!$L$5),"")</f>
        <v>3.6629825469999999</v>
      </c>
      <c r="M5">
        <f ca="1">IFERROR(IF(0=LEN(ReferenceData!$M$5),"",ReferenceData!$M$5),"")</f>
        <v>4.319163219</v>
      </c>
      <c r="N5">
        <f ca="1">IFERROR(IF(0=LEN(ReferenceData!$N$5),"",ReferenceData!$N$5),"")</f>
        <v>3.6255916199999998</v>
      </c>
      <c r="O5">
        <f ca="1">IFERROR(IF(0=LEN(ReferenceData!$O$5),"",ReferenceData!$O$5),"")</f>
        <v>3.780663375</v>
      </c>
      <c r="P5">
        <f ca="1">IFERROR(IF(0=LEN(ReferenceData!$P$5),"",ReferenceData!$P$5),"")</f>
        <v>3.2090535180000002</v>
      </c>
      <c r="Q5">
        <f ca="1">IFERROR(IF(0=LEN(ReferenceData!$Q$5),"",ReferenceData!$Q$5),"")</f>
        <v>3.3394780050000001</v>
      </c>
      <c r="R5">
        <f ca="1">IFERROR(IF(0=LEN(ReferenceData!$R$5),"",ReferenceData!$R$5),"")</f>
        <v>3.5194505650000001</v>
      </c>
      <c r="S5">
        <f ca="1">IFERROR(IF(0=LEN(ReferenceData!$S$5),"",ReferenceData!$S$5),"")</f>
        <v>4.3071235510000001</v>
      </c>
      <c r="T5">
        <f ca="1">IFERROR(IF(0=LEN(ReferenceData!$T$5),"",ReferenceData!$T$5),"")</f>
        <v>4.3644086619999998</v>
      </c>
      <c r="U5">
        <f ca="1">IFERROR(IF(0=LEN(ReferenceData!$U$5),"",ReferenceData!$U$5),"")</f>
        <v>3.319382251</v>
      </c>
      <c r="V5">
        <f ca="1">IFERROR(IF(0=LEN(ReferenceData!$V$5),"",ReferenceData!$V$5),"")</f>
        <v>4.3769789650000002</v>
      </c>
      <c r="W5">
        <f ca="1">IFERROR(IF(0=LEN(ReferenceData!$W$5),"",ReferenceData!$W$5),"")</f>
        <v>4.2337802629999999</v>
      </c>
      <c r="X5">
        <f ca="1">IFERROR(IF(0=LEN(ReferenceData!$X$5),"",ReferenceData!$X$5),"")</f>
        <v>4.7639184849999996</v>
      </c>
      <c r="Y5">
        <f ca="1">IFERROR(IF(0=LEN(ReferenceData!$Y$5),"",ReferenceData!$Y$5),"")</f>
        <v>4.1223311699999998</v>
      </c>
      <c r="Z5">
        <f ca="1">IFERROR(IF(0=LEN(ReferenceData!$Z$5),"",ReferenceData!$Z$5),"")</f>
        <v>3.4772871429999999</v>
      </c>
      <c r="AA5">
        <f ca="1">IFERROR(IF(0=LEN(ReferenceData!$AA$5),"",ReferenceData!$AA$5),"")</f>
        <v>3.4854259129999998</v>
      </c>
      <c r="AB5">
        <f ca="1">IFERROR(IF(0=LEN(ReferenceData!$AB$5),"",ReferenceData!$AB$5),"")</f>
        <v>4.1657154170000004</v>
      </c>
      <c r="AC5">
        <f ca="1">IFERROR(IF(0=LEN(ReferenceData!$AC$5),"",ReferenceData!$AC$5),"")</f>
        <v>4.2113566579999997</v>
      </c>
      <c r="AD5">
        <f ca="1">IFERROR(IF(0=LEN(ReferenceData!$AD$5),"",ReferenceData!$AD$5),"")</f>
        <v>2.3795707570000002</v>
      </c>
      <c r="AE5">
        <f ca="1">IFERROR(IF(0=LEN(ReferenceData!$AE$5),"",ReferenceData!$AE$5),"")</f>
        <v>3.4137804570000001</v>
      </c>
      <c r="AF5">
        <f ca="1">IFERROR(IF(0=LEN(ReferenceData!$AF$5),"",ReferenceData!$AF$5),"")</f>
        <v>2.6023762210000001</v>
      </c>
      <c r="AG5">
        <f ca="1">IFERROR(IF(0=LEN(ReferenceData!$AG$5),"",ReferenceData!$AG$5),"")</f>
        <v>1.589813575</v>
      </c>
      <c r="AH5">
        <f ca="1">IFERROR(IF(0=LEN(ReferenceData!$AH$5),"",ReferenceData!$AH$5),"")</f>
        <v>2.948481761</v>
      </c>
      <c r="AI5">
        <f ca="1">IFERROR(IF(0=LEN(ReferenceData!$AI$5),"",ReferenceData!$AI$5),"")</f>
        <v>1.216903262</v>
      </c>
      <c r="AJ5">
        <f ca="1">IFERROR(IF(0=LEN(ReferenceData!$AJ$5),"",ReferenceData!$AJ$5),"")</f>
        <v>0.55776144900000002</v>
      </c>
      <c r="AK5">
        <f ca="1">IFERROR(IF(0=LEN(ReferenceData!$AK$5),"",ReferenceData!$AK$5),"")</f>
        <v>0.21366911399999999</v>
      </c>
      <c r="AL5">
        <f ca="1">IFERROR(IF(0=LEN(ReferenceData!$AL$5),"",ReferenceData!$AL$5),"")</f>
        <v>-0.77741539599999998</v>
      </c>
      <c r="AM5">
        <f ca="1">IFERROR(IF(0=LEN(ReferenceData!$AM$5),"",ReferenceData!$AM$5),"")</f>
        <v>-1.576363534</v>
      </c>
      <c r="AN5">
        <f ca="1">IFERROR(IF(0=LEN(ReferenceData!$AN$5),"",ReferenceData!$AN$5),"")</f>
        <v>-1.6646313429999999</v>
      </c>
      <c r="AO5">
        <f ca="1">IFERROR(IF(0=LEN(ReferenceData!$AO$5),"",ReferenceData!$AO$5),"")</f>
        <v>0.445168444</v>
      </c>
      <c r="AP5">
        <f ca="1">IFERROR(IF(0=LEN(ReferenceData!$AP$5),"",ReferenceData!$AP$5),"")</f>
        <v>1.109212104</v>
      </c>
      <c r="AQ5">
        <f ca="1">IFERROR(IF(0=LEN(ReferenceData!$AQ$5),"",ReferenceData!$AQ$5),"")</f>
        <v>1.188942876</v>
      </c>
      <c r="AR5">
        <f ca="1">IFERROR(IF(0=LEN(ReferenceData!$AR$5),"",ReferenceData!$AR$5),"")</f>
        <v>3.21670816</v>
      </c>
      <c r="AS5">
        <f ca="1">IFERROR(IF(0=LEN(ReferenceData!$AS$5),"",ReferenceData!$AS$5),"")</f>
        <v>3.193604954</v>
      </c>
      <c r="AT5">
        <f ca="1">IFERROR(IF(0=LEN(ReferenceData!$AT$5),"",ReferenceData!$AT$5),"")</f>
        <v>4.7776030020000002</v>
      </c>
      <c r="AU5">
        <f ca="1">IFERROR(IF(0=LEN(ReferenceData!$AU$5),"",ReferenceData!$AU$5),"")</f>
        <v>4.8769748100000001</v>
      </c>
      <c r="AV5">
        <f ca="1">IFERROR(IF(0=LEN(ReferenceData!$AV$5),"",ReferenceData!$AV$5),"")</f>
        <v>3.2102229439999999</v>
      </c>
      <c r="AW5">
        <f ca="1">IFERROR(IF(0=LEN(ReferenceData!$AW$5),"",ReferenceData!$AW$5),"")</f>
        <v>1.7625836859999999</v>
      </c>
      <c r="AX5">
        <f ca="1">IFERROR(IF(0=LEN(ReferenceData!$AX$5),"",ReferenceData!$AX$5),"")</f>
        <v>5.3436708020000001</v>
      </c>
      <c r="AY5">
        <f ca="1">IFERROR(IF(0=LEN(ReferenceData!$AY$5),"",ReferenceData!$AY$5),"")</f>
        <v>3.1907658759999999</v>
      </c>
      <c r="AZ5">
        <f ca="1">IFERROR(IF(0=LEN(ReferenceData!$AZ$5),"",ReferenceData!$AZ$5),"")</f>
        <v>4.0709357600000002</v>
      </c>
      <c r="BA5">
        <f ca="1">IFERROR(IF(0=LEN(ReferenceData!$BA$5),"",ReferenceData!$BA$5),"")</f>
        <v>5.5734294259999997</v>
      </c>
      <c r="BB5">
        <f ca="1">IFERROR(IF(0=LEN(ReferenceData!$BB$5),"",ReferenceData!$BB$5),"")</f>
        <v>3.4763167720000001</v>
      </c>
      <c r="BC5">
        <f ca="1">IFERROR(IF(0=LEN(ReferenceData!$BC$5),"",ReferenceData!$BC$5),"")</f>
        <v>3.817675774</v>
      </c>
      <c r="BD5">
        <f ca="1">IFERROR(IF(0=LEN(ReferenceData!$BD$5),"",ReferenceData!$BD$5),"")</f>
        <v>4.1182799829999999</v>
      </c>
      <c r="BE5">
        <f ca="1">IFERROR(IF(0=LEN(ReferenceData!$BE$5),"",ReferenceData!$BE$5),"")</f>
        <v>3.7378570390000001</v>
      </c>
      <c r="BF5">
        <f ca="1">IFERROR(IF(0=LEN(ReferenceData!$BF$5),"",ReferenceData!$BF$5),"")</f>
        <v>3.4268802310000002</v>
      </c>
      <c r="BG5">
        <f ca="1">IFERROR(IF(0=LEN(ReferenceData!$BG$5),"",ReferenceData!$BG$5),"")</f>
        <v>2.7996816600000001</v>
      </c>
      <c r="BH5">
        <f ca="1">IFERROR(IF(0=LEN(ReferenceData!$BH$5),"",ReferenceData!$BH$5),"")</f>
        <v>2.2133062469999998</v>
      </c>
      <c r="BI5">
        <f ca="1">IFERROR(IF(0=LEN(ReferenceData!$BI$5),"",ReferenceData!$BI$5),"")</f>
        <v>2.2130026790000001</v>
      </c>
      <c r="BJ5">
        <f ca="1">IFERROR(IF(0=LEN(ReferenceData!$BJ$5),"",ReferenceData!$BJ$5),"")</f>
        <v>1.8902457429999999</v>
      </c>
      <c r="BK5">
        <f ca="1">IFERROR(IF(0=LEN(ReferenceData!$BK$5),"",ReferenceData!$BK$5),"")</f>
        <v>1.623434848</v>
      </c>
      <c r="BL5">
        <f ca="1">IFERROR(IF(0=LEN(ReferenceData!$BL$5),"",ReferenceData!$BL$5),"")</f>
        <v>2.1945651509999999</v>
      </c>
      <c r="BM5">
        <f ca="1">IFERROR(IF(0=LEN(ReferenceData!$BM$5),"",ReferenceData!$BM$5),"")</f>
        <v>1.8718136160000001</v>
      </c>
    </row>
    <row r="6" spans="1:65">
      <c r="A6" t="str">
        <f>IFERROR(IF(0=LEN(ReferenceData!$A$6),"",ReferenceData!$A$6),"")</f>
        <v xml:space="preserve">    零售业房地产投资信托总营运现金流</v>
      </c>
      <c r="B6" t="str">
        <f>IFERROR(IF(0=LEN(ReferenceData!$B$6),"",ReferenceData!$B$6),"")</f>
        <v>RECFFORT Index</v>
      </c>
      <c r="C6" t="str">
        <f>IFERROR(IF(0=LEN(ReferenceData!$C$6),"",ReferenceData!$C$6),"")</f>
        <v>PR005</v>
      </c>
      <c r="D6" t="str">
        <f>IFERROR(IF(0=LEN(ReferenceData!$D$6),"",ReferenceData!$D$6),"")</f>
        <v>PX_LAST</v>
      </c>
      <c r="E6" t="str">
        <f>IFERROR(IF(0=LEN(ReferenceData!$E$6),"",ReferenceData!$E$6),"")</f>
        <v>动态</v>
      </c>
      <c r="F6">
        <f ca="1">IFERROR(IF(0=LEN(ReferenceData!$F$6),"",ReferenceData!$F$6),"")</f>
        <v>3576.972487</v>
      </c>
      <c r="G6">
        <f ca="1">IFERROR(IF(0=LEN(ReferenceData!$G$6),"",ReferenceData!$G$6),"")</f>
        <v>3383.7130000000002</v>
      </c>
      <c r="H6">
        <f ca="1">IFERROR(IF(0=LEN(ReferenceData!$H$6),"",ReferenceData!$H$6),"")</f>
        <v>3374.9490000000001</v>
      </c>
      <c r="I6">
        <f ca="1">IFERROR(IF(0=LEN(ReferenceData!$I$6),"",ReferenceData!$I$6),"")</f>
        <v>3139.335</v>
      </c>
      <c r="J6">
        <f ca="1">IFERROR(IF(0=LEN(ReferenceData!$J$6),"",ReferenceData!$J$6),"")</f>
        <v>3542.9380000000001</v>
      </c>
      <c r="K6">
        <f ca="1">IFERROR(IF(0=LEN(ReferenceData!$K$6),"",ReferenceData!$K$6),"")</f>
        <v>3197.6930000000002</v>
      </c>
      <c r="L6">
        <f ca="1">IFERROR(IF(0=LEN(ReferenceData!$L$6),"",ReferenceData!$L$6),"")</f>
        <v>3368.18</v>
      </c>
      <c r="M6">
        <f ca="1">IFERROR(IF(0=LEN(ReferenceData!$M$6),"",ReferenceData!$M$6),"")</f>
        <v>3302.06</v>
      </c>
      <c r="N6">
        <f ca="1">IFERROR(IF(0=LEN(ReferenceData!$N$6),"",ReferenceData!$N$6),"")</f>
        <v>3317.5169999999998</v>
      </c>
      <c r="O6">
        <f ca="1">IFERROR(IF(0=LEN(ReferenceData!$O$6),"",ReferenceData!$O$6),"")</f>
        <v>3198.5050000000001</v>
      </c>
      <c r="P6">
        <f ca="1">IFERROR(IF(0=LEN(ReferenceData!$P$6),"",ReferenceData!$P$6),"")</f>
        <v>3150.7959999999998</v>
      </c>
      <c r="Q6">
        <f ca="1">IFERROR(IF(0=LEN(ReferenceData!$Q$6),"",ReferenceData!$Q$6),"")</f>
        <v>2955.1849999999999</v>
      </c>
      <c r="R6">
        <f ca="1">IFERROR(IF(0=LEN(ReferenceData!$R$6),"",ReferenceData!$R$6),"")</f>
        <v>2989.8829999999998</v>
      </c>
      <c r="S6">
        <f ca="1">IFERROR(IF(0=LEN(ReferenceData!$S$6),"",ReferenceData!$S$6),"")</f>
        <v>2941.0059999999999</v>
      </c>
      <c r="T6">
        <f ca="1">IFERROR(IF(0=LEN(ReferenceData!$T$6),"",ReferenceData!$T$6),"")</f>
        <v>2748.913</v>
      </c>
      <c r="U6">
        <f ca="1">IFERROR(IF(0=LEN(ReferenceData!$U$6),"",ReferenceData!$U$6),"")</f>
        <v>2636.0740000000001</v>
      </c>
      <c r="V6">
        <f ca="1">IFERROR(IF(0=LEN(ReferenceData!$V$6),"",ReferenceData!$V$6),"")</f>
        <v>2660.4670000000001</v>
      </c>
      <c r="W6">
        <f ca="1">IFERROR(IF(0=LEN(ReferenceData!$W$6),"",ReferenceData!$W$6),"")</f>
        <v>2496.8330000000001</v>
      </c>
      <c r="X6">
        <f ca="1">IFERROR(IF(0=LEN(ReferenceData!$X$6),"",ReferenceData!$X$6),"")</f>
        <v>2309.4059999999999</v>
      </c>
      <c r="Y6">
        <f ca="1">IFERROR(IF(0=LEN(ReferenceData!$Y$6),"",ReferenceData!$Y$6),"")</f>
        <v>2055.2260000000001</v>
      </c>
      <c r="Z6">
        <f ca="1">IFERROR(IF(0=LEN(ReferenceData!$Z$6),"",ReferenceData!$Z$6),"")</f>
        <v>2267.498</v>
      </c>
      <c r="AA6">
        <f ca="1">IFERROR(IF(0=LEN(ReferenceData!$AA$6),"",ReferenceData!$AA$6),"")</f>
        <v>1960.855</v>
      </c>
      <c r="AB6">
        <f ca="1">IFERROR(IF(0=LEN(ReferenceData!$AB$6),"",ReferenceData!$AB$6),"")</f>
        <v>2034.4549999999999</v>
      </c>
      <c r="AC6">
        <f ca="1">IFERROR(IF(0=LEN(ReferenceData!$AC$6),"",ReferenceData!$AC$6),"")</f>
        <v>1695.2180000000001</v>
      </c>
      <c r="AD6">
        <f ca="1">IFERROR(IF(0=LEN(ReferenceData!$AD$6),"",ReferenceData!$AD$6),"")</f>
        <v>1775.2719999999999</v>
      </c>
      <c r="AE6">
        <f ca="1">IFERROR(IF(0=LEN(ReferenceData!$AE$6),"",ReferenceData!$AE$6),"")</f>
        <v>2045.683</v>
      </c>
      <c r="AF6">
        <f ca="1">IFERROR(IF(0=LEN(ReferenceData!$AF$6),"",ReferenceData!$AF$6),"")</f>
        <v>1543.13</v>
      </c>
      <c r="AG6">
        <f ca="1">IFERROR(IF(0=LEN(ReferenceData!$AG$6),"",ReferenceData!$AG$6),"")</f>
        <v>1844.028</v>
      </c>
      <c r="AH6">
        <f ca="1">IFERROR(IF(0=LEN(ReferenceData!$AH$6),"",ReferenceData!$AH$6),"")</f>
        <v>1722.2070000000001</v>
      </c>
      <c r="AI6">
        <f ca="1">IFERROR(IF(0=LEN(ReferenceData!$AI$6),"",ReferenceData!$AI$6),"")</f>
        <v>1113.327</v>
      </c>
      <c r="AJ6">
        <f ca="1">IFERROR(IF(0=LEN(ReferenceData!$AJ$6),"",ReferenceData!$AJ$6),"")</f>
        <v>1174.8710000000001</v>
      </c>
      <c r="AK6">
        <f ca="1">IFERROR(IF(0=LEN(ReferenceData!$AK$6),"",ReferenceData!$AK$6),"")</f>
        <v>1122.105</v>
      </c>
      <c r="AL6">
        <f ca="1">IFERROR(IF(0=LEN(ReferenceData!$AL$6),"",ReferenceData!$AL$6),"")</f>
        <v>1275.0070000000001</v>
      </c>
      <c r="AM6">
        <f ca="1">IFERROR(IF(0=LEN(ReferenceData!$AM$6),"",ReferenceData!$AM$6),"")</f>
        <v>1006.479</v>
      </c>
      <c r="AN6">
        <f ca="1">IFERROR(IF(0=LEN(ReferenceData!$AN$6),"",ReferenceData!$AN$6),"")</f>
        <v>747.51199999999994</v>
      </c>
      <c r="AO6">
        <f ca="1">IFERROR(IF(0=LEN(ReferenceData!$AO$6),"",ReferenceData!$AO$6),"")</f>
        <v>1500.453</v>
      </c>
      <c r="AP6">
        <f ca="1">IFERROR(IF(0=LEN(ReferenceData!$AP$6),"",ReferenceData!$AP$6),"")</f>
        <v>1145.566</v>
      </c>
      <c r="AQ6">
        <f ca="1">IFERROR(IF(0=LEN(ReferenceData!$AQ$6),"",ReferenceData!$AQ$6),"")</f>
        <v>1591.287</v>
      </c>
      <c r="AR6">
        <f ca="1">IFERROR(IF(0=LEN(ReferenceData!$AR$6),"",ReferenceData!$AR$6),"")</f>
        <v>1597.3209999999999</v>
      </c>
      <c r="AS6">
        <f ca="1">IFERROR(IF(0=LEN(ReferenceData!$AS$6),"",ReferenceData!$AS$6),"")</f>
        <v>1641.296</v>
      </c>
      <c r="AT6">
        <f ca="1">IFERROR(IF(0=LEN(ReferenceData!$AT$6),"",ReferenceData!$AT$6),"")</f>
        <v>1691.5934999999999</v>
      </c>
      <c r="AU6">
        <f ca="1">IFERROR(IF(0=LEN(ReferenceData!$AU$6),"",ReferenceData!$AU$6),"")</f>
        <v>1651.42</v>
      </c>
      <c r="AV6">
        <f ca="1">IFERROR(IF(0=LEN(ReferenceData!$AV$6),"",ReferenceData!$AV$6),"")</f>
        <v>1667.1569999999999</v>
      </c>
      <c r="AW6">
        <f ca="1">IFERROR(IF(0=LEN(ReferenceData!$AW$6),"",ReferenceData!$AW$6),"")</f>
        <v>1950.114</v>
      </c>
      <c r="AX6">
        <f ca="1">IFERROR(IF(0=LEN(ReferenceData!$AX$6),"",ReferenceData!$AX$6),"")</f>
        <v>1657.3275000000001</v>
      </c>
      <c r="AY6">
        <f ca="1">IFERROR(IF(0=LEN(ReferenceData!$AY$6),"",ReferenceData!$AY$6),"")</f>
        <v>1524.385</v>
      </c>
      <c r="AZ6">
        <f ca="1">IFERROR(IF(0=LEN(ReferenceData!$AZ$6),"",ReferenceData!$AZ$6),"")</f>
        <v>1544.3720000000001</v>
      </c>
      <c r="BA6">
        <f ca="1">IFERROR(IF(0=LEN(ReferenceData!$BA$6),"",ReferenceData!$BA$6),"")</f>
        <v>1606.7139999999999</v>
      </c>
      <c r="BB6">
        <f ca="1">IFERROR(IF(0=LEN(ReferenceData!$BB$6),"",ReferenceData!$BB$6),"")</f>
        <v>1782.963</v>
      </c>
      <c r="BC6">
        <f ca="1">IFERROR(IF(0=LEN(ReferenceData!$BC$6),"",ReferenceData!$BC$6),"")</f>
        <v>1561.1420000000001</v>
      </c>
      <c r="BD6">
        <f ca="1">IFERROR(IF(0=LEN(ReferenceData!$BD$6),"",ReferenceData!$BD$6),"")</f>
        <v>1620.5360000000001</v>
      </c>
      <c r="BE6">
        <f ca="1">IFERROR(IF(0=LEN(ReferenceData!$BE$6),"",ReferenceData!$BE$6),"")</f>
        <v>1604.3679999999999</v>
      </c>
      <c r="BF6">
        <f ca="1">IFERROR(IF(0=LEN(ReferenceData!$BF$6),"",ReferenceData!$BF$6),"")</f>
        <v>1690.319</v>
      </c>
      <c r="BG6">
        <f ca="1">IFERROR(IF(0=LEN(ReferenceData!$BG$6),"",ReferenceData!$BG$6),"")</f>
        <v>1438.249</v>
      </c>
      <c r="BH6">
        <f ca="1">IFERROR(IF(0=LEN(ReferenceData!$BH$6),"",ReferenceData!$BH$6),"")</f>
        <v>1505.829</v>
      </c>
      <c r="BI6">
        <f ca="1">IFERROR(IF(0=LEN(ReferenceData!$BI$6),"",ReferenceData!$BI$6),"")</f>
        <v>1401.547</v>
      </c>
      <c r="BJ6">
        <f ca="1">IFERROR(IF(0=LEN(ReferenceData!$BJ$6),"",ReferenceData!$BJ$6),"")</f>
        <v>1436.8810000000001</v>
      </c>
      <c r="BK6">
        <f ca="1">IFERROR(IF(0=LEN(ReferenceData!$BK$6),"",ReferenceData!$BK$6),"")</f>
        <v>1316.193</v>
      </c>
      <c r="BL6">
        <f ca="1">IFERROR(IF(0=LEN(ReferenceData!$BL$6),"",ReferenceData!$BL$6),"")</f>
        <v>1257.52</v>
      </c>
      <c r="BM6">
        <f ca="1">IFERROR(IF(0=LEN(ReferenceData!$BM$6),"",ReferenceData!$BM$6),"")</f>
        <v>1231.162</v>
      </c>
    </row>
    <row r="7" spans="1:65">
      <c r="A7" t="str">
        <f>IFERROR(IF(0=LEN(ReferenceData!$A$7),"",ReferenceData!$A$7),"")</f>
        <v xml:space="preserve">    零售业房地产投资信托净营业利润</v>
      </c>
      <c r="B7" t="str">
        <f>IFERROR(IF(0=LEN(ReferenceData!$B$7),"",ReferenceData!$B$7),"")</f>
        <v>RECFNORT Index</v>
      </c>
      <c r="C7" t="str">
        <f>IFERROR(IF(0=LEN(ReferenceData!$C$7),"",ReferenceData!$C$7),"")</f>
        <v>PR005</v>
      </c>
      <c r="D7" t="str">
        <f>IFERROR(IF(0=LEN(ReferenceData!$D$7),"",ReferenceData!$D$7),"")</f>
        <v>PX_LAST</v>
      </c>
      <c r="E7" t="str">
        <f>IFERROR(IF(0=LEN(ReferenceData!$E$7),"",ReferenceData!$E$7),"")</f>
        <v>动态</v>
      </c>
      <c r="F7">
        <f ca="1">IFERROR(IF(0=LEN(ReferenceData!$F$7),"",ReferenceData!$F$7),"")</f>
        <v>4445.0337829999999</v>
      </c>
      <c r="G7">
        <f ca="1">IFERROR(IF(0=LEN(ReferenceData!$G$7),"",ReferenceData!$G$7),"")</f>
        <v>4326.7650000000003</v>
      </c>
      <c r="H7">
        <f ca="1">IFERROR(IF(0=LEN(ReferenceData!$H$7),"",ReferenceData!$H$7),"")</f>
        <v>4320.3969999999999</v>
      </c>
      <c r="I7">
        <f ca="1">IFERROR(IF(0=LEN(ReferenceData!$I$7),"",ReferenceData!$I$7),"")</f>
        <v>4246.9740000000002</v>
      </c>
      <c r="J7">
        <f ca="1">IFERROR(IF(0=LEN(ReferenceData!$J$7),"",ReferenceData!$J$7),"")</f>
        <v>4432.598</v>
      </c>
      <c r="K7">
        <f ca="1">IFERROR(IF(0=LEN(ReferenceData!$K$7),"",ReferenceData!$K$7),"")</f>
        <v>4242.9409999999998</v>
      </c>
      <c r="L7">
        <f ca="1">IFERROR(IF(0=LEN(ReferenceData!$L$7),"",ReferenceData!$L$7),"")</f>
        <v>4194.9930000000004</v>
      </c>
      <c r="M7">
        <f ca="1">IFERROR(IF(0=LEN(ReferenceData!$M$7),"",ReferenceData!$M$7),"")</f>
        <v>4233.125</v>
      </c>
      <c r="N7">
        <f ca="1">IFERROR(IF(0=LEN(ReferenceData!$N$7),"",ReferenceData!$N$7),"")</f>
        <v>4427.8180000000002</v>
      </c>
      <c r="O7">
        <f ca="1">IFERROR(IF(0=LEN(ReferenceData!$O$7),"",ReferenceData!$O$7),"")</f>
        <v>4224.6899999999996</v>
      </c>
      <c r="P7">
        <f ca="1">IFERROR(IF(0=LEN(ReferenceData!$P$7),"",ReferenceData!$P$7),"")</f>
        <v>4152.7070000000003</v>
      </c>
      <c r="Q7">
        <f ca="1">IFERROR(IF(0=LEN(ReferenceData!$Q$7),"",ReferenceData!$Q$7),"")</f>
        <v>4417.5330000000004</v>
      </c>
      <c r="R7">
        <f ca="1">IFERROR(IF(0=LEN(ReferenceData!$R$7),"",ReferenceData!$R$7),"")</f>
        <v>4474.1809999999996</v>
      </c>
      <c r="S7">
        <f ca="1">IFERROR(IF(0=LEN(ReferenceData!$S$7),"",ReferenceData!$S$7),"")</f>
        <v>4344.1130000000003</v>
      </c>
      <c r="T7">
        <f ca="1">IFERROR(IF(0=LEN(ReferenceData!$T$7),"",ReferenceData!$T$7),"")</f>
        <v>4169.3559999999998</v>
      </c>
      <c r="U7">
        <f ca="1">IFERROR(IF(0=LEN(ReferenceData!$U$7),"",ReferenceData!$U$7),"")</f>
        <v>4040.0410000000002</v>
      </c>
      <c r="V7">
        <f ca="1">IFERROR(IF(0=LEN(ReferenceData!$V$7),"",ReferenceData!$V$7),"")</f>
        <v>4089.7620000000002</v>
      </c>
      <c r="W7">
        <f ca="1">IFERROR(IF(0=LEN(ReferenceData!$W$7),"",ReferenceData!$W$7),"")</f>
        <v>3671.4140000000002</v>
      </c>
      <c r="X7">
        <f ca="1">IFERROR(IF(0=LEN(ReferenceData!$X$7),"",ReferenceData!$X$7),"")</f>
        <v>3519.2260000000001</v>
      </c>
      <c r="Y7">
        <f ca="1">IFERROR(IF(0=LEN(ReferenceData!$Y$7),"",ReferenceData!$Y$7),"")</f>
        <v>3332.3809999999999</v>
      </c>
      <c r="Z7">
        <f ca="1">IFERROR(IF(0=LEN(ReferenceData!$Z$7),"",ReferenceData!$Z$7),"")</f>
        <v>3360.39</v>
      </c>
      <c r="AA7">
        <f ca="1">IFERROR(IF(0=LEN(ReferenceData!$AA$7),"",ReferenceData!$AA$7),"")</f>
        <v>3175.893</v>
      </c>
      <c r="AB7">
        <f ca="1">IFERROR(IF(0=LEN(ReferenceData!$AB$7),"",ReferenceData!$AB$7),"")</f>
        <v>3044.9659999999999</v>
      </c>
      <c r="AC7">
        <f ca="1">IFERROR(IF(0=LEN(ReferenceData!$AC$7),"",ReferenceData!$AC$7),"")</f>
        <v>2864.7040000000002</v>
      </c>
      <c r="AD7">
        <f ca="1">IFERROR(IF(0=LEN(ReferenceData!$AD$7),"",ReferenceData!$AD$7),"")</f>
        <v>2867.085</v>
      </c>
      <c r="AE7">
        <f ca="1">IFERROR(IF(0=LEN(ReferenceData!$AE$7),"",ReferenceData!$AE$7),"")</f>
        <v>2730.7220000000002</v>
      </c>
      <c r="AF7">
        <f ca="1">IFERROR(IF(0=LEN(ReferenceData!$AF$7),"",ReferenceData!$AF$7),"")</f>
        <v>2655.5659999999998</v>
      </c>
      <c r="AG7">
        <f ca="1">IFERROR(IF(0=LEN(ReferenceData!$AG$7),"",ReferenceData!$AG$7),"")</f>
        <v>2652.8040000000001</v>
      </c>
      <c r="AH7">
        <f ca="1">IFERROR(IF(0=LEN(ReferenceData!$AH$7),"",ReferenceData!$AH$7),"")</f>
        <v>2781.1419999999998</v>
      </c>
      <c r="AI7">
        <f ca="1">IFERROR(IF(0=LEN(ReferenceData!$AI$7),"",ReferenceData!$AI$7),"")</f>
        <v>2122.89</v>
      </c>
      <c r="AJ7">
        <f ca="1">IFERROR(IF(0=LEN(ReferenceData!$AJ$7),"",ReferenceData!$AJ$7),"")</f>
        <v>2076.1849999999999</v>
      </c>
      <c r="AK7">
        <f ca="1">IFERROR(IF(0=LEN(ReferenceData!$AK$7),"",ReferenceData!$AK$7),"")</f>
        <v>2078.0810000000001</v>
      </c>
      <c r="AL7">
        <f ca="1">IFERROR(IF(0=LEN(ReferenceData!$AL$7),"",ReferenceData!$AL$7),"")</f>
        <v>2207.7979999999998</v>
      </c>
      <c r="AM7">
        <f ca="1">IFERROR(IF(0=LEN(ReferenceData!$AM$7),"",ReferenceData!$AM$7),"")</f>
        <v>2072.279</v>
      </c>
      <c r="AN7">
        <f ca="1">IFERROR(IF(0=LEN(ReferenceData!$AN$7),"",ReferenceData!$AN$7),"")</f>
        <v>2057.8319999999999</v>
      </c>
      <c r="AO7">
        <f ca="1">IFERROR(IF(0=LEN(ReferenceData!$AO$7),"",ReferenceData!$AO$7),"")</f>
        <v>2084.19</v>
      </c>
      <c r="AP7">
        <f ca="1">IFERROR(IF(0=LEN(ReferenceData!$AP$7),"",ReferenceData!$AP$7),"")</f>
        <v>2230.9609999999998</v>
      </c>
      <c r="AQ7">
        <f ca="1">IFERROR(IF(0=LEN(ReferenceData!$AQ$7),"",ReferenceData!$AQ$7),"")</f>
        <v>2621.5740000000001</v>
      </c>
      <c r="AR7">
        <f ca="1">IFERROR(IF(0=LEN(ReferenceData!$AR$7),"",ReferenceData!$AR$7),"")</f>
        <v>2636.9389999999999</v>
      </c>
      <c r="AS7">
        <f ca="1">IFERROR(IF(0=LEN(ReferenceData!$AS$7),"",ReferenceData!$AS$7),"")</f>
        <v>2601.2530000000002</v>
      </c>
      <c r="AT7">
        <f ca="1">IFERROR(IF(0=LEN(ReferenceData!$AT$7),"",ReferenceData!$AT$7),"")</f>
        <v>2535.1244999999999</v>
      </c>
      <c r="AU7">
        <f ca="1">IFERROR(IF(0=LEN(ReferenceData!$AU$7),"",ReferenceData!$AU$7),"")</f>
        <v>2582.3890000000001</v>
      </c>
      <c r="AV7">
        <f ca="1">IFERROR(IF(0=LEN(ReferenceData!$AV$7),"",ReferenceData!$AV$7),"")</f>
        <v>2465.2629999999999</v>
      </c>
      <c r="AW7">
        <f ca="1">IFERROR(IF(0=LEN(ReferenceData!$AW$7),"",ReferenceData!$AW$7),"")</f>
        <v>2392.7359999999999</v>
      </c>
      <c r="AX7">
        <f ca="1">IFERROR(IF(0=LEN(ReferenceData!$AX$7),"",ReferenceData!$AX$7),"")</f>
        <v>2700.7919999999999</v>
      </c>
      <c r="AY7">
        <f ca="1">IFERROR(IF(0=LEN(ReferenceData!$AY$7),"",ReferenceData!$AY$7),"")</f>
        <v>2453.163</v>
      </c>
      <c r="AZ7">
        <f ca="1">IFERROR(IF(0=LEN(ReferenceData!$AZ$7),"",ReferenceData!$AZ$7),"")</f>
        <v>2531.0239999999999</v>
      </c>
      <c r="BA7">
        <f ca="1">IFERROR(IF(0=LEN(ReferenceData!$BA$7),"",ReferenceData!$BA$7),"")</f>
        <v>2584.1729999999998</v>
      </c>
      <c r="BB7">
        <f ca="1">IFERROR(IF(0=LEN(ReferenceData!$BB$7),"",ReferenceData!$BB$7),"")</f>
        <v>2693.4630000000002</v>
      </c>
      <c r="BC7">
        <f ca="1">IFERROR(IF(0=LEN(ReferenceData!$BC$7),"",ReferenceData!$BC$7),"")</f>
        <v>2536.5909999999999</v>
      </c>
      <c r="BD7">
        <f ca="1">IFERROR(IF(0=LEN(ReferenceData!$BD$7),"",ReferenceData!$BD$7),"")</f>
        <v>2490.8580000000002</v>
      </c>
      <c r="BE7">
        <f ca="1">IFERROR(IF(0=LEN(ReferenceData!$BE$7),"",ReferenceData!$BE$7),"")</f>
        <v>2439.6779999999999</v>
      </c>
      <c r="BF7">
        <f ca="1">IFERROR(IF(0=LEN(ReferenceData!$BF$7),"",ReferenceData!$BF$7),"")</f>
        <v>2504.0884999999998</v>
      </c>
      <c r="BG7">
        <f ca="1">IFERROR(IF(0=LEN(ReferenceData!$BG$7),"",ReferenceData!$BG$7),"")</f>
        <v>2228.3330000000001</v>
      </c>
      <c r="BH7">
        <f ca="1">IFERROR(IF(0=LEN(ReferenceData!$BH$7),"",ReferenceData!$BH$7),"")</f>
        <v>2190.9929999999999</v>
      </c>
      <c r="BI7">
        <f ca="1">IFERROR(IF(0=LEN(ReferenceData!$BI$7),"",ReferenceData!$BI$7),"")</f>
        <v>2140.299</v>
      </c>
      <c r="BJ7">
        <f ca="1">IFERROR(IF(0=LEN(ReferenceData!$BJ$7),"",ReferenceData!$BJ$7),"")</f>
        <v>2127.73</v>
      </c>
      <c r="BK7">
        <f ca="1">IFERROR(IF(0=LEN(ReferenceData!$BK$7),"",ReferenceData!$BK$7),"")</f>
        <v>1960.912</v>
      </c>
      <c r="BL7">
        <f ca="1">IFERROR(IF(0=LEN(ReferenceData!$BL$7),"",ReferenceData!$BL$7),"")</f>
        <v>1895.431</v>
      </c>
      <c r="BM7">
        <f ca="1">IFERROR(IF(0=LEN(ReferenceData!$BM$7),"",ReferenceData!$BM$7),"")</f>
        <v>1831.0540000000001</v>
      </c>
    </row>
    <row r="8" spans="1:65">
      <c r="A8" t="str">
        <f>IFERROR(IF(0=LEN(ReferenceData!$A$8),"",ReferenceData!$A$8),"")</f>
        <v xml:space="preserve">    零售业房地产投资信托总股利支付</v>
      </c>
      <c r="B8" t="str">
        <f>IFERROR(IF(0=LEN(ReferenceData!$B$8),"",ReferenceData!$B$8),"")</f>
        <v>RECFTDRT Index</v>
      </c>
      <c r="C8" t="str">
        <f>IFERROR(IF(0=LEN(ReferenceData!$C$8),"",ReferenceData!$C$8),"")</f>
        <v>PR005</v>
      </c>
      <c r="D8" t="str">
        <f>IFERROR(IF(0=LEN(ReferenceData!$D$8),"",ReferenceData!$D$8),"")</f>
        <v>PX_LAST</v>
      </c>
      <c r="E8" t="str">
        <f>IFERROR(IF(0=LEN(ReferenceData!$E$8),"",ReferenceData!$E$8),"")</f>
        <v>动态</v>
      </c>
      <c r="F8">
        <f ca="1">IFERROR(IF(0=LEN(ReferenceData!$F$8),"",ReferenceData!$F$8),"")</f>
        <v>2520.6331650000002</v>
      </c>
      <c r="G8">
        <f ca="1">IFERROR(IF(0=LEN(ReferenceData!$G$8),"",ReferenceData!$G$8),"")</f>
        <v>2371.723</v>
      </c>
      <c r="H8">
        <f ca="1">IFERROR(IF(0=LEN(ReferenceData!$H$8),"",ReferenceData!$H$8),"")</f>
        <v>2374.6489999999999</v>
      </c>
      <c r="I8">
        <f ca="1">IFERROR(IF(0=LEN(ReferenceData!$I$8),"",ReferenceData!$I$8),"")</f>
        <v>2558.607</v>
      </c>
      <c r="J8">
        <f ca="1">IFERROR(IF(0=LEN(ReferenceData!$J$8),"",ReferenceData!$J$8),"")</f>
        <v>2286.9140000000002</v>
      </c>
      <c r="K8">
        <f ca="1">IFERROR(IF(0=LEN(ReferenceData!$K$8),"",ReferenceData!$K$8),"")</f>
        <v>2207.2890000000002</v>
      </c>
      <c r="L8">
        <f ca="1">IFERROR(IF(0=LEN(ReferenceData!$L$8),"",ReferenceData!$L$8),"")</f>
        <v>2339.6260000000002</v>
      </c>
      <c r="M8">
        <f ca="1">IFERROR(IF(0=LEN(ReferenceData!$M$8),"",ReferenceData!$M$8),"")</f>
        <v>2592.9229999999998</v>
      </c>
      <c r="N8">
        <f ca="1">IFERROR(IF(0=LEN(ReferenceData!$N$8),"",ReferenceData!$N$8),"")</f>
        <v>2445.4760000000001</v>
      </c>
      <c r="O8">
        <f ca="1">IFERROR(IF(0=LEN(ReferenceData!$O$8),"",ReferenceData!$O$8),"")</f>
        <v>2066.8760000000002</v>
      </c>
      <c r="P8">
        <f ca="1">IFERROR(IF(0=LEN(ReferenceData!$P$8),"",ReferenceData!$P$8),"")</f>
        <v>2120.67</v>
      </c>
      <c r="Q8">
        <f ca="1">IFERROR(IF(0=LEN(ReferenceData!$Q$8),"",ReferenceData!$Q$8),"")</f>
        <v>2060.0680000000002</v>
      </c>
      <c r="R8">
        <f ca="1">IFERROR(IF(0=LEN(ReferenceData!$R$8),"",ReferenceData!$R$8),"")</f>
        <v>2607.4879999999998</v>
      </c>
      <c r="S8">
        <f ca="1">IFERROR(IF(0=LEN(ReferenceData!$S$8),"",ReferenceData!$S$8),"")</f>
        <v>2239.395</v>
      </c>
      <c r="T8">
        <f ca="1">IFERROR(IF(0=LEN(ReferenceData!$T$8),"",ReferenceData!$T$8),"")</f>
        <v>3083.4920000000002</v>
      </c>
      <c r="U8">
        <f ca="1">IFERROR(IF(0=LEN(ReferenceData!$U$8),"",ReferenceData!$U$8),"")</f>
        <v>1966.8630000000001</v>
      </c>
      <c r="V8">
        <f ca="1">IFERROR(IF(0=LEN(ReferenceData!$V$8),"",ReferenceData!$V$8),"")</f>
        <v>1799.4949999999999</v>
      </c>
      <c r="W8">
        <f ca="1">IFERROR(IF(0=LEN(ReferenceData!$W$8),"",ReferenceData!$W$8),"")</f>
        <v>1711.047</v>
      </c>
      <c r="X8">
        <f ca="1">IFERROR(IF(0=LEN(ReferenceData!$X$8),"",ReferenceData!$X$8),"")</f>
        <v>1646.9349999999999</v>
      </c>
      <c r="Y8">
        <f ca="1">IFERROR(IF(0=LEN(ReferenceData!$Y$8),"",ReferenceData!$Y$8),"")</f>
        <v>1495.913</v>
      </c>
      <c r="Z8">
        <f ca="1">IFERROR(IF(0=LEN(ReferenceData!$Z$8),"",ReferenceData!$Z$8),"")</f>
        <v>2111.616</v>
      </c>
      <c r="AA8">
        <f ca="1">IFERROR(IF(0=LEN(ReferenceData!$AA$8),"",ReferenceData!$AA$8),"")</f>
        <v>1396.18</v>
      </c>
      <c r="AB8">
        <f ca="1">IFERROR(IF(0=LEN(ReferenceData!$AB$8),"",ReferenceData!$AB$8),"")</f>
        <v>1355.588</v>
      </c>
      <c r="AC8">
        <f ca="1">IFERROR(IF(0=LEN(ReferenceData!$AC$8),"",ReferenceData!$AC$8),"")</f>
        <v>1250.9000000000001</v>
      </c>
      <c r="AD8">
        <f ca="1">IFERROR(IF(0=LEN(ReferenceData!$AD$8),"",ReferenceData!$AD$8),"")</f>
        <v>1378.9390000000001</v>
      </c>
      <c r="AE8">
        <f ca="1">IFERROR(IF(0=LEN(ReferenceData!$AE$8),"",ReferenceData!$AE$8),"")</f>
        <v>1130.201</v>
      </c>
      <c r="AF8">
        <f ca="1">IFERROR(IF(0=LEN(ReferenceData!$AF$8),"",ReferenceData!$AF$8),"")</f>
        <v>1139.095</v>
      </c>
      <c r="AG8">
        <f ca="1">IFERROR(IF(0=LEN(ReferenceData!$AG$8),"",ReferenceData!$AG$8),"")</f>
        <v>1062.4839999999999</v>
      </c>
      <c r="AH8">
        <f ca="1">IFERROR(IF(0=LEN(ReferenceData!$AH$8),"",ReferenceData!$AH$8),"")</f>
        <v>986.58749999999998</v>
      </c>
      <c r="AI8">
        <f ca="1">IFERROR(IF(0=LEN(ReferenceData!$AI$8),"",ReferenceData!$AI$8),"")</f>
        <v>859.07500000000005</v>
      </c>
      <c r="AJ8">
        <f ca="1">IFERROR(IF(0=LEN(ReferenceData!$AJ$8),"",ReferenceData!$AJ$8),"")</f>
        <v>853.03599999999994</v>
      </c>
      <c r="AK8">
        <f ca="1">IFERROR(IF(0=LEN(ReferenceData!$AK$8),"",ReferenceData!$AK$8),"")</f>
        <v>748.40099999999995</v>
      </c>
      <c r="AL8">
        <f ca="1">IFERROR(IF(0=LEN(ReferenceData!$AL$8),"",ReferenceData!$AL$8),"")</f>
        <v>549.62</v>
      </c>
      <c r="AM8">
        <f ca="1">IFERROR(IF(0=LEN(ReferenceData!$AM$8),"",ReferenceData!$AM$8),"")</f>
        <v>524.63599999999997</v>
      </c>
      <c r="AN8">
        <f ca="1">IFERROR(IF(0=LEN(ReferenceData!$AN$8),"",ReferenceData!$AN$8),"")</f>
        <v>628.28599999999994</v>
      </c>
      <c r="AO8">
        <f ca="1">IFERROR(IF(0=LEN(ReferenceData!$AO$8),"",ReferenceData!$AO$8),"")</f>
        <v>768.06100000000004</v>
      </c>
      <c r="AP8">
        <f ca="1">IFERROR(IF(0=LEN(ReferenceData!$AP$8),"",ReferenceData!$AP$8),"")</f>
        <v>1148.5415</v>
      </c>
      <c r="AQ8">
        <f ca="1">IFERROR(IF(0=LEN(ReferenceData!$AQ$8),"",ReferenceData!$AQ$8),"")</f>
        <v>1267.027</v>
      </c>
      <c r="AR8">
        <f ca="1">IFERROR(IF(0=LEN(ReferenceData!$AR$8),"",ReferenceData!$AR$8),"")</f>
        <v>1269.0840000000001</v>
      </c>
      <c r="AS8">
        <f ca="1">IFERROR(IF(0=LEN(ReferenceData!$AS$8),"",ReferenceData!$AS$8),"")</f>
        <v>1283.221</v>
      </c>
      <c r="AT8">
        <f ca="1">IFERROR(IF(0=LEN(ReferenceData!$AT$8),"",ReferenceData!$AT$8),"")</f>
        <v>1211.0419999999999</v>
      </c>
      <c r="AU8">
        <f ca="1">IFERROR(IF(0=LEN(ReferenceData!$AU$8),"",ReferenceData!$AU$8),"")</f>
        <v>1192.701</v>
      </c>
      <c r="AV8">
        <f ca="1">IFERROR(IF(0=LEN(ReferenceData!$AV$8),"",ReferenceData!$AV$8),"")</f>
        <v>1224.3720000000001</v>
      </c>
      <c r="AW8">
        <f ca="1">IFERROR(IF(0=LEN(ReferenceData!$AW$8),"",ReferenceData!$AW$8),"")</f>
        <v>1165.173</v>
      </c>
      <c r="AX8">
        <f ca="1">IFERROR(IF(0=LEN(ReferenceData!$AX$8),"",ReferenceData!$AX$8),"")</f>
        <v>1163.7650000000001</v>
      </c>
      <c r="AY8">
        <f ca="1">IFERROR(IF(0=LEN(ReferenceData!$AY$8),"",ReferenceData!$AY$8),"")</f>
        <v>1138.6320000000001</v>
      </c>
      <c r="AZ8">
        <f ca="1">IFERROR(IF(0=LEN(ReferenceData!$AZ$8),"",ReferenceData!$AZ$8),"")</f>
        <v>1323.4059999999999</v>
      </c>
      <c r="BA8">
        <f ca="1">IFERROR(IF(0=LEN(ReferenceData!$BA$8),"",ReferenceData!$BA$8),"")</f>
        <v>1207.626</v>
      </c>
      <c r="BB8">
        <f ca="1">IFERROR(IF(0=LEN(ReferenceData!$BB$8),"",ReferenceData!$BB$8),"")</f>
        <v>1170.0425</v>
      </c>
      <c r="BC8">
        <f ca="1">IFERROR(IF(0=LEN(ReferenceData!$BC$8),"",ReferenceData!$BC$8),"")</f>
        <v>1469.374</v>
      </c>
      <c r="BD8">
        <f ca="1">IFERROR(IF(0=LEN(ReferenceData!$BD$8),"",ReferenceData!$BD$8),"")</f>
        <v>1148.2049999999999</v>
      </c>
      <c r="BE8">
        <f ca="1">IFERROR(IF(0=LEN(ReferenceData!$BE$8),"",ReferenceData!$BE$8),"")</f>
        <v>1116.56</v>
      </c>
      <c r="BF8">
        <f ca="1">IFERROR(IF(0=LEN(ReferenceData!$BF$8),"",ReferenceData!$BF$8),"")</f>
        <v>1162.8119999999999</v>
      </c>
      <c r="BG8">
        <f ca="1">IFERROR(IF(0=LEN(ReferenceData!$BG$8),"",ReferenceData!$BG$8),"")</f>
        <v>1050.623</v>
      </c>
      <c r="BH8">
        <f ca="1">IFERROR(IF(0=LEN(ReferenceData!$BH$8),"",ReferenceData!$BH$8),"")</f>
        <v>1084.345</v>
      </c>
      <c r="BI8">
        <f ca="1">IFERROR(IF(0=LEN(ReferenceData!$BI$8),"",ReferenceData!$BI$8),"")</f>
        <v>1019.524</v>
      </c>
      <c r="BJ8">
        <f ca="1">IFERROR(IF(0=LEN(ReferenceData!$BJ$8),"",ReferenceData!$BJ$8),"")</f>
        <v>996.40099999999995</v>
      </c>
      <c r="BK8">
        <f ca="1">IFERROR(IF(0=LEN(ReferenceData!$BK$8),"",ReferenceData!$BK$8),"")</f>
        <v>923.17399999999998</v>
      </c>
      <c r="BL8">
        <f ca="1">IFERROR(IF(0=LEN(ReferenceData!$BL$8),"",ReferenceData!$BL$8),"")</f>
        <v>922.86199999999997</v>
      </c>
      <c r="BM8">
        <f ca="1">IFERROR(IF(0=LEN(ReferenceData!$BM$8),"",ReferenceData!$BM$8),"")</f>
        <v>884.19200000000001</v>
      </c>
    </row>
    <row r="9" spans="1:65">
      <c r="A9" t="str">
        <f>IFERROR(IF(0=LEN(ReferenceData!$A$9),"",ReferenceData!$A$9),"")</f>
        <v>购物中心房地产投资信托数据</v>
      </c>
      <c r="B9" t="str">
        <f>IFERROR(IF(0=LEN(ReferenceData!$B$9),"",ReferenceData!$B$9),"")</f>
        <v/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静态</v>
      </c>
      <c r="F9" t="str">
        <f ca="1">IFERROR(IF(0=LEN(ReferenceData!$F$9),"",ReferenceData!$F$9),"")</f>
        <v/>
      </c>
      <c r="G9" t="str">
        <f ca="1">IFERROR(IF(0=LEN(ReferenceData!$G$9),"",ReferenceData!$G$9),"")</f>
        <v/>
      </c>
      <c r="H9" t="str">
        <f ca="1">IFERROR(IF(0=LEN(ReferenceData!$H$9),"",ReferenceData!$H$9),"")</f>
        <v/>
      </c>
      <c r="I9" t="str">
        <f ca="1">IFERROR(IF(0=LEN(ReferenceData!$I$9),"",ReferenceData!$I$9),"")</f>
        <v/>
      </c>
      <c r="J9" t="str">
        <f ca="1">IFERROR(IF(0=LEN(ReferenceData!$J$9),"",ReferenceData!$J$9),"")</f>
        <v/>
      </c>
      <c r="K9" t="str">
        <f ca="1">IFERROR(IF(0=LEN(ReferenceData!$K$9),"",ReferenceData!$K$9),"")</f>
        <v/>
      </c>
      <c r="L9" t="str">
        <f ca="1">IFERROR(IF(0=LEN(ReferenceData!$L$9),"",ReferenceData!$L$9),"")</f>
        <v/>
      </c>
      <c r="M9" t="str">
        <f ca="1">IFERROR(IF(0=LEN(ReferenceData!$M$9),"",ReferenceData!$M$9),"")</f>
        <v/>
      </c>
      <c r="N9" t="str">
        <f ca="1">IFERROR(IF(0=LEN(ReferenceData!$N$9),"",ReferenceData!$N$9),"")</f>
        <v/>
      </c>
      <c r="O9" t="str">
        <f ca="1">IFERROR(IF(0=LEN(ReferenceData!$O$9),"",ReferenceData!$O$9),"")</f>
        <v/>
      </c>
      <c r="P9" t="str">
        <f ca="1">IFERROR(IF(0=LEN(ReferenceData!$P$9),"",ReferenceData!$P$9),"")</f>
        <v/>
      </c>
      <c r="Q9" t="str">
        <f ca="1">IFERROR(IF(0=LEN(ReferenceData!$Q$9),"",ReferenceData!$Q$9),"")</f>
        <v/>
      </c>
      <c r="R9" t="str">
        <f ca="1">IFERROR(IF(0=LEN(ReferenceData!$R$9),"",ReferenceData!$R$9),"")</f>
        <v/>
      </c>
      <c r="S9" t="str">
        <f ca="1">IFERROR(IF(0=LEN(ReferenceData!$S$9),"",ReferenceData!$S$9),"")</f>
        <v/>
      </c>
      <c r="T9" t="str">
        <f ca="1">IFERROR(IF(0=LEN(ReferenceData!$T$9),"",ReferenceData!$T$9),"")</f>
        <v/>
      </c>
      <c r="U9" t="str">
        <f ca="1">IFERROR(IF(0=LEN(ReferenceData!$U$9),"",ReferenceData!$U$9),"")</f>
        <v/>
      </c>
      <c r="V9" t="str">
        <f ca="1">IFERROR(IF(0=LEN(ReferenceData!$V$9),"",ReferenceData!$V$9),"")</f>
        <v/>
      </c>
      <c r="W9" t="str">
        <f ca="1">IFERROR(IF(0=LEN(ReferenceData!$W$9),"",ReferenceData!$W$9),"")</f>
        <v/>
      </c>
      <c r="X9" t="str">
        <f ca="1">IFERROR(IF(0=LEN(ReferenceData!$X$9),"",ReferenceData!$X$9),"")</f>
        <v/>
      </c>
      <c r="Y9" t="str">
        <f ca="1">IFERROR(IF(0=LEN(ReferenceData!$Y$9),"",ReferenceData!$Y$9),"")</f>
        <v/>
      </c>
      <c r="Z9" t="str">
        <f ca="1">IFERROR(IF(0=LEN(ReferenceData!$Z$9),"",ReferenceData!$Z$9),"")</f>
        <v/>
      </c>
      <c r="AA9" t="str">
        <f ca="1">IFERROR(IF(0=LEN(ReferenceData!$AA$9),"",ReferenceData!$AA$9),"")</f>
        <v/>
      </c>
      <c r="AB9" t="str">
        <f ca="1">IFERROR(IF(0=LEN(ReferenceData!$AB$9),"",ReferenceData!$AB$9),"")</f>
        <v/>
      </c>
      <c r="AC9" t="str">
        <f ca="1">IFERROR(IF(0=LEN(ReferenceData!$AC$9),"",ReferenceData!$AC$9),"")</f>
        <v/>
      </c>
      <c r="AD9" t="str">
        <f ca="1">IFERROR(IF(0=LEN(ReferenceData!$AD$9),"",ReferenceData!$AD$9),"")</f>
        <v/>
      </c>
      <c r="AE9" t="str">
        <f ca="1">IFERROR(IF(0=LEN(ReferenceData!$AE$9),"",ReferenceData!$AE$9),"")</f>
        <v/>
      </c>
      <c r="AF9" t="str">
        <f ca="1">IFERROR(IF(0=LEN(ReferenceData!$AF$9),"",ReferenceData!$AF$9),"")</f>
        <v/>
      </c>
      <c r="AG9" t="str">
        <f ca="1">IFERROR(IF(0=LEN(ReferenceData!$AG$9),"",ReferenceData!$AG$9),"")</f>
        <v/>
      </c>
      <c r="AH9" t="str">
        <f ca="1">IFERROR(IF(0=LEN(ReferenceData!$AH$9),"",ReferenceData!$AH$9),"")</f>
        <v/>
      </c>
      <c r="AI9" t="str">
        <f ca="1">IFERROR(IF(0=LEN(ReferenceData!$AI$9),"",ReferenceData!$AI$9),"")</f>
        <v/>
      </c>
      <c r="AJ9" t="str">
        <f ca="1">IFERROR(IF(0=LEN(ReferenceData!$AJ$9),"",ReferenceData!$AJ$9),"")</f>
        <v/>
      </c>
      <c r="AK9" t="str">
        <f ca="1">IFERROR(IF(0=LEN(ReferenceData!$AK$9),"",ReferenceData!$AK$9),"")</f>
        <v/>
      </c>
      <c r="AL9" t="str">
        <f ca="1">IFERROR(IF(0=LEN(ReferenceData!$AL$9),"",ReferenceData!$AL$9),"")</f>
        <v/>
      </c>
      <c r="AM9" t="str">
        <f ca="1">IFERROR(IF(0=LEN(ReferenceData!$AM$9),"",ReferenceData!$AM$9),"")</f>
        <v/>
      </c>
      <c r="AN9" t="str">
        <f ca="1">IFERROR(IF(0=LEN(ReferenceData!$AN$9),"",ReferenceData!$AN$9),"")</f>
        <v/>
      </c>
      <c r="AO9" t="str">
        <f ca="1">IFERROR(IF(0=LEN(ReferenceData!$AO$9),"",ReferenceData!$AO$9),"")</f>
        <v/>
      </c>
      <c r="AP9" t="str">
        <f ca="1">IFERROR(IF(0=LEN(ReferenceData!$AP$9),"",ReferenceData!$AP$9),"")</f>
        <v/>
      </c>
      <c r="AQ9" t="str">
        <f ca="1">IFERROR(IF(0=LEN(ReferenceData!$AQ$9),"",ReferenceData!$AQ$9),"")</f>
        <v/>
      </c>
      <c r="AR9" t="str">
        <f ca="1">IFERROR(IF(0=LEN(ReferenceData!$AR$9),"",ReferenceData!$AR$9),"")</f>
        <v/>
      </c>
      <c r="AS9" t="str">
        <f ca="1">IFERROR(IF(0=LEN(ReferenceData!$AS$9),"",ReferenceData!$AS$9),"")</f>
        <v/>
      </c>
      <c r="AT9" t="str">
        <f ca="1">IFERROR(IF(0=LEN(ReferenceData!$AT$9),"",ReferenceData!$AT$9),"")</f>
        <v/>
      </c>
      <c r="AU9" t="str">
        <f ca="1">IFERROR(IF(0=LEN(ReferenceData!$AU$9),"",ReferenceData!$AU$9),"")</f>
        <v/>
      </c>
      <c r="AV9" t="str">
        <f ca="1">IFERROR(IF(0=LEN(ReferenceData!$AV$9),"",ReferenceData!$AV$9),"")</f>
        <v/>
      </c>
      <c r="AW9" t="str">
        <f ca="1">IFERROR(IF(0=LEN(ReferenceData!$AW$9),"",ReferenceData!$AW$9),"")</f>
        <v/>
      </c>
      <c r="AX9" t="str">
        <f ca="1">IFERROR(IF(0=LEN(ReferenceData!$AX$9),"",ReferenceData!$AX$9),"")</f>
        <v/>
      </c>
      <c r="AY9" t="str">
        <f ca="1">IFERROR(IF(0=LEN(ReferenceData!$AY$9),"",ReferenceData!$AY$9),"")</f>
        <v/>
      </c>
      <c r="AZ9" t="str">
        <f ca="1">IFERROR(IF(0=LEN(ReferenceData!$AZ$9),"",ReferenceData!$AZ$9),"")</f>
        <v/>
      </c>
      <c r="BA9" t="str">
        <f ca="1">IFERROR(IF(0=LEN(ReferenceData!$BA$9),"",ReferenceData!$BA$9),"")</f>
        <v/>
      </c>
      <c r="BB9" t="str">
        <f ca="1">IFERROR(IF(0=LEN(ReferenceData!$BB$9),"",ReferenceData!$BB$9),"")</f>
        <v/>
      </c>
      <c r="BC9" t="str">
        <f ca="1">IFERROR(IF(0=LEN(ReferenceData!$BC$9),"",ReferenceData!$BC$9),"")</f>
        <v/>
      </c>
      <c r="BD9" t="str">
        <f ca="1">IFERROR(IF(0=LEN(ReferenceData!$BD$9),"",ReferenceData!$BD$9),"")</f>
        <v/>
      </c>
      <c r="BE9" t="str">
        <f ca="1">IFERROR(IF(0=LEN(ReferenceData!$BE$9),"",ReferenceData!$BE$9),"")</f>
        <v/>
      </c>
      <c r="BF9" t="str">
        <f ca="1">IFERROR(IF(0=LEN(ReferenceData!$BF$9),"",ReferenceData!$BF$9),"")</f>
        <v/>
      </c>
      <c r="BG9" t="str">
        <f ca="1">IFERROR(IF(0=LEN(ReferenceData!$BG$9),"",ReferenceData!$BG$9),"")</f>
        <v/>
      </c>
      <c r="BH9" t="str">
        <f ca="1">IFERROR(IF(0=LEN(ReferenceData!$BH$9),"",ReferenceData!$BH$9),"")</f>
        <v/>
      </c>
      <c r="BI9" t="str">
        <f ca="1">IFERROR(IF(0=LEN(ReferenceData!$BI$9),"",ReferenceData!$BI$9),"")</f>
        <v/>
      </c>
      <c r="BJ9" t="str">
        <f ca="1">IFERROR(IF(0=LEN(ReferenceData!$BJ$9),"",ReferenceData!$BJ$9),"")</f>
        <v/>
      </c>
      <c r="BK9" t="str">
        <f ca="1">IFERROR(IF(0=LEN(ReferenceData!$BK$9),"",ReferenceData!$BK$9),"")</f>
        <v/>
      </c>
      <c r="BL9" t="str">
        <f ca="1">IFERROR(IF(0=LEN(ReferenceData!$BL$9),"",ReferenceData!$BL$9),"")</f>
        <v/>
      </c>
      <c r="BM9" t="str">
        <f ca="1">IFERROR(IF(0=LEN(ReferenceData!$BM$9),"",ReferenceData!$BM$9),"")</f>
        <v/>
      </c>
    </row>
    <row r="10" spans="1:65">
      <c r="A10" t="str">
        <f>IFERROR(IF(0=LEN(ReferenceData!$A$10),"",ReferenceData!$A$10),"")</f>
        <v xml:space="preserve">    购物中心房地产投资信托总营运现金流</v>
      </c>
      <c r="B10" t="str">
        <f>IFERROR(IF(0=LEN(ReferenceData!$B$10),"",ReferenceData!$B$10),"")</f>
        <v>RECFFOSC Index</v>
      </c>
      <c r="C10" t="str">
        <f>IFERROR(IF(0=LEN(ReferenceData!$C$10),"",ReferenceData!$C$10),"")</f>
        <v>PR005</v>
      </c>
      <c r="D10" t="str">
        <f>IFERROR(IF(0=LEN(ReferenceData!$D$10),"",ReferenceData!$D$10),"")</f>
        <v>PX_LAST</v>
      </c>
      <c r="E10" t="str">
        <f>IFERROR(IF(0=LEN(ReferenceData!$E$10),"",ReferenceData!$E$10),"")</f>
        <v>动态</v>
      </c>
      <c r="F10">
        <f ca="1">IFERROR(IF(0=LEN(ReferenceData!$F$10),"",ReferenceData!$F$10),"")</f>
        <v>1062.672499</v>
      </c>
      <c r="G10">
        <f ca="1">IFERROR(IF(0=LEN(ReferenceData!$G$10),"",ReferenceData!$G$10),"")</f>
        <v>1026.912</v>
      </c>
      <c r="H10">
        <f ca="1">IFERROR(IF(0=LEN(ReferenceData!$H$10),"",ReferenceData!$H$10),"")</f>
        <v>1117.1179999999999</v>
      </c>
      <c r="I10">
        <f ca="1">IFERROR(IF(0=LEN(ReferenceData!$I$10),"",ReferenceData!$I$10),"")</f>
        <v>884.35699999999997</v>
      </c>
      <c r="J10">
        <f ca="1">IFERROR(IF(0=LEN(ReferenceData!$J$10),"",ReferenceData!$J$10),"")</f>
        <v>1082.1489999999999</v>
      </c>
      <c r="K10">
        <f ca="1">IFERROR(IF(0=LEN(ReferenceData!$K$10),"",ReferenceData!$K$10),"")</f>
        <v>934.73299999999995</v>
      </c>
      <c r="L10">
        <f ca="1">IFERROR(IF(0=LEN(ReferenceData!$L$10),"",ReferenceData!$L$10),"")</f>
        <v>1116.4159999999999</v>
      </c>
      <c r="M10">
        <f ca="1">IFERROR(IF(0=LEN(ReferenceData!$M$10),"",ReferenceData!$M$10),"")</f>
        <v>1071.7249999999999</v>
      </c>
      <c r="N10">
        <f ca="1">IFERROR(IF(0=LEN(ReferenceData!$N$10),"",ReferenceData!$N$10),"")</f>
        <v>1034.954</v>
      </c>
      <c r="O10">
        <f ca="1">IFERROR(IF(0=LEN(ReferenceData!$O$10),"",ReferenceData!$O$10),"")</f>
        <v>1059.2349999999999</v>
      </c>
      <c r="P10">
        <f ca="1">IFERROR(IF(0=LEN(ReferenceData!$P$10),"",ReferenceData!$P$10),"")</f>
        <v>1035.883</v>
      </c>
      <c r="Q10">
        <f ca="1">IFERROR(IF(0=LEN(ReferenceData!$Q$10),"",ReferenceData!$Q$10),"")</f>
        <v>878.553</v>
      </c>
      <c r="R10">
        <f ca="1">IFERROR(IF(0=LEN(ReferenceData!$R$10),"",ReferenceData!$R$10),"")</f>
        <v>876.88599999999997</v>
      </c>
      <c r="S10">
        <f ca="1">IFERROR(IF(0=LEN(ReferenceData!$S$10),"",ReferenceData!$S$10),"")</f>
        <v>975.83199999999999</v>
      </c>
      <c r="T10">
        <f ca="1">IFERROR(IF(0=LEN(ReferenceData!$T$10),"",ReferenceData!$T$10),"")</f>
        <v>913.35199999999998</v>
      </c>
      <c r="U10">
        <f ca="1">IFERROR(IF(0=LEN(ReferenceData!$U$10),"",ReferenceData!$U$10),"")</f>
        <v>898.83500000000004</v>
      </c>
      <c r="V10">
        <f ca="1">IFERROR(IF(0=LEN(ReferenceData!$V$10),"",ReferenceData!$V$10),"")</f>
        <v>871.54200000000003</v>
      </c>
      <c r="W10">
        <f ca="1">IFERROR(IF(0=LEN(ReferenceData!$W$10),"",ReferenceData!$W$10),"")</f>
        <v>779.899</v>
      </c>
      <c r="X10">
        <f ca="1">IFERROR(IF(0=LEN(ReferenceData!$X$10),"",ReferenceData!$X$10),"")</f>
        <v>729.04600000000005</v>
      </c>
      <c r="Y10">
        <f ca="1">IFERROR(IF(0=LEN(ReferenceData!$Y$10),"",ReferenceData!$Y$10),"")</f>
        <v>684.00199999999995</v>
      </c>
      <c r="Z10">
        <f ca="1">IFERROR(IF(0=LEN(ReferenceData!$Z$10),"",ReferenceData!$Z$10),"")</f>
        <v>617.50300000000004</v>
      </c>
      <c r="AA10">
        <f ca="1">IFERROR(IF(0=LEN(ReferenceData!$AA$10),"",ReferenceData!$AA$10),"")</f>
        <v>681.255</v>
      </c>
      <c r="AB10">
        <f ca="1">IFERROR(IF(0=LEN(ReferenceData!$AB$10),"",ReferenceData!$AB$10),"")</f>
        <v>681.89099999999996</v>
      </c>
      <c r="AC10">
        <f ca="1">IFERROR(IF(0=LEN(ReferenceData!$AC$10),"",ReferenceData!$AC$10),"")</f>
        <v>547.85199999999998</v>
      </c>
      <c r="AD10">
        <f ca="1">IFERROR(IF(0=LEN(ReferenceData!$AD$10),"",ReferenceData!$AD$10),"")</f>
        <v>546.03800000000001</v>
      </c>
      <c r="AE10">
        <f ca="1">IFERROR(IF(0=LEN(ReferenceData!$AE$10),"",ReferenceData!$AE$10),"")</f>
        <v>500.77699999999999</v>
      </c>
      <c r="AF10">
        <f ca="1">IFERROR(IF(0=LEN(ReferenceData!$AF$10),"",ReferenceData!$AF$10),"")</f>
        <v>492.96499999999997</v>
      </c>
      <c r="AG10">
        <f ca="1">IFERROR(IF(0=LEN(ReferenceData!$AG$10),"",ReferenceData!$AG$10),"")</f>
        <v>591.25400000000002</v>
      </c>
      <c r="AH10">
        <f ca="1">IFERROR(IF(0=LEN(ReferenceData!$AH$10),"",ReferenceData!$AH$10),"")</f>
        <v>417.97899999999998</v>
      </c>
      <c r="AI10">
        <f ca="1">IFERROR(IF(0=LEN(ReferenceData!$AI$10),"",ReferenceData!$AI$10),"")</f>
        <v>444.71499999999997</v>
      </c>
      <c r="AJ10">
        <f ca="1">IFERROR(IF(0=LEN(ReferenceData!$AJ$10),"",ReferenceData!$AJ$10),"")</f>
        <v>379.62900000000002</v>
      </c>
      <c r="AK10">
        <f ca="1">IFERROR(IF(0=LEN(ReferenceData!$AK$10),"",ReferenceData!$AK$10),"")</f>
        <v>464.02199999999999</v>
      </c>
      <c r="AL10">
        <f ca="1">IFERROR(IF(0=LEN(ReferenceData!$AL$10),"",ReferenceData!$AL$10),"")</f>
        <v>416.464</v>
      </c>
      <c r="AM10">
        <f ca="1">IFERROR(IF(0=LEN(ReferenceData!$AM$10),"",ReferenceData!$AM$10),"")</f>
        <v>271.37400000000002</v>
      </c>
      <c r="AN10">
        <f ca="1">IFERROR(IF(0=LEN(ReferenceData!$AN$10),"",ReferenceData!$AN$10),"")</f>
        <v>93.716999999999999</v>
      </c>
      <c r="AO10">
        <f ca="1">IFERROR(IF(0=LEN(ReferenceData!$AO$10),"",ReferenceData!$AO$10),"")</f>
        <v>647.35299999999995</v>
      </c>
      <c r="AP10">
        <f ca="1">IFERROR(IF(0=LEN(ReferenceData!$AP$10),"",ReferenceData!$AP$10),"")</f>
        <v>206.41399999999999</v>
      </c>
      <c r="AQ10">
        <f ca="1">IFERROR(IF(0=LEN(ReferenceData!$AQ$10),"",ReferenceData!$AQ$10),"")</f>
        <v>589.53099999999995</v>
      </c>
      <c r="AR10">
        <f ca="1">IFERROR(IF(0=LEN(ReferenceData!$AR$10),"",ReferenceData!$AR$10),"")</f>
        <v>602.98599999999999</v>
      </c>
      <c r="AS10">
        <f ca="1">IFERROR(IF(0=LEN(ReferenceData!$AS$10),"",ReferenceData!$AS$10),"")</f>
        <v>607.05600000000004</v>
      </c>
      <c r="AT10">
        <f ca="1">IFERROR(IF(0=LEN(ReferenceData!$AT$10),"",ReferenceData!$AT$10),"")</f>
        <v>585.64449999999999</v>
      </c>
      <c r="AU10">
        <f ca="1">IFERROR(IF(0=LEN(ReferenceData!$AU$10),"",ReferenceData!$AU$10),"")</f>
        <v>590.5</v>
      </c>
      <c r="AV10">
        <f ca="1">IFERROR(IF(0=LEN(ReferenceData!$AV$10),"",ReferenceData!$AV$10),"")</f>
        <v>688.27</v>
      </c>
      <c r="AW10">
        <f ca="1">IFERROR(IF(0=LEN(ReferenceData!$AW$10),"",ReferenceData!$AW$10),"")</f>
        <v>665.64499999999998</v>
      </c>
      <c r="AX10">
        <f ca="1">IFERROR(IF(0=LEN(ReferenceData!$AX$10),"",ReferenceData!$AX$10),"")</f>
        <v>628.13199999999995</v>
      </c>
      <c r="AY10">
        <f ca="1">IFERROR(IF(0=LEN(ReferenceData!$AY$10),"",ReferenceData!$AY$10),"")</f>
        <v>614.16899999999998</v>
      </c>
      <c r="AZ10">
        <f ca="1">IFERROR(IF(0=LEN(ReferenceData!$AZ$10),"",ReferenceData!$AZ$10),"")</f>
        <v>648.78899999999999</v>
      </c>
      <c r="BA10">
        <f ca="1">IFERROR(IF(0=LEN(ReferenceData!$BA$10),"",ReferenceData!$BA$10),"")</f>
        <v>663.03599999999994</v>
      </c>
      <c r="BB10">
        <f ca="1">IFERROR(IF(0=LEN(ReferenceData!$BB$10),"",ReferenceData!$BB$10),"")</f>
        <v>639.56100000000004</v>
      </c>
      <c r="BC10">
        <f ca="1">IFERROR(IF(0=LEN(ReferenceData!$BC$10),"",ReferenceData!$BC$10),"")</f>
        <v>609.19000000000005</v>
      </c>
      <c r="BD10">
        <f ca="1">IFERROR(IF(0=LEN(ReferenceData!$BD$10),"",ReferenceData!$BD$10),"")</f>
        <v>641.35799999999995</v>
      </c>
      <c r="BE10">
        <f ca="1">IFERROR(IF(0=LEN(ReferenceData!$BE$10),"",ReferenceData!$BE$10),"")</f>
        <v>636.79100000000005</v>
      </c>
      <c r="BF10">
        <f ca="1">IFERROR(IF(0=LEN(ReferenceData!$BF$10),"",ReferenceData!$BF$10),"")</f>
        <v>602.41300000000001</v>
      </c>
      <c r="BG10">
        <f ca="1">IFERROR(IF(0=LEN(ReferenceData!$BG$10),"",ReferenceData!$BG$10),"")</f>
        <v>580.24699999999996</v>
      </c>
      <c r="BH10">
        <f ca="1">IFERROR(IF(0=LEN(ReferenceData!$BH$10),"",ReferenceData!$BH$10),"")</f>
        <v>614.74300000000005</v>
      </c>
      <c r="BI10">
        <f ca="1">IFERROR(IF(0=LEN(ReferenceData!$BI$10),"",ReferenceData!$BI$10),"")</f>
        <v>559.971</v>
      </c>
      <c r="BJ10">
        <f ca="1">IFERROR(IF(0=LEN(ReferenceData!$BJ$10),"",ReferenceData!$BJ$10),"")</f>
        <v>460.4135</v>
      </c>
      <c r="BK10">
        <f ca="1">IFERROR(IF(0=LEN(ReferenceData!$BK$10),"",ReferenceData!$BK$10),"")</f>
        <v>534.37400000000002</v>
      </c>
      <c r="BL10">
        <f ca="1">IFERROR(IF(0=LEN(ReferenceData!$BL$10),"",ReferenceData!$BL$10),"")</f>
        <v>501.334</v>
      </c>
      <c r="BM10">
        <f ca="1">IFERROR(IF(0=LEN(ReferenceData!$BM$10),"",ReferenceData!$BM$10),"")</f>
        <v>503.27300000000002</v>
      </c>
    </row>
    <row r="11" spans="1:65">
      <c r="A11" t="str">
        <f>IFERROR(IF(0=LEN(ReferenceData!$A$11),"",ReferenceData!$A$11),"")</f>
        <v xml:space="preserve">    购物中心房地产投资信托总净营业利润</v>
      </c>
      <c r="B11" t="str">
        <f>IFERROR(IF(0=LEN(ReferenceData!$B$11),"",ReferenceData!$B$11),"")</f>
        <v>RECFNOSC Index</v>
      </c>
      <c r="C11" t="str">
        <f>IFERROR(IF(0=LEN(ReferenceData!$C$11),"",ReferenceData!$C$11),"")</f>
        <v>PR005</v>
      </c>
      <c r="D11" t="str">
        <f>IFERROR(IF(0=LEN(ReferenceData!$D$11),"",ReferenceData!$D$11),"")</f>
        <v>PX_LAST</v>
      </c>
      <c r="E11" t="str">
        <f>IFERROR(IF(0=LEN(ReferenceData!$E$11),"",ReferenceData!$E$11),"")</f>
        <v>动态</v>
      </c>
      <c r="F11">
        <f ca="1">IFERROR(IF(0=LEN(ReferenceData!$F$11),"",ReferenceData!$F$11),"")</f>
        <v>1577.667751</v>
      </c>
      <c r="G11">
        <f ca="1">IFERROR(IF(0=LEN(ReferenceData!$G$11),"",ReferenceData!$G$11),"")</f>
        <v>1588.4970000000001</v>
      </c>
      <c r="H11">
        <f ca="1">IFERROR(IF(0=LEN(ReferenceData!$H$11),"",ReferenceData!$H$11),"")</f>
        <v>1583.4780000000001</v>
      </c>
      <c r="I11">
        <f ca="1">IFERROR(IF(0=LEN(ReferenceData!$I$11),"",ReferenceData!$I$11),"")</f>
        <v>1529.442</v>
      </c>
      <c r="J11">
        <f ca="1">IFERROR(IF(0=LEN(ReferenceData!$J$11),"",ReferenceData!$J$11),"")</f>
        <v>1562.5419999999999</v>
      </c>
      <c r="K11">
        <f ca="1">IFERROR(IF(0=LEN(ReferenceData!$K$11),"",ReferenceData!$K$11),"")</f>
        <v>1543.92</v>
      </c>
      <c r="L11">
        <f ca="1">IFERROR(IF(0=LEN(ReferenceData!$L$11),"",ReferenceData!$L$11),"")</f>
        <v>1587.818</v>
      </c>
      <c r="M11">
        <f ca="1">IFERROR(IF(0=LEN(ReferenceData!$M$11),"",ReferenceData!$M$11),"")</f>
        <v>1536.38</v>
      </c>
      <c r="N11">
        <f ca="1">IFERROR(IF(0=LEN(ReferenceData!$N$11),"",ReferenceData!$N$11),"")</f>
        <v>1554.068</v>
      </c>
      <c r="O11">
        <f ca="1">IFERROR(IF(0=LEN(ReferenceData!$O$11),"",ReferenceData!$O$11),"")</f>
        <v>1537.7660000000001</v>
      </c>
      <c r="P11">
        <f ca="1">IFERROR(IF(0=LEN(ReferenceData!$P$11),"",ReferenceData!$P$11),"")</f>
        <v>1550.7049999999999</v>
      </c>
      <c r="Q11">
        <f ca="1">IFERROR(IF(0=LEN(ReferenceData!$Q$11),"",ReferenceData!$Q$11),"")</f>
        <v>1522.6990000000001</v>
      </c>
      <c r="R11">
        <f ca="1">IFERROR(IF(0=LEN(ReferenceData!$R$11),"",ReferenceData!$R$11),"")</f>
        <v>1453.847</v>
      </c>
      <c r="S11">
        <f ca="1">IFERROR(IF(0=LEN(ReferenceData!$S$11),"",ReferenceData!$S$11),"")</f>
        <v>1472.192</v>
      </c>
      <c r="T11">
        <f ca="1">IFERROR(IF(0=LEN(ReferenceData!$T$11),"",ReferenceData!$T$11),"")</f>
        <v>1417.2170000000001</v>
      </c>
      <c r="U11">
        <f ca="1">IFERROR(IF(0=LEN(ReferenceData!$U$11),"",ReferenceData!$U$11),"")</f>
        <v>1396.4829999999999</v>
      </c>
      <c r="V11">
        <f ca="1">IFERROR(IF(0=LEN(ReferenceData!$V$11),"",ReferenceData!$V$11),"")</f>
        <v>1376.7539999999999</v>
      </c>
      <c r="W11">
        <f ca="1">IFERROR(IF(0=LEN(ReferenceData!$W$11),"",ReferenceData!$W$11),"")</f>
        <v>1094.444</v>
      </c>
      <c r="X11">
        <f ca="1">IFERROR(IF(0=LEN(ReferenceData!$X$11),"",ReferenceData!$X$11),"")</f>
        <v>1081.5989999999999</v>
      </c>
      <c r="Y11">
        <f ca="1">IFERROR(IF(0=LEN(ReferenceData!$Y$11),"",ReferenceData!$Y$11),"")</f>
        <v>1063.953</v>
      </c>
      <c r="Z11">
        <f ca="1">IFERROR(IF(0=LEN(ReferenceData!$Z$11),"",ReferenceData!$Z$11),"")</f>
        <v>1038.8599999999999</v>
      </c>
      <c r="AA11">
        <f ca="1">IFERROR(IF(0=LEN(ReferenceData!$AA$11),"",ReferenceData!$AA$11),"")</f>
        <v>1032.0050000000001</v>
      </c>
      <c r="AB11">
        <f ca="1">IFERROR(IF(0=LEN(ReferenceData!$AB$11),"",ReferenceData!$AB$11),"")</f>
        <v>1031.6210000000001</v>
      </c>
      <c r="AC11">
        <f ca="1">IFERROR(IF(0=LEN(ReferenceData!$AC$11),"",ReferenceData!$AC$11),"")</f>
        <v>900.97699999999998</v>
      </c>
      <c r="AD11">
        <f ca="1">IFERROR(IF(0=LEN(ReferenceData!$AD$11),"",ReferenceData!$AD$11),"")</f>
        <v>896.53499999999997</v>
      </c>
      <c r="AE11">
        <f ca="1">IFERROR(IF(0=LEN(ReferenceData!$AE$11),"",ReferenceData!$AE$11),"")</f>
        <v>878.33199999999999</v>
      </c>
      <c r="AF11">
        <f ca="1">IFERROR(IF(0=LEN(ReferenceData!$AF$11),"",ReferenceData!$AF$11),"")</f>
        <v>876.93299999999999</v>
      </c>
      <c r="AG11">
        <f ca="1">IFERROR(IF(0=LEN(ReferenceData!$AG$11),"",ReferenceData!$AG$11),"")</f>
        <v>868.08399999999995</v>
      </c>
      <c r="AH11">
        <f ca="1">IFERROR(IF(0=LEN(ReferenceData!$AH$11),"",ReferenceData!$AH$11),"")</f>
        <v>845.48900000000003</v>
      </c>
      <c r="AI11">
        <f ca="1">IFERROR(IF(0=LEN(ReferenceData!$AI$11),"",ReferenceData!$AI$11),"")</f>
        <v>832.10599999999999</v>
      </c>
      <c r="AJ11">
        <f ca="1">IFERROR(IF(0=LEN(ReferenceData!$AJ$11),"",ReferenceData!$AJ$11),"")</f>
        <v>824.755</v>
      </c>
      <c r="AK11">
        <f ca="1">IFERROR(IF(0=LEN(ReferenceData!$AK$11),"",ReferenceData!$AK$11),"")</f>
        <v>835.76199999999994</v>
      </c>
      <c r="AL11">
        <f ca="1">IFERROR(IF(0=LEN(ReferenceData!$AL$11),"",ReferenceData!$AL$11),"")</f>
        <v>832.01099999999997</v>
      </c>
      <c r="AM11">
        <f ca="1">IFERROR(IF(0=LEN(ReferenceData!$AM$11),"",ReferenceData!$AM$11),"")</f>
        <v>818.52099999999996</v>
      </c>
      <c r="AN11">
        <f ca="1">IFERROR(IF(0=LEN(ReferenceData!$AN$11),"",ReferenceData!$AN$11),"")</f>
        <v>803.43799999999999</v>
      </c>
      <c r="AO11">
        <f ca="1">IFERROR(IF(0=LEN(ReferenceData!$AO$11),"",ReferenceData!$AO$11),"")</f>
        <v>825.53499999999997</v>
      </c>
      <c r="AP11">
        <f ca="1">IFERROR(IF(0=LEN(ReferenceData!$AP$11),"",ReferenceData!$AP$11),"")</f>
        <v>821.26400000000001</v>
      </c>
      <c r="AQ11">
        <f ca="1">IFERROR(IF(0=LEN(ReferenceData!$AQ$11),"",ReferenceData!$AQ$11),"")</f>
        <v>820.95899999999995</v>
      </c>
      <c r="AR11">
        <f ca="1">IFERROR(IF(0=LEN(ReferenceData!$AR$11),"",ReferenceData!$AR$11),"")</f>
        <v>842.55700000000002</v>
      </c>
      <c r="AS11">
        <f ca="1">IFERROR(IF(0=LEN(ReferenceData!$AS$11),"",ReferenceData!$AS$11),"")</f>
        <v>820.83399999999995</v>
      </c>
      <c r="AT11">
        <f ca="1">IFERROR(IF(0=LEN(ReferenceData!$AT$11),"",ReferenceData!$AT$11),"")</f>
        <v>795.02700000000004</v>
      </c>
      <c r="AU11">
        <f ca="1">IFERROR(IF(0=LEN(ReferenceData!$AU$11),"",ReferenceData!$AU$11),"")</f>
        <v>805.10400000000004</v>
      </c>
      <c r="AV11">
        <f ca="1">IFERROR(IF(0=LEN(ReferenceData!$AV$11),"",ReferenceData!$AV$11),"")</f>
        <v>812.97900000000004</v>
      </c>
      <c r="AW11">
        <f ca="1">IFERROR(IF(0=LEN(ReferenceData!$AW$11),"",ReferenceData!$AW$11),"")</f>
        <v>778.87099999999998</v>
      </c>
      <c r="AX11">
        <f ca="1">IFERROR(IF(0=LEN(ReferenceData!$AX$11),"",ReferenceData!$AX$11),"")</f>
        <v>838.37</v>
      </c>
      <c r="AY11">
        <f ca="1">IFERROR(IF(0=LEN(ReferenceData!$AY$11),"",ReferenceData!$AY$11),"")</f>
        <v>819.97699999999998</v>
      </c>
      <c r="AZ11">
        <f ca="1">IFERROR(IF(0=LEN(ReferenceData!$AZ$11),"",ReferenceData!$AZ$11),"")</f>
        <v>928.48900000000003</v>
      </c>
      <c r="BA11">
        <f ca="1">IFERROR(IF(0=LEN(ReferenceData!$BA$11),"",ReferenceData!$BA$11),"")</f>
        <v>928.57</v>
      </c>
      <c r="BB11">
        <f ca="1">IFERROR(IF(0=LEN(ReferenceData!$BB$11),"",ReferenceData!$BB$11),"")</f>
        <v>908.02800000000002</v>
      </c>
      <c r="BC11">
        <f ca="1">IFERROR(IF(0=LEN(ReferenceData!$BC$11),"",ReferenceData!$BC$11),"")</f>
        <v>873.81100000000004</v>
      </c>
      <c r="BD11">
        <f ca="1">IFERROR(IF(0=LEN(ReferenceData!$BD$11),"",ReferenceData!$BD$11),"")</f>
        <v>877.51800000000003</v>
      </c>
      <c r="BE11">
        <f ca="1">IFERROR(IF(0=LEN(ReferenceData!$BE$11),"",ReferenceData!$BE$11),"")</f>
        <v>872.66600000000005</v>
      </c>
      <c r="BF11">
        <f ca="1">IFERROR(IF(0=LEN(ReferenceData!$BF$11),"",ReferenceData!$BF$11),"")</f>
        <v>865.69650000000001</v>
      </c>
      <c r="BG11">
        <f ca="1">IFERROR(IF(0=LEN(ReferenceData!$BG$11),"",ReferenceData!$BG$11),"")</f>
        <v>873.68</v>
      </c>
      <c r="BH11">
        <f ca="1">IFERROR(IF(0=LEN(ReferenceData!$BH$11),"",ReferenceData!$BH$11),"")</f>
        <v>882.74099999999999</v>
      </c>
      <c r="BI11">
        <f ca="1">IFERROR(IF(0=LEN(ReferenceData!$BI$11),"",ReferenceData!$BI$11),"")</f>
        <v>849.72900000000004</v>
      </c>
      <c r="BJ11">
        <f ca="1">IFERROR(IF(0=LEN(ReferenceData!$BJ$11),"",ReferenceData!$BJ$11),"")</f>
        <v>812.29250000000002</v>
      </c>
      <c r="BK11">
        <f ca="1">IFERROR(IF(0=LEN(ReferenceData!$BK$11),"",ReferenceData!$BK$11),"")</f>
        <v>782.505</v>
      </c>
      <c r="BL11">
        <f ca="1">IFERROR(IF(0=LEN(ReferenceData!$BL$11),"",ReferenceData!$BL$11),"")</f>
        <v>785.71299999999997</v>
      </c>
      <c r="BM11">
        <f ca="1">IFERROR(IF(0=LEN(ReferenceData!$BM$11),"",ReferenceData!$BM$11),"")</f>
        <v>753.48199999999997</v>
      </c>
    </row>
    <row r="12" spans="1:65">
      <c r="A12" t="str">
        <f>IFERROR(IF(0=LEN(ReferenceData!$A$12),"",ReferenceData!$A$12),"")</f>
        <v xml:space="preserve">    购物中心房地产投资信托同店净营业利润增长</v>
      </c>
      <c r="B12" t="str">
        <f>IFERROR(IF(0=LEN(ReferenceData!$B$12),"",ReferenceData!$B$12),"")</f>
        <v>RECFSSSC Index</v>
      </c>
      <c r="C12" t="str">
        <f>IFERROR(IF(0=LEN(ReferenceData!$C$12),"",ReferenceData!$C$12),"")</f>
        <v>PR005</v>
      </c>
      <c r="D12" t="str">
        <f>IFERROR(IF(0=LEN(ReferenceData!$D$12),"",ReferenceData!$D$12),"")</f>
        <v>PX_LAST</v>
      </c>
      <c r="E12" t="str">
        <f>IFERROR(IF(0=LEN(ReferenceData!$E$12),"",ReferenceData!$E$12),"")</f>
        <v>动态</v>
      </c>
      <c r="F12">
        <f ca="1">IFERROR(IF(0=LEN(ReferenceData!$F$12),"",ReferenceData!$F$12),"")</f>
        <v>1.9495590410000001</v>
      </c>
      <c r="G12">
        <f ca="1">IFERROR(IF(0=LEN(ReferenceData!$G$12),"",ReferenceData!$G$12),"")</f>
        <v>2.1703271040000001</v>
      </c>
      <c r="H12">
        <f ca="1">IFERROR(IF(0=LEN(ReferenceData!$H$12),"",ReferenceData!$H$12),"")</f>
        <v>1.3124411220000001</v>
      </c>
      <c r="I12">
        <f ca="1">IFERROR(IF(0=LEN(ReferenceData!$I$12),"",ReferenceData!$I$12),"")</f>
        <v>2.2725923309999998</v>
      </c>
      <c r="J12">
        <f ca="1">IFERROR(IF(0=LEN(ReferenceData!$J$12),"",ReferenceData!$J$12),"")</f>
        <v>2.510907547</v>
      </c>
      <c r="K12">
        <f ca="1">IFERROR(IF(0=LEN(ReferenceData!$K$12),"",ReferenceData!$K$12),"")</f>
        <v>2.7205614140000001</v>
      </c>
      <c r="L12">
        <f ca="1">IFERROR(IF(0=LEN(ReferenceData!$L$12),"",ReferenceData!$L$12),"")</f>
        <v>3.3186341389999998</v>
      </c>
      <c r="M12">
        <f ca="1">IFERROR(IF(0=LEN(ReferenceData!$M$12),"",ReferenceData!$M$12),"")</f>
        <v>3.0609345920000002</v>
      </c>
      <c r="N12">
        <f ca="1">IFERROR(IF(0=LEN(ReferenceData!$N$12),"",ReferenceData!$N$12),"")</f>
        <v>3.0564384449999999</v>
      </c>
      <c r="O12">
        <f ca="1">IFERROR(IF(0=LEN(ReferenceData!$O$12),"",ReferenceData!$O$12),"")</f>
        <v>3.0518973150000002</v>
      </c>
      <c r="P12">
        <f ca="1">IFERROR(IF(0=LEN(ReferenceData!$P$12),"",ReferenceData!$P$12),"")</f>
        <v>3.310111306</v>
      </c>
      <c r="Q12">
        <f ca="1">IFERROR(IF(0=LEN(ReferenceData!$Q$12),"",ReferenceData!$Q$12),"")</f>
        <v>3.243395923</v>
      </c>
      <c r="R12">
        <f ca="1">IFERROR(IF(0=LEN(ReferenceData!$R$12),"",ReferenceData!$R$12),"")</f>
        <v>3.2379506849999999</v>
      </c>
      <c r="S12">
        <f ca="1">IFERROR(IF(0=LEN(ReferenceData!$S$12),"",ReferenceData!$S$12),"")</f>
        <v>3.1812348890000002</v>
      </c>
      <c r="T12">
        <f ca="1">IFERROR(IF(0=LEN(ReferenceData!$T$12),"",ReferenceData!$T$12),"")</f>
        <v>3.3121266980000001</v>
      </c>
      <c r="U12">
        <f ca="1">IFERROR(IF(0=LEN(ReferenceData!$U$12),"",ReferenceData!$U$12),"")</f>
        <v>2.9586672379999999</v>
      </c>
      <c r="V12">
        <f ca="1">IFERROR(IF(0=LEN(ReferenceData!$V$12),"",ReferenceData!$V$12),"")</f>
        <v>3.4716781069999998</v>
      </c>
      <c r="W12">
        <f ca="1">IFERROR(IF(0=LEN(ReferenceData!$W$12),"",ReferenceData!$W$12),"")</f>
        <v>3.4146116289999999</v>
      </c>
      <c r="X12">
        <f ca="1">IFERROR(IF(0=LEN(ReferenceData!$X$12),"",ReferenceData!$X$12),"")</f>
        <v>3.6250220679999998</v>
      </c>
      <c r="Y12">
        <f ca="1">IFERROR(IF(0=LEN(ReferenceData!$Y$12),"",ReferenceData!$Y$12),"")</f>
        <v>3.4888504899999999</v>
      </c>
      <c r="Z12">
        <f ca="1">IFERROR(IF(0=LEN(ReferenceData!$Z$12),"",ReferenceData!$Z$12),"")</f>
        <v>3.2198732809999999</v>
      </c>
      <c r="AA12">
        <f ca="1">IFERROR(IF(0=LEN(ReferenceData!$AA$12),"",ReferenceData!$AA$12),"")</f>
        <v>3.0400402560000002</v>
      </c>
      <c r="AB12">
        <f ca="1">IFERROR(IF(0=LEN(ReferenceData!$AB$12),"",ReferenceData!$AB$12),"")</f>
        <v>2.8729517960000002</v>
      </c>
      <c r="AC12">
        <f ca="1">IFERROR(IF(0=LEN(ReferenceData!$AC$12),"",ReferenceData!$AC$12),"")</f>
        <v>2.8847575139999999</v>
      </c>
      <c r="AD12">
        <f ca="1">IFERROR(IF(0=LEN(ReferenceData!$AD$12),"",ReferenceData!$AD$12),"")</f>
        <v>2.0807095609999999</v>
      </c>
      <c r="AE12">
        <f ca="1">IFERROR(IF(0=LEN(ReferenceData!$AE$12),"",ReferenceData!$AE$12),"")</f>
        <v>2.4223469739999999</v>
      </c>
      <c r="AF12">
        <f ca="1">IFERROR(IF(0=LEN(ReferenceData!$AF$12),"",ReferenceData!$AF$12),"")</f>
        <v>2.2197013700000001</v>
      </c>
      <c r="AG12">
        <f ca="1">IFERROR(IF(0=LEN(ReferenceData!$AG$12),"",ReferenceData!$AG$12),"")</f>
        <v>1.2067644360000001</v>
      </c>
      <c r="AH12">
        <f ca="1">IFERROR(IF(0=LEN(ReferenceData!$AH$12),"",ReferenceData!$AH$12),"")</f>
        <v>1.5138833599999999</v>
      </c>
      <c r="AI12">
        <f ca="1">IFERROR(IF(0=LEN(ReferenceData!$AI$12),"",ReferenceData!$AI$12),"")</f>
        <v>-3.3555748000000003E-2</v>
      </c>
      <c r="AJ12">
        <f ca="1">IFERROR(IF(0=LEN(ReferenceData!$AJ$12),"",ReferenceData!$AJ$12),"")</f>
        <v>0.77072688</v>
      </c>
      <c r="AK12">
        <f ca="1">IFERROR(IF(0=LEN(ReferenceData!$AK$12),"",ReferenceData!$AK$12),"")</f>
        <v>-2.6346541569999999</v>
      </c>
      <c r="AL12">
        <f ca="1">IFERROR(IF(0=LEN(ReferenceData!$AL$12),"",ReferenceData!$AL$12),"")</f>
        <v>-3.190921806</v>
      </c>
      <c r="AM12">
        <f ca="1">IFERROR(IF(0=LEN(ReferenceData!$AM$12),"",ReferenceData!$AM$12),"")</f>
        <v>-4.1766297330000004</v>
      </c>
      <c r="AN12">
        <f ca="1">IFERROR(IF(0=LEN(ReferenceData!$AN$12),"",ReferenceData!$AN$12),"")</f>
        <v>-5.9347808290000001</v>
      </c>
      <c r="AO12">
        <f ca="1">IFERROR(IF(0=LEN(ReferenceData!$AO$12),"",ReferenceData!$AO$12),"")</f>
        <v>-2.2889856210000001</v>
      </c>
      <c r="AP12">
        <f ca="1">IFERROR(IF(0=LEN(ReferenceData!$AP$12),"",ReferenceData!$AP$12),"")</f>
        <v>-1.876377795</v>
      </c>
      <c r="AQ12">
        <f ca="1">IFERROR(IF(0=LEN(ReferenceData!$AQ$12),"",ReferenceData!$AQ$12),"")</f>
        <v>0.49652900300000002</v>
      </c>
      <c r="AR12">
        <f ca="1">IFERROR(IF(0=LEN(ReferenceData!$AR$12),"",ReferenceData!$AR$12),"")</f>
        <v>-0.26510386699999999</v>
      </c>
      <c r="AS12">
        <f ca="1">IFERROR(IF(0=LEN(ReferenceData!$AS$12),"",ReferenceData!$AS$12),"")</f>
        <v>1.5044988180000001</v>
      </c>
      <c r="AT12">
        <f ca="1">IFERROR(IF(0=LEN(ReferenceData!$AT$12),"",ReferenceData!$AT$12),"")</f>
        <v>2.9489370629999998</v>
      </c>
      <c r="AU12">
        <f ca="1">IFERROR(IF(0=LEN(ReferenceData!$AU$12),"",ReferenceData!$AU$12),"")</f>
        <v>1.992868021</v>
      </c>
      <c r="AV12">
        <f ca="1">IFERROR(IF(0=LEN(ReferenceData!$AV$12),"",ReferenceData!$AV$12),"")</f>
        <v>1.8493860040000001</v>
      </c>
      <c r="AW12">
        <f ca="1">IFERROR(IF(0=LEN(ReferenceData!$AW$12),"",ReferenceData!$AW$12),"")</f>
        <v>2.3993587299999999</v>
      </c>
      <c r="AX12">
        <f ca="1">IFERROR(IF(0=LEN(ReferenceData!$AX$12),"",ReferenceData!$AX$12),"")</f>
        <v>2.0712587220000001</v>
      </c>
      <c r="AY12">
        <f ca="1">IFERROR(IF(0=LEN(ReferenceData!$AY$12),"",ReferenceData!$AY$12),"")</f>
        <v>3.4613518230000002</v>
      </c>
      <c r="AZ12">
        <f ca="1">IFERROR(IF(0=LEN(ReferenceData!$AZ$12),"",ReferenceData!$AZ$12),"")</f>
        <v>1.4530914770000001</v>
      </c>
      <c r="BA12">
        <f ca="1">IFERROR(IF(0=LEN(ReferenceData!$BA$12),"",ReferenceData!$BA$12),"")</f>
        <v>2.2409797239999998</v>
      </c>
      <c r="BB12">
        <f ca="1">IFERROR(IF(0=LEN(ReferenceData!$BB$12),"",ReferenceData!$BB$12),"")</f>
        <v>2.0681945220000002</v>
      </c>
      <c r="BC12">
        <f ca="1">IFERROR(IF(0=LEN(ReferenceData!$BC$12),"",ReferenceData!$BC$12),"")</f>
        <v>2.325042759</v>
      </c>
      <c r="BD12">
        <f ca="1">IFERROR(IF(0=LEN(ReferenceData!$BD$12),"",ReferenceData!$BD$12),"")</f>
        <v>4.9093577530000001</v>
      </c>
      <c r="BE12">
        <f ca="1">IFERROR(IF(0=LEN(ReferenceData!$BE$12),"",ReferenceData!$BE$12),"")</f>
        <v>2.7043158979999999</v>
      </c>
      <c r="BF12">
        <f ca="1">IFERROR(IF(0=LEN(ReferenceData!$BF$12),"",ReferenceData!$BF$12),"")</f>
        <v>4.0274661949999997</v>
      </c>
      <c r="BG12">
        <f ca="1">IFERROR(IF(0=LEN(ReferenceData!$BG$12),"",ReferenceData!$BG$12),"")</f>
        <v>2.762317275</v>
      </c>
      <c r="BH12">
        <f ca="1">IFERROR(IF(0=LEN(ReferenceData!$BH$12),"",ReferenceData!$BH$12),"")</f>
        <v>3.931455814</v>
      </c>
      <c r="BI12">
        <f ca="1">IFERROR(IF(0=LEN(ReferenceData!$BI$12),"",ReferenceData!$BI$12),"")</f>
        <v>2.4355218179999998</v>
      </c>
      <c r="BJ12">
        <f ca="1">IFERROR(IF(0=LEN(ReferenceData!$BJ$12),"",ReferenceData!$BJ$12),"")</f>
        <v>1.0862043100000001</v>
      </c>
      <c r="BK12">
        <f ca="1">IFERROR(IF(0=LEN(ReferenceData!$BK$12),"",ReferenceData!$BK$12),"")</f>
        <v>0.76519733300000004</v>
      </c>
      <c r="BL12">
        <f ca="1">IFERROR(IF(0=LEN(ReferenceData!$BL$12),"",ReferenceData!$BL$12),"")</f>
        <v>-1.5904553109999999</v>
      </c>
      <c r="BM12">
        <f ca="1">IFERROR(IF(0=LEN(ReferenceData!$BM$12),"",ReferenceData!$BM$12),"")</f>
        <v>-0.89093292499999999</v>
      </c>
    </row>
    <row r="13" spans="1:65">
      <c r="A13" t="str">
        <f>IFERROR(IF(0=LEN(ReferenceData!$A$13),"",ReferenceData!$A$13),"")</f>
        <v xml:space="preserve">    购物中心房地产投资信托总股利支付</v>
      </c>
      <c r="B13" t="str">
        <f>IFERROR(IF(0=LEN(ReferenceData!$B$13),"",ReferenceData!$B$13),"")</f>
        <v>RECFTDSC Index</v>
      </c>
      <c r="C13" t="str">
        <f>IFERROR(IF(0=LEN(ReferenceData!$C$13),"",ReferenceData!$C$13),"")</f>
        <v>PR005</v>
      </c>
      <c r="D13" t="str">
        <f>IFERROR(IF(0=LEN(ReferenceData!$D$13),"",ReferenceData!$D$13),"")</f>
        <v>PX_LAST</v>
      </c>
      <c r="E13" t="str">
        <f>IFERROR(IF(0=LEN(ReferenceData!$E$13),"",ReferenceData!$E$13),"")</f>
        <v>动态</v>
      </c>
      <c r="F13">
        <f ca="1">IFERROR(IF(0=LEN(ReferenceData!$F$13),"",ReferenceData!$F$13),"")</f>
        <v>753.92453850000004</v>
      </c>
      <c r="G13">
        <f ca="1">IFERROR(IF(0=LEN(ReferenceData!$G$13),"",ReferenceData!$G$13),"")</f>
        <v>747.44</v>
      </c>
      <c r="H13">
        <f ca="1">IFERROR(IF(0=LEN(ReferenceData!$H$13),"",ReferenceData!$H$13),"")</f>
        <v>753.59199999999998</v>
      </c>
      <c r="I13">
        <f ca="1">IFERROR(IF(0=LEN(ReferenceData!$I$13),"",ReferenceData!$I$13),"")</f>
        <v>729.51400000000001</v>
      </c>
      <c r="J13">
        <f ca="1">IFERROR(IF(0=LEN(ReferenceData!$J$13),"",ReferenceData!$J$13),"")</f>
        <v>746.70299999999997</v>
      </c>
      <c r="K13">
        <f ca="1">IFERROR(IF(0=LEN(ReferenceData!$K$13),"",ReferenceData!$K$13),"")</f>
        <v>705.96900000000005</v>
      </c>
      <c r="L13">
        <f ca="1">IFERROR(IF(0=LEN(ReferenceData!$L$13),"",ReferenceData!$L$13),"")</f>
        <v>736.29200000000003</v>
      </c>
      <c r="M13">
        <f ca="1">IFERROR(IF(0=LEN(ReferenceData!$M$13),"",ReferenceData!$M$13),"")</f>
        <v>773.27700000000004</v>
      </c>
      <c r="N13">
        <f ca="1">IFERROR(IF(0=LEN(ReferenceData!$N$13),"",ReferenceData!$N$13),"")</f>
        <v>674.80700000000002</v>
      </c>
      <c r="O13">
        <f ca="1">IFERROR(IF(0=LEN(ReferenceData!$O$13),"",ReferenceData!$O$13),"")</f>
        <v>685.77</v>
      </c>
      <c r="P13">
        <f ca="1">IFERROR(IF(0=LEN(ReferenceData!$P$13),"",ReferenceData!$P$13),"")</f>
        <v>714.99400000000003</v>
      </c>
      <c r="Q13">
        <f ca="1">IFERROR(IF(0=LEN(ReferenceData!$Q$13),"",ReferenceData!$Q$13),"")</f>
        <v>749.37099999999998</v>
      </c>
      <c r="R13">
        <f ca="1">IFERROR(IF(0=LEN(ReferenceData!$R$13),"",ReferenceData!$R$13),"")</f>
        <v>679.88099999999997</v>
      </c>
      <c r="S13">
        <f ca="1">IFERROR(IF(0=LEN(ReferenceData!$S$13),"",ReferenceData!$S$13),"")</f>
        <v>781.84500000000003</v>
      </c>
      <c r="T13">
        <f ca="1">IFERROR(IF(0=LEN(ReferenceData!$T$13),"",ReferenceData!$T$13),"")</f>
        <v>634.29600000000005</v>
      </c>
      <c r="U13">
        <f ca="1">IFERROR(IF(0=LEN(ReferenceData!$U$13),"",ReferenceData!$U$13),"")</f>
        <v>628.80799999999999</v>
      </c>
      <c r="V13">
        <f ca="1">IFERROR(IF(0=LEN(ReferenceData!$V$13),"",ReferenceData!$V$13),"")</f>
        <v>617.625</v>
      </c>
      <c r="W13">
        <f ca="1">IFERROR(IF(0=LEN(ReferenceData!$W$13),"",ReferenceData!$W$13),"")</f>
        <v>532.97900000000004</v>
      </c>
      <c r="X13">
        <f ca="1">IFERROR(IF(0=LEN(ReferenceData!$X$13),"",ReferenceData!$X$13),"")</f>
        <v>529.00800000000004</v>
      </c>
      <c r="Y13">
        <f ca="1">IFERROR(IF(0=LEN(ReferenceData!$Y$13),"",ReferenceData!$Y$13),"")</f>
        <v>494.56099999999998</v>
      </c>
      <c r="Z13">
        <f ca="1">IFERROR(IF(0=LEN(ReferenceData!$Z$13),"",ReferenceData!$Z$13),"")</f>
        <v>1223.83</v>
      </c>
      <c r="AA13">
        <f ca="1">IFERROR(IF(0=LEN(ReferenceData!$AA$13),"",ReferenceData!$AA$13),"")</f>
        <v>503.04700000000003</v>
      </c>
      <c r="AB13">
        <f ca="1">IFERROR(IF(0=LEN(ReferenceData!$AB$13),"",ReferenceData!$AB$13),"")</f>
        <v>508.846</v>
      </c>
      <c r="AC13">
        <f ca="1">IFERROR(IF(0=LEN(ReferenceData!$AC$13),"",ReferenceData!$AC$13),"")</f>
        <v>423.125</v>
      </c>
      <c r="AD13">
        <f ca="1">IFERROR(IF(0=LEN(ReferenceData!$AD$13),"",ReferenceData!$AD$13),"")</f>
        <v>405.55500000000001</v>
      </c>
      <c r="AE13">
        <f ca="1">IFERROR(IF(0=LEN(ReferenceData!$AE$13),"",ReferenceData!$AE$13),"")</f>
        <v>390.70100000000002</v>
      </c>
      <c r="AF13">
        <f ca="1">IFERROR(IF(0=LEN(ReferenceData!$AF$13),"",ReferenceData!$AF$13),"")</f>
        <v>383.48</v>
      </c>
      <c r="AG13">
        <f ca="1">IFERROR(IF(0=LEN(ReferenceData!$AG$13),"",ReferenceData!$AG$13),"")</f>
        <v>372.88099999999997</v>
      </c>
      <c r="AH13">
        <f ca="1">IFERROR(IF(0=LEN(ReferenceData!$AH$13),"",ReferenceData!$AH$13),"")</f>
        <v>350.20850000000002</v>
      </c>
      <c r="AI13">
        <f ca="1">IFERROR(IF(0=LEN(ReferenceData!$AI$13),"",ReferenceData!$AI$13),"")</f>
        <v>339.52499999999998</v>
      </c>
      <c r="AJ13">
        <f ca="1">IFERROR(IF(0=LEN(ReferenceData!$AJ$13),"",ReferenceData!$AJ$13),"")</f>
        <v>339.09500000000003</v>
      </c>
      <c r="AK13">
        <f ca="1">IFERROR(IF(0=LEN(ReferenceData!$AK$13),"",ReferenceData!$AK$13),"")</f>
        <v>325.02999999999997</v>
      </c>
      <c r="AL13">
        <f ca="1">IFERROR(IF(0=LEN(ReferenceData!$AL$13),"",ReferenceData!$AL$13),"")</f>
        <v>274.45499999999998</v>
      </c>
      <c r="AM13">
        <f ca="1">IFERROR(IF(0=LEN(ReferenceData!$AM$13),"",ReferenceData!$AM$13),"")</f>
        <v>272.64400000000001</v>
      </c>
      <c r="AN13">
        <f ca="1">IFERROR(IF(0=LEN(ReferenceData!$AN$13),"",ReferenceData!$AN$13),"")</f>
        <v>372.27499999999998</v>
      </c>
      <c r="AO13">
        <f ca="1">IFERROR(IF(0=LEN(ReferenceData!$AO$13),"",ReferenceData!$AO$13),"")</f>
        <v>406.51400000000001</v>
      </c>
      <c r="AP13">
        <f ca="1">IFERROR(IF(0=LEN(ReferenceData!$AP$13),"",ReferenceData!$AP$13),"")</f>
        <v>529.38800000000003</v>
      </c>
      <c r="AQ13">
        <f ca="1">IFERROR(IF(0=LEN(ReferenceData!$AQ$13),"",ReferenceData!$AQ$13),"")</f>
        <v>483.79899999999998</v>
      </c>
      <c r="AR13">
        <f ca="1">IFERROR(IF(0=LEN(ReferenceData!$AR$13),"",ReferenceData!$AR$13),"")</f>
        <v>487.351</v>
      </c>
      <c r="AS13">
        <f ca="1">IFERROR(IF(0=LEN(ReferenceData!$AS$13),"",ReferenceData!$AS$13),"")</f>
        <v>473.89600000000002</v>
      </c>
      <c r="AT13">
        <f ca="1">IFERROR(IF(0=LEN(ReferenceData!$AT$13),"",ReferenceData!$AT$13),"")</f>
        <v>461.32850000000002</v>
      </c>
      <c r="AU13">
        <f ca="1">IFERROR(IF(0=LEN(ReferenceData!$AU$13),"",ReferenceData!$AU$13),"")</f>
        <v>461.34199999999998</v>
      </c>
      <c r="AV13">
        <f ca="1">IFERROR(IF(0=LEN(ReferenceData!$AV$13),"",ReferenceData!$AV$13),"")</f>
        <v>453.61700000000002</v>
      </c>
      <c r="AW13">
        <f ca="1">IFERROR(IF(0=LEN(ReferenceData!$AW$13),"",ReferenceData!$AW$13),"")</f>
        <v>455.37799999999999</v>
      </c>
      <c r="AX13">
        <f ca="1">IFERROR(IF(0=LEN(ReferenceData!$AX$13),"",ReferenceData!$AX$13),"")</f>
        <v>454.98599999999999</v>
      </c>
      <c r="AY13">
        <f ca="1">IFERROR(IF(0=LEN(ReferenceData!$AY$13),"",ReferenceData!$AY$13),"")</f>
        <v>429.84100000000001</v>
      </c>
      <c r="AZ13">
        <f ca="1">IFERROR(IF(0=LEN(ReferenceData!$AZ$13),"",ReferenceData!$AZ$13),"")</f>
        <v>560.84699999999998</v>
      </c>
      <c r="BA13">
        <f ca="1">IFERROR(IF(0=LEN(ReferenceData!$BA$13),"",ReferenceData!$BA$13),"")</f>
        <v>519.322</v>
      </c>
      <c r="BB13">
        <f ca="1">IFERROR(IF(0=LEN(ReferenceData!$BB$13),"",ReferenceData!$BB$13),"")</f>
        <v>497.34949999999998</v>
      </c>
      <c r="BC13">
        <f ca="1">IFERROR(IF(0=LEN(ReferenceData!$BC$13),"",ReferenceData!$BC$13),"")</f>
        <v>785.87099999999998</v>
      </c>
      <c r="BD13">
        <f ca="1">IFERROR(IF(0=LEN(ReferenceData!$BD$13),"",ReferenceData!$BD$13),"")</f>
        <v>464.49599999999998</v>
      </c>
      <c r="BE13">
        <f ca="1">IFERROR(IF(0=LEN(ReferenceData!$BE$13),"",ReferenceData!$BE$13),"")</f>
        <v>454.13600000000002</v>
      </c>
      <c r="BF13">
        <f ca="1">IFERROR(IF(0=LEN(ReferenceData!$BF$13),"",ReferenceData!$BF$13),"")</f>
        <v>451.53</v>
      </c>
      <c r="BG13">
        <f ca="1">IFERROR(IF(0=LEN(ReferenceData!$BG$13),"",ReferenceData!$BG$13),"")</f>
        <v>441.113</v>
      </c>
      <c r="BH13">
        <f ca="1">IFERROR(IF(0=LEN(ReferenceData!$BH$13),"",ReferenceData!$BH$13),"")</f>
        <v>442.61</v>
      </c>
      <c r="BI13">
        <f ca="1">IFERROR(IF(0=LEN(ReferenceData!$BI$13),"",ReferenceData!$BI$13),"")</f>
        <v>412.27699999999999</v>
      </c>
      <c r="BJ13">
        <f ca="1">IFERROR(IF(0=LEN(ReferenceData!$BJ$13),"",ReferenceData!$BJ$13),"")</f>
        <v>427.5745</v>
      </c>
      <c r="BK13">
        <f ca="1">IFERROR(IF(0=LEN(ReferenceData!$BK$13),"",ReferenceData!$BK$13),"")</f>
        <v>399.95600000000002</v>
      </c>
      <c r="BL13">
        <f ca="1">IFERROR(IF(0=LEN(ReferenceData!$BL$13),"",ReferenceData!$BL$13),"")</f>
        <v>409.483</v>
      </c>
      <c r="BM13">
        <f ca="1">IFERROR(IF(0=LEN(ReferenceData!$BM$13),"",ReferenceData!$BM$13),"")</f>
        <v>364.721</v>
      </c>
    </row>
    <row r="14" spans="1:65">
      <c r="A14" t="str">
        <f>IFERROR(IF(0=LEN(ReferenceData!$A$14),"",ReferenceData!$A$14),"")</f>
        <v>地区购物商城房地产投资信托数据</v>
      </c>
      <c r="B14" t="str">
        <f>IFERROR(IF(0=LEN(ReferenceData!$B$14),"",ReferenceData!$B$14),"")</f>
        <v/>
      </c>
      <c r="C14" t="str">
        <f>IFERROR(IF(0=LEN(ReferenceData!$C$14),"",ReferenceData!$C$14),"")</f>
        <v/>
      </c>
      <c r="D14" t="str">
        <f>IFERROR(IF(0=LEN(ReferenceData!$D$14),"",ReferenceData!$D$14),"")</f>
        <v/>
      </c>
      <c r="E14" t="str">
        <f>IFERROR(IF(0=LEN(ReferenceData!$E$14),"",ReferenceData!$E$14),"")</f>
        <v>静态</v>
      </c>
      <c r="F14" t="str">
        <f ca="1">IFERROR(IF(0=LEN(ReferenceData!$F$14),"",ReferenceData!$F$14),"")</f>
        <v/>
      </c>
      <c r="G14" t="str">
        <f ca="1">IFERROR(IF(0=LEN(ReferenceData!$G$14),"",ReferenceData!$G$14),"")</f>
        <v/>
      </c>
      <c r="H14" t="str">
        <f ca="1">IFERROR(IF(0=LEN(ReferenceData!$H$14),"",ReferenceData!$H$14),"")</f>
        <v/>
      </c>
      <c r="I14" t="str">
        <f ca="1">IFERROR(IF(0=LEN(ReferenceData!$I$14),"",ReferenceData!$I$14),"")</f>
        <v/>
      </c>
      <c r="J14" t="str">
        <f ca="1">IFERROR(IF(0=LEN(ReferenceData!$J$14),"",ReferenceData!$J$14),"")</f>
        <v/>
      </c>
      <c r="K14" t="str">
        <f ca="1">IFERROR(IF(0=LEN(ReferenceData!$K$14),"",ReferenceData!$K$14),"")</f>
        <v/>
      </c>
      <c r="L14" t="str">
        <f ca="1">IFERROR(IF(0=LEN(ReferenceData!$L$14),"",ReferenceData!$L$14),"")</f>
        <v/>
      </c>
      <c r="M14" t="str">
        <f ca="1">IFERROR(IF(0=LEN(ReferenceData!$M$14),"",ReferenceData!$M$14),"")</f>
        <v/>
      </c>
      <c r="N14" t="str">
        <f ca="1">IFERROR(IF(0=LEN(ReferenceData!$N$14),"",ReferenceData!$N$14),"")</f>
        <v/>
      </c>
      <c r="O14" t="str">
        <f ca="1">IFERROR(IF(0=LEN(ReferenceData!$O$14),"",ReferenceData!$O$14),"")</f>
        <v/>
      </c>
      <c r="P14" t="str">
        <f ca="1">IFERROR(IF(0=LEN(ReferenceData!$P$14),"",ReferenceData!$P$14),"")</f>
        <v/>
      </c>
      <c r="Q14" t="str">
        <f ca="1">IFERROR(IF(0=LEN(ReferenceData!$Q$14),"",ReferenceData!$Q$14),"")</f>
        <v/>
      </c>
      <c r="R14" t="str">
        <f ca="1">IFERROR(IF(0=LEN(ReferenceData!$R$14),"",ReferenceData!$R$14),"")</f>
        <v/>
      </c>
      <c r="S14" t="str">
        <f ca="1">IFERROR(IF(0=LEN(ReferenceData!$S$14),"",ReferenceData!$S$14),"")</f>
        <v/>
      </c>
      <c r="T14" t="str">
        <f ca="1">IFERROR(IF(0=LEN(ReferenceData!$T$14),"",ReferenceData!$T$14),"")</f>
        <v/>
      </c>
      <c r="U14" t="str">
        <f ca="1">IFERROR(IF(0=LEN(ReferenceData!$U$14),"",ReferenceData!$U$14),"")</f>
        <v/>
      </c>
      <c r="V14" t="str">
        <f ca="1">IFERROR(IF(0=LEN(ReferenceData!$V$14),"",ReferenceData!$V$14),"")</f>
        <v/>
      </c>
      <c r="W14" t="str">
        <f ca="1">IFERROR(IF(0=LEN(ReferenceData!$W$14),"",ReferenceData!$W$14),"")</f>
        <v/>
      </c>
      <c r="X14" t="str">
        <f ca="1">IFERROR(IF(0=LEN(ReferenceData!$X$14),"",ReferenceData!$X$14),"")</f>
        <v/>
      </c>
      <c r="Y14" t="str">
        <f ca="1">IFERROR(IF(0=LEN(ReferenceData!$Y$14),"",ReferenceData!$Y$14),"")</f>
        <v/>
      </c>
      <c r="Z14" t="str">
        <f ca="1">IFERROR(IF(0=LEN(ReferenceData!$Z$14),"",ReferenceData!$Z$14),"")</f>
        <v/>
      </c>
      <c r="AA14" t="str">
        <f ca="1">IFERROR(IF(0=LEN(ReferenceData!$AA$14),"",ReferenceData!$AA$14),"")</f>
        <v/>
      </c>
      <c r="AB14" t="str">
        <f ca="1">IFERROR(IF(0=LEN(ReferenceData!$AB$14),"",ReferenceData!$AB$14),"")</f>
        <v/>
      </c>
      <c r="AC14" t="str">
        <f ca="1">IFERROR(IF(0=LEN(ReferenceData!$AC$14),"",ReferenceData!$AC$14),"")</f>
        <v/>
      </c>
      <c r="AD14" t="str">
        <f ca="1">IFERROR(IF(0=LEN(ReferenceData!$AD$14),"",ReferenceData!$AD$14),"")</f>
        <v/>
      </c>
      <c r="AE14" t="str">
        <f ca="1">IFERROR(IF(0=LEN(ReferenceData!$AE$14),"",ReferenceData!$AE$14),"")</f>
        <v/>
      </c>
      <c r="AF14" t="str">
        <f ca="1">IFERROR(IF(0=LEN(ReferenceData!$AF$14),"",ReferenceData!$AF$14),"")</f>
        <v/>
      </c>
      <c r="AG14" t="str">
        <f ca="1">IFERROR(IF(0=LEN(ReferenceData!$AG$14),"",ReferenceData!$AG$14),"")</f>
        <v/>
      </c>
      <c r="AH14" t="str">
        <f ca="1">IFERROR(IF(0=LEN(ReferenceData!$AH$14),"",ReferenceData!$AH$14),"")</f>
        <v/>
      </c>
      <c r="AI14" t="str">
        <f ca="1">IFERROR(IF(0=LEN(ReferenceData!$AI$14),"",ReferenceData!$AI$14),"")</f>
        <v/>
      </c>
      <c r="AJ14" t="str">
        <f ca="1">IFERROR(IF(0=LEN(ReferenceData!$AJ$14),"",ReferenceData!$AJ$14),"")</f>
        <v/>
      </c>
      <c r="AK14" t="str">
        <f ca="1">IFERROR(IF(0=LEN(ReferenceData!$AK$14),"",ReferenceData!$AK$14),"")</f>
        <v/>
      </c>
      <c r="AL14" t="str">
        <f ca="1">IFERROR(IF(0=LEN(ReferenceData!$AL$14),"",ReferenceData!$AL$14),"")</f>
        <v/>
      </c>
      <c r="AM14" t="str">
        <f ca="1">IFERROR(IF(0=LEN(ReferenceData!$AM$14),"",ReferenceData!$AM$14),"")</f>
        <v/>
      </c>
      <c r="AN14" t="str">
        <f ca="1">IFERROR(IF(0=LEN(ReferenceData!$AN$14),"",ReferenceData!$AN$14),"")</f>
        <v/>
      </c>
      <c r="AO14" t="str">
        <f ca="1">IFERROR(IF(0=LEN(ReferenceData!$AO$14),"",ReferenceData!$AO$14),"")</f>
        <v/>
      </c>
      <c r="AP14" t="str">
        <f ca="1">IFERROR(IF(0=LEN(ReferenceData!$AP$14),"",ReferenceData!$AP$14),"")</f>
        <v/>
      </c>
      <c r="AQ14" t="str">
        <f ca="1">IFERROR(IF(0=LEN(ReferenceData!$AQ$14),"",ReferenceData!$AQ$14),"")</f>
        <v/>
      </c>
      <c r="AR14" t="str">
        <f ca="1">IFERROR(IF(0=LEN(ReferenceData!$AR$14),"",ReferenceData!$AR$14),"")</f>
        <v/>
      </c>
      <c r="AS14" t="str">
        <f ca="1">IFERROR(IF(0=LEN(ReferenceData!$AS$14),"",ReferenceData!$AS$14),"")</f>
        <v/>
      </c>
      <c r="AT14" t="str">
        <f ca="1">IFERROR(IF(0=LEN(ReferenceData!$AT$14),"",ReferenceData!$AT$14),"")</f>
        <v/>
      </c>
      <c r="AU14" t="str">
        <f ca="1">IFERROR(IF(0=LEN(ReferenceData!$AU$14),"",ReferenceData!$AU$14),"")</f>
        <v/>
      </c>
      <c r="AV14" t="str">
        <f ca="1">IFERROR(IF(0=LEN(ReferenceData!$AV$14),"",ReferenceData!$AV$14),"")</f>
        <v/>
      </c>
      <c r="AW14" t="str">
        <f ca="1">IFERROR(IF(0=LEN(ReferenceData!$AW$14),"",ReferenceData!$AW$14),"")</f>
        <v/>
      </c>
      <c r="AX14" t="str">
        <f ca="1">IFERROR(IF(0=LEN(ReferenceData!$AX$14),"",ReferenceData!$AX$14),"")</f>
        <v/>
      </c>
      <c r="AY14" t="str">
        <f ca="1">IFERROR(IF(0=LEN(ReferenceData!$AY$14),"",ReferenceData!$AY$14),"")</f>
        <v/>
      </c>
      <c r="AZ14" t="str">
        <f ca="1">IFERROR(IF(0=LEN(ReferenceData!$AZ$14),"",ReferenceData!$AZ$14),"")</f>
        <v/>
      </c>
      <c r="BA14" t="str">
        <f ca="1">IFERROR(IF(0=LEN(ReferenceData!$BA$14),"",ReferenceData!$BA$14),"")</f>
        <v/>
      </c>
      <c r="BB14" t="str">
        <f ca="1">IFERROR(IF(0=LEN(ReferenceData!$BB$14),"",ReferenceData!$BB$14),"")</f>
        <v/>
      </c>
      <c r="BC14" t="str">
        <f ca="1">IFERROR(IF(0=LEN(ReferenceData!$BC$14),"",ReferenceData!$BC$14),"")</f>
        <v/>
      </c>
      <c r="BD14" t="str">
        <f ca="1">IFERROR(IF(0=LEN(ReferenceData!$BD$14),"",ReferenceData!$BD$14),"")</f>
        <v/>
      </c>
      <c r="BE14" t="str">
        <f ca="1">IFERROR(IF(0=LEN(ReferenceData!$BE$14),"",ReferenceData!$BE$14),"")</f>
        <v/>
      </c>
      <c r="BF14" t="str">
        <f ca="1">IFERROR(IF(0=LEN(ReferenceData!$BF$14),"",ReferenceData!$BF$14),"")</f>
        <v/>
      </c>
      <c r="BG14" t="str">
        <f ca="1">IFERROR(IF(0=LEN(ReferenceData!$BG$14),"",ReferenceData!$BG$14),"")</f>
        <v/>
      </c>
      <c r="BH14" t="str">
        <f ca="1">IFERROR(IF(0=LEN(ReferenceData!$BH$14),"",ReferenceData!$BH$14),"")</f>
        <v/>
      </c>
      <c r="BI14" t="str">
        <f ca="1">IFERROR(IF(0=LEN(ReferenceData!$BI$14),"",ReferenceData!$BI$14),"")</f>
        <v/>
      </c>
      <c r="BJ14" t="str">
        <f ca="1">IFERROR(IF(0=LEN(ReferenceData!$BJ$14),"",ReferenceData!$BJ$14),"")</f>
        <v/>
      </c>
      <c r="BK14" t="str">
        <f ca="1">IFERROR(IF(0=LEN(ReferenceData!$BK$14),"",ReferenceData!$BK$14),"")</f>
        <v/>
      </c>
      <c r="BL14" t="str">
        <f ca="1">IFERROR(IF(0=LEN(ReferenceData!$BL$14),"",ReferenceData!$BL$14),"")</f>
        <v/>
      </c>
      <c r="BM14" t="str">
        <f ca="1">IFERROR(IF(0=LEN(ReferenceData!$BM$14),"",ReferenceData!$BM$14),"")</f>
        <v/>
      </c>
    </row>
    <row r="15" spans="1:65">
      <c r="A15" t="str">
        <f>IFERROR(IF(0=LEN(ReferenceData!$A$15),"",ReferenceData!$A$15),"")</f>
        <v xml:space="preserve">    购物商城房地产投资信托总营运现金流</v>
      </c>
      <c r="B15" t="str">
        <f>IFERROR(IF(0=LEN(ReferenceData!$B$15),"",ReferenceData!$B$15),"")</f>
        <v>RECFFORM Index</v>
      </c>
      <c r="C15" t="str">
        <f>IFERROR(IF(0=LEN(ReferenceData!$C$15),"",ReferenceData!$C$15),"")</f>
        <v>PR005</v>
      </c>
      <c r="D15" t="str">
        <f>IFERROR(IF(0=LEN(ReferenceData!$D$15),"",ReferenceData!$D$15),"")</f>
        <v>PX_LAST</v>
      </c>
      <c r="E15" t="str">
        <f>IFERROR(IF(0=LEN(ReferenceData!$E$15),"",ReferenceData!$E$15),"")</f>
        <v>动态</v>
      </c>
      <c r="F15">
        <f ca="1">IFERROR(IF(0=LEN(ReferenceData!$F$15),"",ReferenceData!$F$15),"")</f>
        <v>2015.3764369999999</v>
      </c>
      <c r="G15">
        <f ca="1">IFERROR(IF(0=LEN(ReferenceData!$G$15),"",ReferenceData!$G$15),"")</f>
        <v>1799.7650000000001</v>
      </c>
      <c r="H15">
        <f ca="1">IFERROR(IF(0=LEN(ReferenceData!$H$15),"",ReferenceData!$H$15),"")</f>
        <v>1723.614</v>
      </c>
      <c r="I15">
        <f ca="1">IFERROR(IF(0=LEN(ReferenceData!$I$15),"",ReferenceData!$I$15),"")</f>
        <v>1739.2070000000001</v>
      </c>
      <c r="J15">
        <f ca="1">IFERROR(IF(0=LEN(ReferenceData!$J$15),"",ReferenceData!$J$15),"")</f>
        <v>1916.98</v>
      </c>
      <c r="K15">
        <f ca="1">IFERROR(IF(0=LEN(ReferenceData!$K$15),"",ReferenceData!$K$15),"")</f>
        <v>1777.952</v>
      </c>
      <c r="L15">
        <f ca="1">IFERROR(IF(0=LEN(ReferenceData!$L$15),"",ReferenceData!$L$15),"")</f>
        <v>1796.1</v>
      </c>
      <c r="M15">
        <f ca="1">IFERROR(IF(0=LEN(ReferenceData!$M$15),"",ReferenceData!$M$15),"")</f>
        <v>1781.6969999999999</v>
      </c>
      <c r="N15">
        <f ca="1">IFERROR(IF(0=LEN(ReferenceData!$N$15),"",ReferenceData!$N$15),"")</f>
        <v>1835.7539999999999</v>
      </c>
      <c r="O15">
        <f ca="1">IFERROR(IF(0=LEN(ReferenceData!$O$15),"",ReferenceData!$O$15),"")</f>
        <v>1729.2149999999999</v>
      </c>
      <c r="P15">
        <f ca="1">IFERROR(IF(0=LEN(ReferenceData!$P$15),"",ReferenceData!$P$15),"")</f>
        <v>1716.654</v>
      </c>
      <c r="Q15">
        <f ca="1">IFERROR(IF(0=LEN(ReferenceData!$Q$15),"",ReferenceData!$Q$15),"")</f>
        <v>1518.8</v>
      </c>
      <c r="R15">
        <f ca="1">IFERROR(IF(0=LEN(ReferenceData!$R$15),"",ReferenceData!$R$15),"")</f>
        <v>1823.0930000000001</v>
      </c>
      <c r="S15">
        <f ca="1">IFERROR(IF(0=LEN(ReferenceData!$S$15),"",ReferenceData!$S$15),"")</f>
        <v>1460.346</v>
      </c>
      <c r="T15">
        <f ca="1">IFERROR(IF(0=LEN(ReferenceData!$T$15),"",ReferenceData!$T$15),"")</f>
        <v>1455.752</v>
      </c>
      <c r="U15">
        <f ca="1">IFERROR(IF(0=LEN(ReferenceData!$U$15),"",ReferenceData!$U$15),"")</f>
        <v>1592.8389999999999</v>
      </c>
      <c r="V15">
        <f ca="1">IFERROR(IF(0=LEN(ReferenceData!$V$15),"",ReferenceData!$V$15),"")</f>
        <v>1636.769</v>
      </c>
      <c r="W15">
        <f ca="1">IFERROR(IF(0=LEN(ReferenceData!$W$15),"",ReferenceData!$W$15),"")</f>
        <v>1431.13</v>
      </c>
      <c r="X15">
        <f ca="1">IFERROR(IF(0=LEN(ReferenceData!$X$15),"",ReferenceData!$X$15),"")</f>
        <v>1331.1479999999999</v>
      </c>
      <c r="Y15">
        <f ca="1">IFERROR(IF(0=LEN(ReferenceData!$Y$15),"",ReferenceData!$Y$15),"")</f>
        <v>1295.2940000000001</v>
      </c>
      <c r="Z15">
        <f ca="1">IFERROR(IF(0=LEN(ReferenceData!$Z$15),"",ReferenceData!$Z$15),"")</f>
        <v>1481.19</v>
      </c>
      <c r="AA15">
        <f ca="1">IFERROR(IF(0=LEN(ReferenceData!$AA$15),"",ReferenceData!$AA$15),"")</f>
        <v>1138.5070000000001</v>
      </c>
      <c r="AB15">
        <f ca="1">IFERROR(IF(0=LEN(ReferenceData!$AB$15),"",ReferenceData!$AB$15),"")</f>
        <v>1200.019</v>
      </c>
      <c r="AC15">
        <f ca="1">IFERROR(IF(0=LEN(ReferenceData!$AC$15),"",ReferenceData!$AC$15),"")</f>
        <v>998.13699999999994</v>
      </c>
      <c r="AD15">
        <f ca="1">IFERROR(IF(0=LEN(ReferenceData!$AD$15),"",ReferenceData!$AD$15),"")</f>
        <v>1115.04</v>
      </c>
      <c r="AE15">
        <f ca="1">IFERROR(IF(0=LEN(ReferenceData!$AE$15),"",ReferenceData!$AE$15),"")</f>
        <v>1424.7170000000001</v>
      </c>
      <c r="AF15">
        <f ca="1">IFERROR(IF(0=LEN(ReferenceData!$AF$15),"",ReferenceData!$AF$15),"")</f>
        <v>932.94100000000003</v>
      </c>
      <c r="AG15">
        <f ca="1">IFERROR(IF(0=LEN(ReferenceData!$AG$15),"",ReferenceData!$AG$15),"")</f>
        <v>1143.6289999999999</v>
      </c>
      <c r="AH15">
        <f ca="1">IFERROR(IF(0=LEN(ReferenceData!$AH$15),"",ReferenceData!$AH$15),"")</f>
        <v>1205.81</v>
      </c>
      <c r="AI15">
        <f ca="1">IFERROR(IF(0=LEN(ReferenceData!$AI$15),"",ReferenceData!$AI$15),"")</f>
        <v>569.32799999999997</v>
      </c>
      <c r="AJ15">
        <f ca="1">IFERROR(IF(0=LEN(ReferenceData!$AJ$15),"",ReferenceData!$AJ$15),"")</f>
        <v>698.01499999999999</v>
      </c>
      <c r="AK15">
        <f ca="1">IFERROR(IF(0=LEN(ReferenceData!$AK$15),"",ReferenceData!$AK$15),"")</f>
        <v>566.09100000000001</v>
      </c>
      <c r="AL15">
        <f ca="1">IFERROR(IF(0=LEN(ReferenceData!$AL$15),"",ReferenceData!$AL$15),"")</f>
        <v>792.846</v>
      </c>
      <c r="AM15">
        <f ca="1">IFERROR(IF(0=LEN(ReferenceData!$AM$15),"",ReferenceData!$AM$15),"")</f>
        <v>636.16700000000003</v>
      </c>
      <c r="AN15">
        <f ca="1">IFERROR(IF(0=LEN(ReferenceData!$AN$15),"",ReferenceData!$AN$15),"")</f>
        <v>560.29300000000001</v>
      </c>
      <c r="AO15">
        <f ca="1">IFERROR(IF(0=LEN(ReferenceData!$AO$15),"",ReferenceData!$AO$15),"")</f>
        <v>753.91</v>
      </c>
      <c r="AP15">
        <f ca="1">IFERROR(IF(0=LEN(ReferenceData!$AP$15),"",ReferenceData!$AP$15),"")</f>
        <v>838.52099999999996</v>
      </c>
      <c r="AQ15">
        <f ca="1">IFERROR(IF(0=LEN(ReferenceData!$AQ$15),"",ReferenceData!$AQ$15),"")</f>
        <v>926.56399999999996</v>
      </c>
      <c r="AR15">
        <f ca="1">IFERROR(IF(0=LEN(ReferenceData!$AR$15),"",ReferenceData!$AR$15),"")</f>
        <v>848.88300000000004</v>
      </c>
      <c r="AS15">
        <f ca="1">IFERROR(IF(0=LEN(ReferenceData!$AS$15),"",ReferenceData!$AS$15),"")</f>
        <v>911.29100000000005</v>
      </c>
      <c r="AT15">
        <f ca="1">IFERROR(IF(0=LEN(ReferenceData!$AT$15),"",ReferenceData!$AT$15),"")</f>
        <v>975.90599999999995</v>
      </c>
      <c r="AU15">
        <f ca="1">IFERROR(IF(0=LEN(ReferenceData!$AU$15),"",ReferenceData!$AU$15),"")</f>
        <v>931.09799999999996</v>
      </c>
      <c r="AV15">
        <f ca="1">IFERROR(IF(0=LEN(ReferenceData!$AV$15),"",ReferenceData!$AV$15),"")</f>
        <v>855.18899999999996</v>
      </c>
      <c r="AW15">
        <f ca="1">IFERROR(IF(0=LEN(ReferenceData!$AW$15),"",ReferenceData!$AW$15),"")</f>
        <v>1151.5619999999999</v>
      </c>
      <c r="AX15">
        <f ca="1">IFERROR(IF(0=LEN(ReferenceData!$AX$15),"",ReferenceData!$AX$15),"")</f>
        <v>1007.1015</v>
      </c>
      <c r="AY15">
        <f ca="1">IFERROR(IF(0=LEN(ReferenceData!$AY$15),"",ReferenceData!$AY$15),"")</f>
        <v>826.63099999999997</v>
      </c>
      <c r="AZ15">
        <f ca="1">IFERROR(IF(0=LEN(ReferenceData!$AZ$15),"",ReferenceData!$AZ$15),"")</f>
        <v>752.88900000000001</v>
      </c>
      <c r="BA15">
        <f ca="1">IFERROR(IF(0=LEN(ReferenceData!$BA$15),"",ReferenceData!$BA$15),"")</f>
        <v>862.15700000000004</v>
      </c>
      <c r="BB15">
        <f ca="1">IFERROR(IF(0=LEN(ReferenceData!$BB$15),"",ReferenceData!$BB$15),"")</f>
        <v>1003.9640000000001</v>
      </c>
      <c r="BC15">
        <f ca="1">IFERROR(IF(0=LEN(ReferenceData!$BC$15),"",ReferenceData!$BC$15),"")</f>
        <v>862.68799999999999</v>
      </c>
      <c r="BD15">
        <f ca="1">IFERROR(IF(0=LEN(ReferenceData!$BD$15),"",ReferenceData!$BD$15),"")</f>
        <v>868.55799999999999</v>
      </c>
      <c r="BE15">
        <f ca="1">IFERROR(IF(0=LEN(ReferenceData!$BE$15),"",ReferenceData!$BE$15),"")</f>
        <v>856.28</v>
      </c>
      <c r="BF15">
        <f ca="1">IFERROR(IF(0=LEN(ReferenceData!$BF$15),"",ReferenceData!$BF$15),"")</f>
        <v>1017.893</v>
      </c>
      <c r="BG15">
        <f ca="1">IFERROR(IF(0=LEN(ReferenceData!$BG$15),"",ReferenceData!$BG$15),"")</f>
        <v>792.04499999999996</v>
      </c>
      <c r="BH15">
        <f ca="1">IFERROR(IF(0=LEN(ReferenceData!$BH$15),"",ReferenceData!$BH$15),"")</f>
        <v>817.52099999999996</v>
      </c>
      <c r="BI15">
        <f ca="1">IFERROR(IF(0=LEN(ReferenceData!$BI$15),"",ReferenceData!$BI$15),"")</f>
        <v>789.47900000000004</v>
      </c>
      <c r="BJ15">
        <f ca="1">IFERROR(IF(0=LEN(ReferenceData!$BJ$15),"",ReferenceData!$BJ$15),"")</f>
        <v>903.96849999999995</v>
      </c>
      <c r="BK15">
        <f ca="1">IFERROR(IF(0=LEN(ReferenceData!$BK$15),"",ReferenceData!$BK$15),"")</f>
        <v>730.39499999999998</v>
      </c>
      <c r="BL15">
        <f ca="1">IFERROR(IF(0=LEN(ReferenceData!$BL$15),"",ReferenceData!$BL$15),"")</f>
        <v>704.37300000000005</v>
      </c>
      <c r="BM15">
        <f ca="1">IFERROR(IF(0=LEN(ReferenceData!$BM$15),"",ReferenceData!$BM$15),"")</f>
        <v>667.85900000000004</v>
      </c>
    </row>
    <row r="16" spans="1:65">
      <c r="A16" t="str">
        <f>IFERROR(IF(0=LEN(ReferenceData!$A$16),"",ReferenceData!$A$16),"")</f>
        <v xml:space="preserve">    购物商城房地产投资信托净营业利润</v>
      </c>
      <c r="B16" t="str">
        <f>IFERROR(IF(0=LEN(ReferenceData!$B$16),"",ReferenceData!$B$16),"")</f>
        <v>RECFNORM Index</v>
      </c>
      <c r="C16" t="str">
        <f>IFERROR(IF(0=LEN(ReferenceData!$C$16),"",ReferenceData!$C$16),"")</f>
        <v>PR005</v>
      </c>
      <c r="D16" t="str">
        <f>IFERROR(IF(0=LEN(ReferenceData!$D$16),"",ReferenceData!$D$16),"")</f>
        <v>PX_LAST</v>
      </c>
      <c r="E16" t="str">
        <f>IFERROR(IF(0=LEN(ReferenceData!$E$16),"",ReferenceData!$E$16),"")</f>
        <v>动态</v>
      </c>
      <c r="F16">
        <f ca="1">IFERROR(IF(0=LEN(ReferenceData!$F$16),"",ReferenceData!$F$16),"")</f>
        <v>2046.757333</v>
      </c>
      <c r="G16">
        <f ca="1">IFERROR(IF(0=LEN(ReferenceData!$G$16),"",ReferenceData!$G$16),"")</f>
        <v>1921.25</v>
      </c>
      <c r="H16">
        <f ca="1">IFERROR(IF(0=LEN(ReferenceData!$H$16),"",ReferenceData!$H$16),"")</f>
        <v>1933.9849999999999</v>
      </c>
      <c r="I16">
        <f ca="1">IFERROR(IF(0=LEN(ReferenceData!$I$16),"",ReferenceData!$I$16),"")</f>
        <v>1925.1369999999999</v>
      </c>
      <c r="J16">
        <f ca="1">IFERROR(IF(0=LEN(ReferenceData!$J$16),"",ReferenceData!$J$16),"")</f>
        <v>2091.4290000000001</v>
      </c>
      <c r="K16">
        <f ca="1">IFERROR(IF(0=LEN(ReferenceData!$K$16),"",ReferenceData!$K$16),"")</f>
        <v>1943.9190000000001</v>
      </c>
      <c r="L16">
        <f ca="1">IFERROR(IF(0=LEN(ReferenceData!$L$16),"",ReferenceData!$L$16),"")</f>
        <v>1942.0719999999999</v>
      </c>
      <c r="M16">
        <f ca="1">IFERROR(IF(0=LEN(ReferenceData!$M$16),"",ReferenceData!$M$16),"")</f>
        <v>2001.19</v>
      </c>
      <c r="N16">
        <f ca="1">IFERROR(IF(0=LEN(ReferenceData!$N$16),"",ReferenceData!$N$16),"")</f>
        <v>2187.4940000000001</v>
      </c>
      <c r="O16">
        <f ca="1">IFERROR(IF(0=LEN(ReferenceData!$O$16),"",ReferenceData!$O$16),"")</f>
        <v>2019.4839999999999</v>
      </c>
      <c r="P16">
        <f ca="1">IFERROR(IF(0=LEN(ReferenceData!$P$16),"",ReferenceData!$P$16),"")</f>
        <v>1995.625</v>
      </c>
      <c r="Q16">
        <f ca="1">IFERROR(IF(0=LEN(ReferenceData!$Q$16),"",ReferenceData!$Q$16),"")</f>
        <v>1976.327</v>
      </c>
      <c r="R16">
        <f ca="1">IFERROR(IF(0=LEN(ReferenceData!$R$16),"",ReferenceData!$R$16),"")</f>
        <v>2117.201</v>
      </c>
      <c r="S16">
        <f ca="1">IFERROR(IF(0=LEN(ReferenceData!$S$16),"",ReferenceData!$S$16),"")</f>
        <v>2016.076</v>
      </c>
      <c r="T16">
        <f ca="1">IFERROR(IF(0=LEN(ReferenceData!$T$16),"",ReferenceData!$T$16),"")</f>
        <v>1962.0830000000001</v>
      </c>
      <c r="U16">
        <f ca="1">IFERROR(IF(0=LEN(ReferenceData!$U$16),"",ReferenceData!$U$16),"")</f>
        <v>1934.7750000000001</v>
      </c>
      <c r="V16">
        <f ca="1">IFERROR(IF(0=LEN(ReferenceData!$V$16),"",ReferenceData!$V$16),"")</f>
        <v>2120.5659999999998</v>
      </c>
      <c r="W16">
        <f ca="1">IFERROR(IF(0=LEN(ReferenceData!$W$16),"",ReferenceData!$W$16),"")</f>
        <v>1906.0519999999999</v>
      </c>
      <c r="X16">
        <f ca="1">IFERROR(IF(0=LEN(ReferenceData!$X$16),"",ReferenceData!$X$16),"")</f>
        <v>1877.5239999999999</v>
      </c>
      <c r="Y16">
        <f ca="1">IFERROR(IF(0=LEN(ReferenceData!$Y$16),"",ReferenceData!$Y$16),"")</f>
        <v>1879.999</v>
      </c>
      <c r="Z16">
        <f ca="1">IFERROR(IF(0=LEN(ReferenceData!$Z$16),"",ReferenceData!$Z$16),"")</f>
        <v>2017.722</v>
      </c>
      <c r="AA16">
        <f ca="1">IFERROR(IF(0=LEN(ReferenceData!$AA$16),"",ReferenceData!$AA$16),"")</f>
        <v>1812.63</v>
      </c>
      <c r="AB16">
        <f ca="1">IFERROR(IF(0=LEN(ReferenceData!$AB$16),"",ReferenceData!$AB$16),"")</f>
        <v>1751.7260000000001</v>
      </c>
      <c r="AC16">
        <f ca="1">IFERROR(IF(0=LEN(ReferenceData!$AC$16),"",ReferenceData!$AC$16),"")</f>
        <v>1704.6089999999999</v>
      </c>
      <c r="AD16">
        <f ca="1">IFERROR(IF(0=LEN(ReferenceData!$AD$16),"",ReferenceData!$AD$16),"")</f>
        <v>1759.201</v>
      </c>
      <c r="AE16">
        <f ca="1">IFERROR(IF(0=LEN(ReferenceData!$AE$16),"",ReferenceData!$AE$16),"")</f>
        <v>1646.8589999999999</v>
      </c>
      <c r="AF16">
        <f ca="1">IFERROR(IF(0=LEN(ReferenceData!$AF$16),"",ReferenceData!$AF$16),"")</f>
        <v>1588.87</v>
      </c>
      <c r="AG16">
        <f ca="1">IFERROR(IF(0=LEN(ReferenceData!$AG$16),"",ReferenceData!$AG$16),"")</f>
        <v>1602.847</v>
      </c>
      <c r="AH16">
        <f ca="1">IFERROR(IF(0=LEN(ReferenceData!$AH$16),"",ReferenceData!$AH$16),"")</f>
        <v>1763.14</v>
      </c>
      <c r="AI16">
        <f ca="1">IFERROR(IF(0=LEN(ReferenceData!$AI$16),"",ReferenceData!$AI$16),"")</f>
        <v>1125.396</v>
      </c>
      <c r="AJ16">
        <f ca="1">IFERROR(IF(0=LEN(ReferenceData!$AJ$16),"",ReferenceData!$AJ$16),"")</f>
        <v>1091.4939999999999</v>
      </c>
      <c r="AK16">
        <f ca="1">IFERROR(IF(0=LEN(ReferenceData!$AK$16),"",ReferenceData!$AK$16),"")</f>
        <v>1083.6500000000001</v>
      </c>
      <c r="AL16">
        <f ca="1">IFERROR(IF(0=LEN(ReferenceData!$AL$16),"",ReferenceData!$AL$16),"")</f>
        <v>1216.2190000000001</v>
      </c>
      <c r="AM16">
        <f ca="1">IFERROR(IF(0=LEN(ReferenceData!$AM$16),"",ReferenceData!$AM$16),"")</f>
        <v>1097.9870000000001</v>
      </c>
      <c r="AN16">
        <f ca="1">IFERROR(IF(0=LEN(ReferenceData!$AN$16),"",ReferenceData!$AN$16),"")</f>
        <v>1096.8720000000001</v>
      </c>
      <c r="AO16">
        <f ca="1">IFERROR(IF(0=LEN(ReferenceData!$AO$16),"",ReferenceData!$AO$16),"")</f>
        <v>1101.992</v>
      </c>
      <c r="AP16">
        <f ca="1">IFERROR(IF(0=LEN(ReferenceData!$AP$16),"",ReferenceData!$AP$16),"")</f>
        <v>1252.5840000000001</v>
      </c>
      <c r="AQ16">
        <f ca="1">IFERROR(IF(0=LEN(ReferenceData!$AQ$16),"",ReferenceData!$AQ$16),"")</f>
        <v>1609.0540000000001</v>
      </c>
      <c r="AR16">
        <f ca="1">IFERROR(IF(0=LEN(ReferenceData!$AR$16),"",ReferenceData!$AR$16),"")</f>
        <v>1603.59</v>
      </c>
      <c r="AS16">
        <f ca="1">IFERROR(IF(0=LEN(ReferenceData!$AS$16),"",ReferenceData!$AS$16),"")</f>
        <v>1590.557</v>
      </c>
      <c r="AT16">
        <f ca="1">IFERROR(IF(0=LEN(ReferenceData!$AT$16),"",ReferenceData!$AT$16),"")</f>
        <v>1565.9190000000001</v>
      </c>
      <c r="AU16">
        <f ca="1">IFERROR(IF(0=LEN(ReferenceData!$AU$16),"",ReferenceData!$AU$16),"")</f>
        <v>1604.221</v>
      </c>
      <c r="AV16">
        <f ca="1">IFERROR(IF(0=LEN(ReferenceData!$AV$16),"",ReferenceData!$AV$16),"")</f>
        <v>1484.7249999999999</v>
      </c>
      <c r="AW16">
        <f ca="1">IFERROR(IF(0=LEN(ReferenceData!$AW$16),"",ReferenceData!$AW$16),"")</f>
        <v>1452.6130000000001</v>
      </c>
      <c r="AX16">
        <f ca="1">IFERROR(IF(0=LEN(ReferenceData!$AX$16),"",ReferenceData!$AX$16),"")</f>
        <v>1704.325</v>
      </c>
      <c r="AY16">
        <f ca="1">IFERROR(IF(0=LEN(ReferenceData!$AY$16),"",ReferenceData!$AY$16),"")</f>
        <v>1446.125</v>
      </c>
      <c r="AZ16">
        <f ca="1">IFERROR(IF(0=LEN(ReferenceData!$AZ$16),"",ReferenceData!$AZ$16),"")</f>
        <v>1419.2539999999999</v>
      </c>
      <c r="BA16">
        <f ca="1">IFERROR(IF(0=LEN(ReferenceData!$BA$16),"",ReferenceData!$BA$16),"")</f>
        <v>1474.8969999999999</v>
      </c>
      <c r="BB16">
        <f ca="1">IFERROR(IF(0=LEN(ReferenceData!$BB$16),"",ReferenceData!$BB$16),"")</f>
        <v>1607.86</v>
      </c>
      <c r="BC16">
        <f ca="1">IFERROR(IF(0=LEN(ReferenceData!$BC$16),"",ReferenceData!$BC$16),"")</f>
        <v>1497.114</v>
      </c>
      <c r="BD16">
        <f ca="1">IFERROR(IF(0=LEN(ReferenceData!$BD$16),"",ReferenceData!$BD$16),"")</f>
        <v>1450.8920000000001</v>
      </c>
      <c r="BE16">
        <f ca="1">IFERROR(IF(0=LEN(ReferenceData!$BE$16),"",ReferenceData!$BE$16),"")</f>
        <v>1421.8209999999999</v>
      </c>
      <c r="BF16">
        <f ca="1">IFERROR(IF(0=LEN(ReferenceData!$BF$16),"",ReferenceData!$BF$16),"")</f>
        <v>1515.731</v>
      </c>
      <c r="BG16">
        <f ca="1">IFERROR(IF(0=LEN(ReferenceData!$BG$16),"",ReferenceData!$BG$16),"")</f>
        <v>1221.55</v>
      </c>
      <c r="BH16">
        <f ca="1">IFERROR(IF(0=LEN(ReferenceData!$BH$16),"",ReferenceData!$BH$16),"")</f>
        <v>1179.53</v>
      </c>
      <c r="BI16">
        <f ca="1">IFERROR(IF(0=LEN(ReferenceData!$BI$16),"",ReferenceData!$BI$16),"")</f>
        <v>1164.8420000000001</v>
      </c>
      <c r="BJ16">
        <f ca="1">IFERROR(IF(0=LEN(ReferenceData!$BJ$16),"",ReferenceData!$BJ$16),"")</f>
        <v>1194.4815000000001</v>
      </c>
      <c r="BK16">
        <f ca="1">IFERROR(IF(0=LEN(ReferenceData!$BK$16),"",ReferenceData!$BK$16),"")</f>
        <v>1073.0440000000001</v>
      </c>
      <c r="BL16">
        <f ca="1">IFERROR(IF(0=LEN(ReferenceData!$BL$16),"",ReferenceData!$BL$16),"")</f>
        <v>1013.769</v>
      </c>
      <c r="BM16">
        <f ca="1">IFERROR(IF(0=LEN(ReferenceData!$BM$16),"",ReferenceData!$BM$16),"")</f>
        <v>983.98900000000003</v>
      </c>
    </row>
    <row r="17" spans="1:65">
      <c r="A17" t="str">
        <f>IFERROR(IF(0=LEN(ReferenceData!$A$17),"",ReferenceData!$A$17),"")</f>
        <v xml:space="preserve">    购物商城房地产投资信托同店净营业利润增长</v>
      </c>
      <c r="B17" t="str">
        <f>IFERROR(IF(0=LEN(ReferenceData!$B$17),"",ReferenceData!$B$17),"")</f>
        <v>RECFSSRM Index</v>
      </c>
      <c r="C17" t="str">
        <f>IFERROR(IF(0=LEN(ReferenceData!$C$17),"",ReferenceData!$C$17),"")</f>
        <v>PR005</v>
      </c>
      <c r="D17" t="str">
        <f>IFERROR(IF(0=LEN(ReferenceData!$D$17),"",ReferenceData!$D$17),"")</f>
        <v>PX_LAST</v>
      </c>
      <c r="E17" t="str">
        <f>IFERROR(IF(0=LEN(ReferenceData!$E$17),"",ReferenceData!$E$17),"")</f>
        <v>动态</v>
      </c>
      <c r="F17">
        <f ca="1">IFERROR(IF(0=LEN(ReferenceData!$F$17),"",ReferenceData!$F$17),"")</f>
        <v>1.2072308940000001</v>
      </c>
      <c r="G17">
        <f ca="1">IFERROR(IF(0=LEN(ReferenceData!$G$17),"",ReferenceData!$G$17),"")</f>
        <v>1.543248188</v>
      </c>
      <c r="H17">
        <f ca="1">IFERROR(IF(0=LEN(ReferenceData!$H$17),"",ReferenceData!$H$17),"")</f>
        <v>2.8134186579999998</v>
      </c>
      <c r="I17">
        <f ca="1">IFERROR(IF(0=LEN(ReferenceData!$I$17),"",ReferenceData!$I$17),"")</f>
        <v>2.7453567300000001</v>
      </c>
      <c r="J17">
        <f ca="1">IFERROR(IF(0=LEN(ReferenceData!$J$17),"",ReferenceData!$J$17),"")</f>
        <v>3.3113052280000002</v>
      </c>
      <c r="K17">
        <f ca="1">IFERROR(IF(0=LEN(ReferenceData!$K$17),"",ReferenceData!$K$17),"")</f>
        <v>2.8027791409999998</v>
      </c>
      <c r="L17">
        <f ca="1">IFERROR(IF(0=LEN(ReferenceData!$L$17),"",ReferenceData!$L$17),"")</f>
        <v>3.8351176570000001</v>
      </c>
      <c r="M17">
        <f ca="1">IFERROR(IF(0=LEN(ReferenceData!$M$17),"",ReferenceData!$M$17),"")</f>
        <v>4.9425153469999996</v>
      </c>
      <c r="N17">
        <f ca="1">IFERROR(IF(0=LEN(ReferenceData!$N$17),"",ReferenceData!$N$17),"")</f>
        <v>3.844795848</v>
      </c>
      <c r="O17">
        <f ca="1">IFERROR(IF(0=LEN(ReferenceData!$O$17),"",ReferenceData!$O$17),"")</f>
        <v>4.104652196</v>
      </c>
      <c r="P17">
        <f ca="1">IFERROR(IF(0=LEN(ReferenceData!$P$17),"",ReferenceData!$P$17),"")</f>
        <v>3.1642235990000001</v>
      </c>
      <c r="Q17">
        <f ca="1">IFERROR(IF(0=LEN(ReferenceData!$Q$17),"",ReferenceData!$Q$17),"")</f>
        <v>3.3824384850000002</v>
      </c>
      <c r="R17">
        <f ca="1">IFERROR(IF(0=LEN(ReferenceData!$R$17),"",ReferenceData!$R$17),"")</f>
        <v>3.62612282</v>
      </c>
      <c r="S17">
        <f ca="1">IFERROR(IF(0=LEN(ReferenceData!$S$17),"",ReferenceData!$S$17),"")</f>
        <v>4.7654180879999997</v>
      </c>
      <c r="T17">
        <f ca="1">IFERROR(IF(0=LEN(ReferenceData!$T$17),"",ReferenceData!$T$17),"")</f>
        <v>4.7941311840000003</v>
      </c>
      <c r="U17">
        <f ca="1">IFERROR(IF(0=LEN(ReferenceData!$U$17),"",ReferenceData!$U$17),"")</f>
        <v>3.4793715789999999</v>
      </c>
      <c r="V17">
        <f ca="1">IFERROR(IF(0=LEN(ReferenceData!$V$17),"",ReferenceData!$V$17),"")</f>
        <v>4.7393429549999997</v>
      </c>
      <c r="W17">
        <f ca="1">IFERROR(IF(0=LEN(ReferenceData!$W$17),"",ReferenceData!$W$17),"")</f>
        <v>4.5760282539999997</v>
      </c>
      <c r="X17">
        <f ca="1">IFERROR(IF(0=LEN(ReferenceData!$X$17),"",ReferenceData!$X$17),"")</f>
        <v>5.2462519070000004</v>
      </c>
      <c r="Y17">
        <f ca="1">IFERROR(IF(0=LEN(ReferenceData!$Y$17),"",ReferenceData!$Y$17),"")</f>
        <v>4.3845928199999999</v>
      </c>
      <c r="Z17">
        <f ca="1">IFERROR(IF(0=LEN(ReferenceData!$Z$17),"",ReferenceData!$Z$17),"")</f>
        <v>3.5708367640000001</v>
      </c>
      <c r="AA17">
        <f ca="1">IFERROR(IF(0=LEN(ReferenceData!$AA$17),"",ReferenceData!$AA$17),"")</f>
        <v>3.6638085130000002</v>
      </c>
      <c r="AB17">
        <f ca="1">IFERROR(IF(0=LEN(ReferenceData!$AB$17),"",ReferenceData!$AB$17),"")</f>
        <v>4.6866684650000003</v>
      </c>
      <c r="AC17">
        <f ca="1">IFERROR(IF(0=LEN(ReferenceData!$AC$17),"",ReferenceData!$AC$17),"")</f>
        <v>4.7619958660000004</v>
      </c>
      <c r="AD17">
        <f ca="1">IFERROR(IF(0=LEN(ReferenceData!$AD$17),"",ReferenceData!$AD$17),"")</f>
        <v>2.5103934479999999</v>
      </c>
      <c r="AE17">
        <f ca="1">IFERROR(IF(0=LEN(ReferenceData!$AE$17),"",ReferenceData!$AE$17),"")</f>
        <v>3.9195434210000002</v>
      </c>
      <c r="AF17">
        <f ca="1">IFERROR(IF(0=LEN(ReferenceData!$AF$17),"",ReferenceData!$AF$17),"")</f>
        <v>2.8017773109999999</v>
      </c>
      <c r="AG17">
        <f ca="1">IFERROR(IF(0=LEN(ReferenceData!$AG$17),"",ReferenceData!$AG$17),"")</f>
        <v>1.7765812080000001</v>
      </c>
      <c r="AH17">
        <f ca="1">IFERROR(IF(0=LEN(ReferenceData!$AH$17),"",ReferenceData!$AH$17),"")</f>
        <v>3.388621025</v>
      </c>
      <c r="AI17">
        <f ca="1">IFERROR(IF(0=LEN(ReferenceData!$AI$17),"",ReferenceData!$AI$17),"")</f>
        <v>1.6486670960000001</v>
      </c>
      <c r="AJ17">
        <f ca="1">IFERROR(IF(0=LEN(ReferenceData!$AJ$17),"",ReferenceData!$AJ$17),"")</f>
        <v>0.482823157</v>
      </c>
      <c r="AK17">
        <f ca="1">IFERROR(IF(0=LEN(ReferenceData!$AK$17),"",ReferenceData!$AK$17),"")</f>
        <v>1.1974967430000001</v>
      </c>
      <c r="AL17">
        <f ca="1">IFERROR(IF(0=LEN(ReferenceData!$AL$17),"",ReferenceData!$AL$17),"")</f>
        <v>-6.5953293999999996E-2</v>
      </c>
      <c r="AM17">
        <f ca="1">IFERROR(IF(0=LEN(ReferenceData!$AM$17),"",ReferenceData!$AM$17),"")</f>
        <v>-0.64067577600000003</v>
      </c>
      <c r="AN17">
        <f ca="1">IFERROR(IF(0=LEN(ReferenceData!$AN$17),"",ReferenceData!$AN$17),"")</f>
        <v>8.4155125999999997E-2</v>
      </c>
      <c r="AO17">
        <f ca="1">IFERROR(IF(0=LEN(ReferenceData!$AO$17),"",ReferenceData!$AO$17),"")</f>
        <v>1.5541768359999999</v>
      </c>
      <c r="AP17">
        <f ca="1">IFERROR(IF(0=LEN(ReferenceData!$AP$17),"",ReferenceData!$AP$17),"")</f>
        <v>1.495913965</v>
      </c>
      <c r="AQ17">
        <f ca="1">IFERROR(IF(0=LEN(ReferenceData!$AQ$17),"",ReferenceData!$AQ$17),"")</f>
        <v>1.2523418449999999</v>
      </c>
      <c r="AR17">
        <f ca="1">IFERROR(IF(0=LEN(ReferenceData!$AR$17),"",ReferenceData!$AR$17),"")</f>
        <v>3.54350779</v>
      </c>
      <c r="AS17">
        <f ca="1">IFERROR(IF(0=LEN(ReferenceData!$AS$17),"",ReferenceData!$AS$17),"")</f>
        <v>3.5082538630000002</v>
      </c>
      <c r="AT17">
        <f ca="1">IFERROR(IF(0=LEN(ReferenceData!$AT$17),"",ReferenceData!$AT$17),"")</f>
        <v>5.0686259119999999</v>
      </c>
      <c r="AU17">
        <f ca="1">IFERROR(IF(0=LEN(ReferenceData!$AU$17),"",ReferenceData!$AU$17),"")</f>
        <v>5.1347166</v>
      </c>
      <c r="AV17">
        <f ca="1">IFERROR(IF(0=LEN(ReferenceData!$AV$17),"",ReferenceData!$AV$17),"")</f>
        <v>3.3370209669999999</v>
      </c>
      <c r="AW17">
        <f ca="1">IFERROR(IF(0=LEN(ReferenceData!$AW$17),"",ReferenceData!$AW$17),"")</f>
        <v>1.6423867480000001</v>
      </c>
      <c r="AX17">
        <f ca="1">IFERROR(IF(0=LEN(ReferenceData!$AX$17),"",ReferenceData!$AX$17),"")</f>
        <v>5.6945319149999998</v>
      </c>
      <c r="AY17">
        <f ca="1">IFERROR(IF(0=LEN(ReferenceData!$AY$17),"",ReferenceData!$AY$17),"")</f>
        <v>3.1585006849999999</v>
      </c>
      <c r="AZ17">
        <f ca="1">IFERROR(IF(0=LEN(ReferenceData!$AZ$17),"",ReferenceData!$AZ$17),"")</f>
        <v>4.4947760179999996</v>
      </c>
      <c r="BA17">
        <f ca="1">IFERROR(IF(0=LEN(ReferenceData!$BA$17),"",ReferenceData!$BA$17),"")</f>
        <v>6.6227436739999996</v>
      </c>
      <c r="BB17">
        <f ca="1">IFERROR(IF(0=LEN(ReferenceData!$BB$17),"",ReferenceData!$BB$17),"")</f>
        <v>3.7445863309999998</v>
      </c>
      <c r="BC17">
        <f ca="1">IFERROR(IF(0=LEN(ReferenceData!$BC$17),"",ReferenceData!$BC$17),"")</f>
        <v>4.1259540499999998</v>
      </c>
      <c r="BD17">
        <f ca="1">IFERROR(IF(0=LEN(ReferenceData!$BD$17),"",ReferenceData!$BD$17),"")</f>
        <v>3.8970323969999998</v>
      </c>
      <c r="BE17">
        <f ca="1">IFERROR(IF(0=LEN(ReferenceData!$BE$17),"",ReferenceData!$BE$17),"")</f>
        <v>4.1273807690000002</v>
      </c>
      <c r="BF17">
        <f ca="1">IFERROR(IF(0=LEN(ReferenceData!$BF$17),"",ReferenceData!$BF$17),"")</f>
        <v>3.2761610289999998</v>
      </c>
      <c r="BG17">
        <f ca="1">IFERROR(IF(0=LEN(ReferenceData!$BG$17),"",ReferenceData!$BG$17),"")</f>
        <v>2.8107640439999999</v>
      </c>
      <c r="BH17">
        <f ca="1">IFERROR(IF(0=LEN(ReferenceData!$BH$17),"",ReferenceData!$BH$17),"")</f>
        <v>1.816830274</v>
      </c>
      <c r="BI17">
        <f ca="1">IFERROR(IF(0=LEN(ReferenceData!$BI$17),"",ReferenceData!$BI$17),"")</f>
        <v>2.1465799329999999</v>
      </c>
      <c r="BJ17">
        <f ca="1">IFERROR(IF(0=LEN(ReferenceData!$BJ$17),"",ReferenceData!$BJ$17),"")</f>
        <v>2.2547236659999998</v>
      </c>
      <c r="BK17">
        <f ca="1">IFERROR(IF(0=LEN(ReferenceData!$BK$17),"",ReferenceData!$BK$17),"")</f>
        <v>2.046926263</v>
      </c>
      <c r="BL17">
        <f ca="1">IFERROR(IF(0=LEN(ReferenceData!$BL$17),"",ReferenceData!$BL$17),"")</f>
        <v>4.4981132529999996</v>
      </c>
      <c r="BM17">
        <f ca="1">IFERROR(IF(0=LEN(ReferenceData!$BM$17),"",ReferenceData!$BM$17),"")</f>
        <v>3.3068008390000001</v>
      </c>
    </row>
    <row r="18" spans="1:65">
      <c r="A18" t="str">
        <f>IFERROR(IF(0=LEN(ReferenceData!$A$18),"",ReferenceData!$A$18),"")</f>
        <v xml:space="preserve">    购物商城房地产投资信托总股利支付</v>
      </c>
      <c r="B18" t="str">
        <f>IFERROR(IF(0=LEN(ReferenceData!$B$18),"",ReferenceData!$B$18),"")</f>
        <v>RECFTDRM Index</v>
      </c>
      <c r="C18" t="str">
        <f>IFERROR(IF(0=LEN(ReferenceData!$C$18),"",ReferenceData!$C$18),"")</f>
        <v>PR005</v>
      </c>
      <c r="D18" t="str">
        <f>IFERROR(IF(0=LEN(ReferenceData!$D$18),"",ReferenceData!$D$18),"")</f>
        <v>PX_LAST</v>
      </c>
      <c r="E18" t="str">
        <f>IFERROR(IF(0=LEN(ReferenceData!$E$18),"",ReferenceData!$E$18),"")</f>
        <v>动态</v>
      </c>
      <c r="F18">
        <f ca="1">IFERROR(IF(0=LEN(ReferenceData!$F$18),"",ReferenceData!$F$18),"")</f>
        <v>1308.6773860000001</v>
      </c>
      <c r="G18">
        <f ca="1">IFERROR(IF(0=LEN(ReferenceData!$G$18),"",ReferenceData!$G$18),"")</f>
        <v>1178.818</v>
      </c>
      <c r="H18">
        <f ca="1">IFERROR(IF(0=LEN(ReferenceData!$H$18),"",ReferenceData!$H$18),"")</f>
        <v>1182.825</v>
      </c>
      <c r="I18">
        <f ca="1">IFERROR(IF(0=LEN(ReferenceData!$I$18),"",ReferenceData!$I$18),"")</f>
        <v>1396.0920000000001</v>
      </c>
      <c r="J18">
        <f ca="1">IFERROR(IF(0=LEN(ReferenceData!$J$18),"",ReferenceData!$J$18),"")</f>
        <v>1107.846</v>
      </c>
      <c r="K18">
        <f ca="1">IFERROR(IF(0=LEN(ReferenceData!$K$18),"",ReferenceData!$K$18),"")</f>
        <v>1090.076</v>
      </c>
      <c r="L18">
        <f ca="1">IFERROR(IF(0=LEN(ReferenceData!$L$18),"",ReferenceData!$L$18),"")</f>
        <v>1239.864</v>
      </c>
      <c r="M18">
        <f ca="1">IFERROR(IF(0=LEN(ReferenceData!$M$18),"",ReferenceData!$M$18),"")</f>
        <v>1430.7570000000001</v>
      </c>
      <c r="N18">
        <f ca="1">IFERROR(IF(0=LEN(ReferenceData!$N$18),"",ReferenceData!$N$18),"")</f>
        <v>1427.7190000000001</v>
      </c>
      <c r="O18">
        <f ca="1">IFERROR(IF(0=LEN(ReferenceData!$O$18),"",ReferenceData!$O$18),"")</f>
        <v>1049.5219999999999</v>
      </c>
      <c r="P18">
        <f ca="1">IFERROR(IF(0=LEN(ReferenceData!$P$18),"",ReferenceData!$P$18),"")</f>
        <v>1086.249</v>
      </c>
      <c r="Q18">
        <f ca="1">IFERROR(IF(0=LEN(ReferenceData!$Q$18),"",ReferenceData!$Q$18),"")</f>
        <v>990.73400000000004</v>
      </c>
      <c r="R18">
        <f ca="1">IFERROR(IF(0=LEN(ReferenceData!$R$18),"",ReferenceData!$R$18),"")</f>
        <v>1395.1880000000001</v>
      </c>
      <c r="S18">
        <f ca="1">IFERROR(IF(0=LEN(ReferenceData!$S$18),"",ReferenceData!$S$18),"")</f>
        <v>929.38300000000004</v>
      </c>
      <c r="T18">
        <f ca="1">IFERROR(IF(0=LEN(ReferenceData!$T$18),"",ReferenceData!$T$18),"")</f>
        <v>1951.0989999999999</v>
      </c>
      <c r="U18">
        <f ca="1">IFERROR(IF(0=LEN(ReferenceData!$U$18),"",ReferenceData!$U$18),"")</f>
        <v>867.048</v>
      </c>
      <c r="V18">
        <f ca="1">IFERROR(IF(0=LEN(ReferenceData!$V$18),"",ReferenceData!$V$18),"")</f>
        <v>859.81100000000004</v>
      </c>
      <c r="W18">
        <f ca="1">IFERROR(IF(0=LEN(ReferenceData!$W$18),"",ReferenceData!$W$18),"")</f>
        <v>795.74599999999998</v>
      </c>
      <c r="X18">
        <f ca="1">IFERROR(IF(0=LEN(ReferenceData!$X$18),"",ReferenceData!$X$18),"")</f>
        <v>790.40899999999999</v>
      </c>
      <c r="Y18">
        <f ca="1">IFERROR(IF(0=LEN(ReferenceData!$Y$18),"",ReferenceData!$Y$18),"")</f>
        <v>769.66700000000003</v>
      </c>
      <c r="Z18">
        <f ca="1">IFERROR(IF(0=LEN(ReferenceData!$Z$18),"",ReferenceData!$Z$18),"")</f>
        <v>759.64200000000005</v>
      </c>
      <c r="AA18">
        <f ca="1">IFERROR(IF(0=LEN(ReferenceData!$AA$18),"",ReferenceData!$AA$18),"")</f>
        <v>738.22</v>
      </c>
      <c r="AB18">
        <f ca="1">IFERROR(IF(0=LEN(ReferenceData!$AB$18),"",ReferenceData!$AB$18),"")</f>
        <v>697.38400000000001</v>
      </c>
      <c r="AC18">
        <f ca="1">IFERROR(IF(0=LEN(ReferenceData!$AC$18),"",ReferenceData!$AC$18),"")</f>
        <v>689.22400000000005</v>
      </c>
      <c r="AD18">
        <f ca="1">IFERROR(IF(0=LEN(ReferenceData!$AD$18),"",ReferenceData!$AD$18),"")</f>
        <v>849.28499999999997</v>
      </c>
      <c r="AE18">
        <f ca="1">IFERROR(IF(0=LEN(ReferenceData!$AE$18),"",ReferenceData!$AE$18),"")</f>
        <v>622.84799999999996</v>
      </c>
      <c r="AF18">
        <f ca="1">IFERROR(IF(0=LEN(ReferenceData!$AF$18),"",ReferenceData!$AF$18),"")</f>
        <v>639.71699999999998</v>
      </c>
      <c r="AG18">
        <f ca="1">IFERROR(IF(0=LEN(ReferenceData!$AG$18),"",ReferenceData!$AG$18),"")</f>
        <v>579.42399999999998</v>
      </c>
      <c r="AH18">
        <f ca="1">IFERROR(IF(0=LEN(ReferenceData!$AH$18),"",ReferenceData!$AH$18),"")</f>
        <v>529.61</v>
      </c>
      <c r="AI18">
        <f ca="1">IFERROR(IF(0=LEN(ReferenceData!$AI$18),"",ReferenceData!$AI$18),"")</f>
        <v>415.75700000000001</v>
      </c>
      <c r="AJ18">
        <f ca="1">IFERROR(IF(0=LEN(ReferenceData!$AJ$18),"",ReferenceData!$AJ$18),"")</f>
        <v>413.09399999999999</v>
      </c>
      <c r="AK18">
        <f ca="1">IFERROR(IF(0=LEN(ReferenceData!$AK$18),"",ReferenceData!$AK$18),"")</f>
        <v>323.60599999999999</v>
      </c>
      <c r="AL18">
        <f ca="1">IFERROR(IF(0=LEN(ReferenceData!$AL$18),"",ReferenceData!$AL$18),"")</f>
        <v>175.54900000000001</v>
      </c>
      <c r="AM18">
        <f ca="1">IFERROR(IF(0=LEN(ReferenceData!$AM$18),"",ReferenceData!$AM$18),"")</f>
        <v>153.53399999999999</v>
      </c>
      <c r="AN18">
        <f ca="1">IFERROR(IF(0=LEN(ReferenceData!$AN$18),"",ReferenceData!$AN$18),"")</f>
        <v>157.898</v>
      </c>
      <c r="AO18">
        <f ca="1">IFERROR(IF(0=LEN(ReferenceData!$AO$18),"",ReferenceData!$AO$18),"")</f>
        <v>263.91699999999997</v>
      </c>
      <c r="AP18">
        <f ca="1">IFERROR(IF(0=LEN(ReferenceData!$AP$18),"",ReferenceData!$AP$18),"")</f>
        <v>512.36800000000005</v>
      </c>
      <c r="AQ18">
        <f ca="1">IFERROR(IF(0=LEN(ReferenceData!$AQ$18),"",ReferenceData!$AQ$18),"")</f>
        <v>668.41399999999999</v>
      </c>
      <c r="AR18">
        <f ca="1">IFERROR(IF(0=LEN(ReferenceData!$AR$18),"",ReferenceData!$AR$18),"")</f>
        <v>664.53899999999999</v>
      </c>
      <c r="AS18">
        <f ca="1">IFERROR(IF(0=LEN(ReferenceData!$AS$18),"",ReferenceData!$AS$18),"")</f>
        <v>717.26900000000001</v>
      </c>
      <c r="AT18">
        <f ca="1">IFERROR(IF(0=LEN(ReferenceData!$AT$18),"",ReferenceData!$AT$18),"")</f>
        <v>654.1875</v>
      </c>
      <c r="AU18">
        <f ca="1">IFERROR(IF(0=LEN(ReferenceData!$AU$18),"",ReferenceData!$AU$18),"")</f>
        <v>633.73900000000003</v>
      </c>
      <c r="AV18">
        <f ca="1">IFERROR(IF(0=LEN(ReferenceData!$AV$18),"",ReferenceData!$AV$18),"")</f>
        <v>672.28099999999995</v>
      </c>
      <c r="AW18">
        <f ca="1">IFERROR(IF(0=LEN(ReferenceData!$AW$18),"",ReferenceData!$AW$18),"")</f>
        <v>627.846</v>
      </c>
      <c r="AX18">
        <f ca="1">IFERROR(IF(0=LEN(ReferenceData!$AX$18),"",ReferenceData!$AX$18),"")</f>
        <v>606.64599999999996</v>
      </c>
      <c r="AY18">
        <f ca="1">IFERROR(IF(0=LEN(ReferenceData!$AY$18),"",ReferenceData!$AY$18),"")</f>
        <v>596.19399999999996</v>
      </c>
      <c r="AZ18">
        <f ca="1">IFERROR(IF(0=LEN(ReferenceData!$AZ$18),"",ReferenceData!$AZ$18),"")</f>
        <v>656.63199999999995</v>
      </c>
      <c r="BA18">
        <f ca="1">IFERROR(IF(0=LEN(ReferenceData!$BA$18),"",ReferenceData!$BA$18),"")</f>
        <v>589.05799999999999</v>
      </c>
      <c r="BB18">
        <f ca="1">IFERROR(IF(0=LEN(ReferenceData!$BB$18),"",ReferenceData!$BB$18),"")</f>
        <v>555.83100000000002</v>
      </c>
      <c r="BC18">
        <f ca="1">IFERROR(IF(0=LEN(ReferenceData!$BC$18),"",ReferenceData!$BC$18),"")</f>
        <v>593.202</v>
      </c>
      <c r="BD18">
        <f ca="1">IFERROR(IF(0=LEN(ReferenceData!$BD$18),"",ReferenceData!$BD$18),"")</f>
        <v>594.322</v>
      </c>
      <c r="BE18">
        <f ca="1">IFERROR(IF(0=LEN(ReferenceData!$BE$18),"",ReferenceData!$BE$18),"")</f>
        <v>577.93399999999997</v>
      </c>
      <c r="BF18">
        <f ca="1">IFERROR(IF(0=LEN(ReferenceData!$BF$18),"",ReferenceData!$BF$18),"")</f>
        <v>649.44100000000003</v>
      </c>
      <c r="BG18">
        <f ca="1">IFERROR(IF(0=LEN(ReferenceData!$BG$18),"",ReferenceData!$BG$18),"")</f>
        <v>539.822</v>
      </c>
      <c r="BH18">
        <f ca="1">IFERROR(IF(0=LEN(ReferenceData!$BH$18),"",ReferenceData!$BH$18),"")</f>
        <v>572.55100000000004</v>
      </c>
      <c r="BI18">
        <f ca="1">IFERROR(IF(0=LEN(ReferenceData!$BI$18),"",ReferenceData!$BI$18),"")</f>
        <v>539.649</v>
      </c>
      <c r="BJ18">
        <f ca="1">IFERROR(IF(0=LEN(ReferenceData!$BJ$18),"",ReferenceData!$BJ$18),"")</f>
        <v>503.2235</v>
      </c>
      <c r="BK18">
        <f ca="1">IFERROR(IF(0=LEN(ReferenceData!$BK$18),"",ReferenceData!$BK$18),"")</f>
        <v>460.89600000000002</v>
      </c>
      <c r="BL18">
        <f ca="1">IFERROR(IF(0=LEN(ReferenceData!$BL$18),"",ReferenceData!$BL$18),"")</f>
        <v>455.988</v>
      </c>
      <c r="BM18">
        <f ca="1">IFERROR(IF(0=LEN(ReferenceData!$BM$18),"",ReferenceData!$BM$18),"")</f>
        <v>461.96600000000001</v>
      </c>
    </row>
    <row r="19" spans="1:65">
      <c r="A19" t="str">
        <f>IFERROR(IF(0=LEN(ReferenceData!$A$19),"",ReferenceData!$A$19),"")</f>
        <v>独立式零售业房地产投资信托数据</v>
      </c>
      <c r="B19" t="str">
        <f>IFERROR(IF(0=LEN(ReferenceData!$B$19),"",ReferenceData!$B$19),"")</f>
        <v/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静态</v>
      </c>
      <c r="F19" t="str">
        <f ca="1">IFERROR(IF(0=LEN(ReferenceData!$F$19),"",ReferenceData!$F$19),"")</f>
        <v/>
      </c>
      <c r="G19" t="str">
        <f ca="1">IFERROR(IF(0=LEN(ReferenceData!$G$19),"",ReferenceData!$G$19),"")</f>
        <v/>
      </c>
      <c r="H19" t="str">
        <f ca="1">IFERROR(IF(0=LEN(ReferenceData!$H$19),"",ReferenceData!$H$19),"")</f>
        <v/>
      </c>
      <c r="I19" t="str">
        <f ca="1">IFERROR(IF(0=LEN(ReferenceData!$I$19),"",ReferenceData!$I$19),"")</f>
        <v/>
      </c>
      <c r="J19" t="str">
        <f ca="1">IFERROR(IF(0=LEN(ReferenceData!$J$19),"",ReferenceData!$J$19),"")</f>
        <v/>
      </c>
      <c r="K19" t="str">
        <f ca="1">IFERROR(IF(0=LEN(ReferenceData!$K$19),"",ReferenceData!$K$19),"")</f>
        <v/>
      </c>
      <c r="L19" t="str">
        <f ca="1">IFERROR(IF(0=LEN(ReferenceData!$L$19),"",ReferenceData!$L$19),"")</f>
        <v/>
      </c>
      <c r="M19" t="str">
        <f ca="1">IFERROR(IF(0=LEN(ReferenceData!$M$19),"",ReferenceData!$M$19),"")</f>
        <v/>
      </c>
      <c r="N19" t="str">
        <f ca="1">IFERROR(IF(0=LEN(ReferenceData!$N$19),"",ReferenceData!$N$19),"")</f>
        <v/>
      </c>
      <c r="O19" t="str">
        <f ca="1">IFERROR(IF(0=LEN(ReferenceData!$O$19),"",ReferenceData!$O$19),"")</f>
        <v/>
      </c>
      <c r="P19" t="str">
        <f ca="1">IFERROR(IF(0=LEN(ReferenceData!$P$19),"",ReferenceData!$P$19),"")</f>
        <v/>
      </c>
      <c r="Q19" t="str">
        <f ca="1">IFERROR(IF(0=LEN(ReferenceData!$Q$19),"",ReferenceData!$Q$19),"")</f>
        <v/>
      </c>
      <c r="R19" t="str">
        <f ca="1">IFERROR(IF(0=LEN(ReferenceData!$R$19),"",ReferenceData!$R$19),"")</f>
        <v/>
      </c>
      <c r="S19" t="str">
        <f ca="1">IFERROR(IF(0=LEN(ReferenceData!$S$19),"",ReferenceData!$S$19),"")</f>
        <v/>
      </c>
      <c r="T19" t="str">
        <f ca="1">IFERROR(IF(0=LEN(ReferenceData!$T$19),"",ReferenceData!$T$19),"")</f>
        <v/>
      </c>
      <c r="U19" t="str">
        <f ca="1">IFERROR(IF(0=LEN(ReferenceData!$U$19),"",ReferenceData!$U$19),"")</f>
        <v/>
      </c>
      <c r="V19" t="str">
        <f ca="1">IFERROR(IF(0=LEN(ReferenceData!$V$19),"",ReferenceData!$V$19),"")</f>
        <v/>
      </c>
      <c r="W19" t="str">
        <f ca="1">IFERROR(IF(0=LEN(ReferenceData!$W$19),"",ReferenceData!$W$19),"")</f>
        <v/>
      </c>
      <c r="X19" t="str">
        <f ca="1">IFERROR(IF(0=LEN(ReferenceData!$X$19),"",ReferenceData!$X$19),"")</f>
        <v/>
      </c>
      <c r="Y19" t="str">
        <f ca="1">IFERROR(IF(0=LEN(ReferenceData!$Y$19),"",ReferenceData!$Y$19),"")</f>
        <v/>
      </c>
      <c r="Z19" t="str">
        <f ca="1">IFERROR(IF(0=LEN(ReferenceData!$Z$19),"",ReferenceData!$Z$19),"")</f>
        <v/>
      </c>
      <c r="AA19" t="str">
        <f ca="1">IFERROR(IF(0=LEN(ReferenceData!$AA$19),"",ReferenceData!$AA$19),"")</f>
        <v/>
      </c>
      <c r="AB19" t="str">
        <f ca="1">IFERROR(IF(0=LEN(ReferenceData!$AB$19),"",ReferenceData!$AB$19),"")</f>
        <v/>
      </c>
      <c r="AC19" t="str">
        <f ca="1">IFERROR(IF(0=LEN(ReferenceData!$AC$19),"",ReferenceData!$AC$19),"")</f>
        <v/>
      </c>
      <c r="AD19" t="str">
        <f ca="1">IFERROR(IF(0=LEN(ReferenceData!$AD$19),"",ReferenceData!$AD$19),"")</f>
        <v/>
      </c>
      <c r="AE19" t="str">
        <f ca="1">IFERROR(IF(0=LEN(ReferenceData!$AE$19),"",ReferenceData!$AE$19),"")</f>
        <v/>
      </c>
      <c r="AF19" t="str">
        <f ca="1">IFERROR(IF(0=LEN(ReferenceData!$AF$19),"",ReferenceData!$AF$19),"")</f>
        <v/>
      </c>
      <c r="AG19" t="str">
        <f ca="1">IFERROR(IF(0=LEN(ReferenceData!$AG$19),"",ReferenceData!$AG$19),"")</f>
        <v/>
      </c>
      <c r="AH19" t="str">
        <f ca="1">IFERROR(IF(0=LEN(ReferenceData!$AH$19),"",ReferenceData!$AH$19),"")</f>
        <v/>
      </c>
      <c r="AI19" t="str">
        <f ca="1">IFERROR(IF(0=LEN(ReferenceData!$AI$19),"",ReferenceData!$AI$19),"")</f>
        <v/>
      </c>
      <c r="AJ19" t="str">
        <f ca="1">IFERROR(IF(0=LEN(ReferenceData!$AJ$19),"",ReferenceData!$AJ$19),"")</f>
        <v/>
      </c>
      <c r="AK19" t="str">
        <f ca="1">IFERROR(IF(0=LEN(ReferenceData!$AK$19),"",ReferenceData!$AK$19),"")</f>
        <v/>
      </c>
      <c r="AL19" t="str">
        <f ca="1">IFERROR(IF(0=LEN(ReferenceData!$AL$19),"",ReferenceData!$AL$19),"")</f>
        <v/>
      </c>
      <c r="AM19" t="str">
        <f ca="1">IFERROR(IF(0=LEN(ReferenceData!$AM$19),"",ReferenceData!$AM$19),"")</f>
        <v/>
      </c>
      <c r="AN19" t="str">
        <f ca="1">IFERROR(IF(0=LEN(ReferenceData!$AN$19),"",ReferenceData!$AN$19),"")</f>
        <v/>
      </c>
      <c r="AO19" t="str">
        <f ca="1">IFERROR(IF(0=LEN(ReferenceData!$AO$19),"",ReferenceData!$AO$19),"")</f>
        <v/>
      </c>
      <c r="AP19" t="str">
        <f ca="1">IFERROR(IF(0=LEN(ReferenceData!$AP$19),"",ReferenceData!$AP$19),"")</f>
        <v/>
      </c>
      <c r="AQ19" t="str">
        <f ca="1">IFERROR(IF(0=LEN(ReferenceData!$AQ$19),"",ReferenceData!$AQ$19),"")</f>
        <v/>
      </c>
      <c r="AR19" t="str">
        <f ca="1">IFERROR(IF(0=LEN(ReferenceData!$AR$19),"",ReferenceData!$AR$19),"")</f>
        <v/>
      </c>
      <c r="AS19" t="str">
        <f ca="1">IFERROR(IF(0=LEN(ReferenceData!$AS$19),"",ReferenceData!$AS$19),"")</f>
        <v/>
      </c>
      <c r="AT19" t="str">
        <f ca="1">IFERROR(IF(0=LEN(ReferenceData!$AT$19),"",ReferenceData!$AT$19),"")</f>
        <v/>
      </c>
      <c r="AU19" t="str">
        <f ca="1">IFERROR(IF(0=LEN(ReferenceData!$AU$19),"",ReferenceData!$AU$19),"")</f>
        <v/>
      </c>
      <c r="AV19" t="str">
        <f ca="1">IFERROR(IF(0=LEN(ReferenceData!$AV$19),"",ReferenceData!$AV$19),"")</f>
        <v/>
      </c>
      <c r="AW19" t="str">
        <f ca="1">IFERROR(IF(0=LEN(ReferenceData!$AW$19),"",ReferenceData!$AW$19),"")</f>
        <v/>
      </c>
      <c r="AX19" t="str">
        <f ca="1">IFERROR(IF(0=LEN(ReferenceData!$AX$19),"",ReferenceData!$AX$19),"")</f>
        <v/>
      </c>
      <c r="AY19" t="str">
        <f ca="1">IFERROR(IF(0=LEN(ReferenceData!$AY$19),"",ReferenceData!$AY$19),"")</f>
        <v/>
      </c>
      <c r="AZ19" t="str">
        <f ca="1">IFERROR(IF(0=LEN(ReferenceData!$AZ$19),"",ReferenceData!$AZ$19),"")</f>
        <v/>
      </c>
      <c r="BA19" t="str">
        <f ca="1">IFERROR(IF(0=LEN(ReferenceData!$BA$19),"",ReferenceData!$BA$19),"")</f>
        <v/>
      </c>
      <c r="BB19" t="str">
        <f ca="1">IFERROR(IF(0=LEN(ReferenceData!$BB$19),"",ReferenceData!$BB$19),"")</f>
        <v/>
      </c>
      <c r="BC19" t="str">
        <f ca="1">IFERROR(IF(0=LEN(ReferenceData!$BC$19),"",ReferenceData!$BC$19),"")</f>
        <v/>
      </c>
      <c r="BD19" t="str">
        <f ca="1">IFERROR(IF(0=LEN(ReferenceData!$BD$19),"",ReferenceData!$BD$19),"")</f>
        <v/>
      </c>
      <c r="BE19" t="str">
        <f ca="1">IFERROR(IF(0=LEN(ReferenceData!$BE$19),"",ReferenceData!$BE$19),"")</f>
        <v/>
      </c>
      <c r="BF19" t="str">
        <f ca="1">IFERROR(IF(0=LEN(ReferenceData!$BF$19),"",ReferenceData!$BF$19),"")</f>
        <v/>
      </c>
      <c r="BG19" t="str">
        <f ca="1">IFERROR(IF(0=LEN(ReferenceData!$BG$19),"",ReferenceData!$BG$19),"")</f>
        <v/>
      </c>
      <c r="BH19" t="str">
        <f ca="1">IFERROR(IF(0=LEN(ReferenceData!$BH$19),"",ReferenceData!$BH$19),"")</f>
        <v/>
      </c>
      <c r="BI19" t="str">
        <f ca="1">IFERROR(IF(0=LEN(ReferenceData!$BI$19),"",ReferenceData!$BI$19),"")</f>
        <v/>
      </c>
      <c r="BJ19" t="str">
        <f ca="1">IFERROR(IF(0=LEN(ReferenceData!$BJ$19),"",ReferenceData!$BJ$19),"")</f>
        <v/>
      </c>
      <c r="BK19" t="str">
        <f ca="1">IFERROR(IF(0=LEN(ReferenceData!$BK$19),"",ReferenceData!$BK$19),"")</f>
        <v/>
      </c>
      <c r="BL19" t="str">
        <f ca="1">IFERROR(IF(0=LEN(ReferenceData!$BL$19),"",ReferenceData!$BL$19),"")</f>
        <v/>
      </c>
      <c r="BM19" t="str">
        <f ca="1">IFERROR(IF(0=LEN(ReferenceData!$BM$19),"",ReferenceData!$BM$19),"")</f>
        <v/>
      </c>
    </row>
    <row r="20" spans="1:65">
      <c r="A20" t="str">
        <f>IFERROR(IF(0=LEN(ReferenceData!$A$20),"",ReferenceData!$A$20),"")</f>
        <v xml:space="preserve">    独立式房地产投资信托总营运现金流</v>
      </c>
      <c r="B20" t="str">
        <f>IFERROR(IF(0=LEN(ReferenceData!$B$20),"",ReferenceData!$B$20),"")</f>
        <v>RECFFOFS Index</v>
      </c>
      <c r="C20" t="str">
        <f>IFERROR(IF(0=LEN(ReferenceData!$C$20),"",ReferenceData!$C$20),"")</f>
        <v>PR005</v>
      </c>
      <c r="D20" t="str">
        <f>IFERROR(IF(0=LEN(ReferenceData!$D$20),"",ReferenceData!$D$20),"")</f>
        <v>PX_LAST</v>
      </c>
      <c r="E20" t="str">
        <f>IFERROR(IF(0=LEN(ReferenceData!$E$20),"",ReferenceData!$E$20),"")</f>
        <v>动态</v>
      </c>
      <c r="F20">
        <f ca="1">IFERROR(IF(0=LEN(ReferenceData!$F$20),"",ReferenceData!$F$20),"")</f>
        <v>498.9235516</v>
      </c>
      <c r="G20">
        <f ca="1">IFERROR(IF(0=LEN(ReferenceData!$G$20),"",ReferenceData!$G$20),"")</f>
        <v>557.03599999999994</v>
      </c>
      <c r="H20">
        <f ca="1">IFERROR(IF(0=LEN(ReferenceData!$H$20),"",ReferenceData!$H$20),"")</f>
        <v>534.21699999999998</v>
      </c>
      <c r="I20">
        <f ca="1">IFERROR(IF(0=LEN(ReferenceData!$I$20),"",ReferenceData!$I$20),"")</f>
        <v>515.77099999999996</v>
      </c>
      <c r="J20">
        <f ca="1">IFERROR(IF(0=LEN(ReferenceData!$J$20),"",ReferenceData!$J$20),"")</f>
        <v>543.80899999999997</v>
      </c>
      <c r="K20">
        <f ca="1">IFERROR(IF(0=LEN(ReferenceData!$K$20),"",ReferenceData!$K$20),"")</f>
        <v>485.00799999999998</v>
      </c>
      <c r="L20">
        <f ca="1">IFERROR(IF(0=LEN(ReferenceData!$L$20),"",ReferenceData!$L$20),"")</f>
        <v>455.66399999999999</v>
      </c>
      <c r="M20">
        <f ca="1">IFERROR(IF(0=LEN(ReferenceData!$M$20),"",ReferenceData!$M$20),"")</f>
        <v>448.63799999999998</v>
      </c>
      <c r="N20">
        <f ca="1">IFERROR(IF(0=LEN(ReferenceData!$N$20),"",ReferenceData!$N$20),"")</f>
        <v>446.80900000000003</v>
      </c>
      <c r="O20">
        <f ca="1">IFERROR(IF(0=LEN(ReferenceData!$O$20),"",ReferenceData!$O$20),"")</f>
        <v>410.05500000000001</v>
      </c>
      <c r="P20">
        <f ca="1">IFERROR(IF(0=LEN(ReferenceData!$P$20),"",ReferenceData!$P$20),"")</f>
        <v>398.25900000000001</v>
      </c>
      <c r="Q20">
        <f ca="1">IFERROR(IF(0=LEN(ReferenceData!$Q$20),"",ReferenceData!$Q$20),"")</f>
        <v>557.83199999999999</v>
      </c>
      <c r="R20">
        <f ca="1">IFERROR(IF(0=LEN(ReferenceData!$R$20),"",ReferenceData!$R$20),"")</f>
        <v>289.904</v>
      </c>
      <c r="S20">
        <f ca="1">IFERROR(IF(0=LEN(ReferenceData!$S$20),"",ReferenceData!$S$20),"")</f>
        <v>504.82799999999997</v>
      </c>
      <c r="T20">
        <f ca="1">IFERROR(IF(0=LEN(ReferenceData!$T$20),"",ReferenceData!$T$20),"")</f>
        <v>379.80900000000003</v>
      </c>
      <c r="U20">
        <f ca="1">IFERROR(IF(0=LEN(ReferenceData!$U$20),"",ReferenceData!$U$20),"")</f>
        <v>144.4</v>
      </c>
      <c r="V20">
        <f ca="1">IFERROR(IF(0=LEN(ReferenceData!$V$20),"",ReferenceData!$V$20),"")</f>
        <v>152.15600000000001</v>
      </c>
      <c r="W20">
        <f ca="1">IFERROR(IF(0=LEN(ReferenceData!$W$20),"",ReferenceData!$W$20),"")</f>
        <v>285.80399999999997</v>
      </c>
      <c r="X20">
        <f ca="1">IFERROR(IF(0=LEN(ReferenceData!$X$20),"",ReferenceData!$X$20),"")</f>
        <v>249.21199999999999</v>
      </c>
      <c r="Y20">
        <f ca="1">IFERROR(IF(0=LEN(ReferenceData!$Y$20),"",ReferenceData!$Y$20),"")</f>
        <v>75.930000000000007</v>
      </c>
      <c r="Z20">
        <f ca="1">IFERROR(IF(0=LEN(ReferenceData!$Z$20),"",ReferenceData!$Z$20),"")</f>
        <v>168.80500000000001</v>
      </c>
      <c r="AA20">
        <f ca="1">IFERROR(IF(0=LEN(ReferenceData!$AA$20),"",ReferenceData!$AA$20),"")</f>
        <v>141.09299999999999</v>
      </c>
      <c r="AB20">
        <f ca="1">IFERROR(IF(0=LEN(ReferenceData!$AB$20),"",ReferenceData!$AB$20),"")</f>
        <v>152.54499999999999</v>
      </c>
      <c r="AC20">
        <f ca="1">IFERROR(IF(0=LEN(ReferenceData!$AC$20),"",ReferenceData!$AC$20),"")</f>
        <v>149.22900000000001</v>
      </c>
      <c r="AD20">
        <f ca="1">IFERROR(IF(0=LEN(ReferenceData!$AD$20),"",ReferenceData!$AD$20),"")</f>
        <v>114.194</v>
      </c>
      <c r="AE20">
        <f ca="1">IFERROR(IF(0=LEN(ReferenceData!$AE$20),"",ReferenceData!$AE$20),"")</f>
        <v>120.18899999999999</v>
      </c>
      <c r="AF20">
        <f ca="1">IFERROR(IF(0=LEN(ReferenceData!$AF$20),"",ReferenceData!$AF$20),"")</f>
        <v>117.224</v>
      </c>
      <c r="AG20">
        <f ca="1">IFERROR(IF(0=LEN(ReferenceData!$AG$20),"",ReferenceData!$AG$20),"")</f>
        <v>109.145</v>
      </c>
      <c r="AH20">
        <f ca="1">IFERROR(IF(0=LEN(ReferenceData!$AH$20),"",ReferenceData!$AH$20),"")</f>
        <v>98.418000000000006</v>
      </c>
      <c r="AI20">
        <f ca="1">IFERROR(IF(0=LEN(ReferenceData!$AI$20),"",ReferenceData!$AI$20),"")</f>
        <v>99.284000000000006</v>
      </c>
      <c r="AJ20">
        <f ca="1">IFERROR(IF(0=LEN(ReferenceData!$AJ$20),"",ReferenceData!$AJ$20),"")</f>
        <v>97.227000000000004</v>
      </c>
      <c r="AK20">
        <f ca="1">IFERROR(IF(0=LEN(ReferenceData!$AK$20),"",ReferenceData!$AK$20),"")</f>
        <v>91.992000000000004</v>
      </c>
      <c r="AL20">
        <f ca="1">IFERROR(IF(0=LEN(ReferenceData!$AL$20),"",ReferenceData!$AL$20),"")</f>
        <v>65.697000000000003</v>
      </c>
      <c r="AM20">
        <f ca="1">IFERROR(IF(0=LEN(ReferenceData!$AM$20),"",ReferenceData!$AM$20),"")</f>
        <v>98.938000000000002</v>
      </c>
      <c r="AN20">
        <f ca="1">IFERROR(IF(0=LEN(ReferenceData!$AN$20),"",ReferenceData!$AN$20),"")</f>
        <v>93.501999999999995</v>
      </c>
      <c r="AO20">
        <f ca="1">IFERROR(IF(0=LEN(ReferenceData!$AO$20),"",ReferenceData!$AO$20),"")</f>
        <v>99.19</v>
      </c>
      <c r="AP20">
        <f ca="1">IFERROR(IF(0=LEN(ReferenceData!$AP$20),"",ReferenceData!$AP$20),"")</f>
        <v>100.631</v>
      </c>
      <c r="AQ20">
        <f ca="1">IFERROR(IF(0=LEN(ReferenceData!$AQ$20),"",ReferenceData!$AQ$20),"")</f>
        <v>75.191999999999993</v>
      </c>
      <c r="AR20">
        <f ca="1">IFERROR(IF(0=LEN(ReferenceData!$AR$20),"",ReferenceData!$AR$20),"")</f>
        <v>145.452</v>
      </c>
      <c r="AS20">
        <f ca="1">IFERROR(IF(0=LEN(ReferenceData!$AS$20),"",ReferenceData!$AS$20),"")</f>
        <v>122.949</v>
      </c>
      <c r="AT20">
        <f ca="1">IFERROR(IF(0=LEN(ReferenceData!$AT$20),"",ReferenceData!$AT$20),"")</f>
        <v>130.04300000000001</v>
      </c>
      <c r="AU20">
        <f ca="1">IFERROR(IF(0=LEN(ReferenceData!$AU$20),"",ReferenceData!$AU$20),"")</f>
        <v>129.822</v>
      </c>
      <c r="AV20">
        <f ca="1">IFERROR(IF(0=LEN(ReferenceData!$AV$20),"",ReferenceData!$AV$20),"")</f>
        <v>123.69799999999999</v>
      </c>
      <c r="AW20">
        <f ca="1">IFERROR(IF(0=LEN(ReferenceData!$AW$20),"",ReferenceData!$AW$20),"")</f>
        <v>132.90700000000001</v>
      </c>
      <c r="AX20">
        <f ca="1">IFERROR(IF(0=LEN(ReferenceData!$AX$20),"",ReferenceData!$AX$20),"")</f>
        <v>22.094000000000001</v>
      </c>
      <c r="AY20">
        <f ca="1">IFERROR(IF(0=LEN(ReferenceData!$AY$20),"",ReferenceData!$AY$20),"")</f>
        <v>83.584999999999994</v>
      </c>
      <c r="AZ20">
        <f ca="1">IFERROR(IF(0=LEN(ReferenceData!$AZ$20),"",ReferenceData!$AZ$20),"")</f>
        <v>142.69399999999999</v>
      </c>
      <c r="BA20">
        <f ca="1">IFERROR(IF(0=LEN(ReferenceData!$BA$20),"",ReferenceData!$BA$20),"")</f>
        <v>81.521000000000001</v>
      </c>
      <c r="BB20">
        <f ca="1">IFERROR(IF(0=LEN(ReferenceData!$BB$20),"",ReferenceData!$BB$20),"")</f>
        <v>139.43799999999999</v>
      </c>
      <c r="BC20">
        <f ca="1">IFERROR(IF(0=LEN(ReferenceData!$BC$20),"",ReferenceData!$BC$20),"")</f>
        <v>89.263999999999996</v>
      </c>
      <c r="BD20">
        <f ca="1">IFERROR(IF(0=LEN(ReferenceData!$BD$20),"",ReferenceData!$BD$20),"")</f>
        <v>110.62</v>
      </c>
      <c r="BE20">
        <f ca="1">IFERROR(IF(0=LEN(ReferenceData!$BE$20),"",ReferenceData!$BE$20),"")</f>
        <v>111.297</v>
      </c>
      <c r="BF20">
        <f ca="1">IFERROR(IF(0=LEN(ReferenceData!$BF$20),"",ReferenceData!$BF$20),"")</f>
        <v>70.013000000000005</v>
      </c>
      <c r="BG20">
        <f ca="1">IFERROR(IF(0=LEN(ReferenceData!$BG$20),"",ReferenceData!$BG$20),"")</f>
        <v>65.956999999999994</v>
      </c>
      <c r="BH20">
        <f ca="1">IFERROR(IF(0=LEN(ReferenceData!$BH$20),"",ReferenceData!$BH$20),"")</f>
        <v>73.564999999999998</v>
      </c>
      <c r="BI20">
        <f ca="1">IFERROR(IF(0=LEN(ReferenceData!$BI$20),"",ReferenceData!$BI$20),"")</f>
        <v>52.097000000000001</v>
      </c>
      <c r="BJ20">
        <f ca="1">IFERROR(IF(0=LEN(ReferenceData!$BJ$20),"",ReferenceData!$BJ$20),"")</f>
        <v>72.498999999999995</v>
      </c>
      <c r="BK20">
        <f ca="1">IFERROR(IF(0=LEN(ReferenceData!$BK$20),"",ReferenceData!$BK$20),"")</f>
        <v>51.423999999999999</v>
      </c>
      <c r="BL20">
        <f ca="1">IFERROR(IF(0=LEN(ReferenceData!$BL$20),"",ReferenceData!$BL$20),"")</f>
        <v>51.813000000000002</v>
      </c>
      <c r="BM20">
        <f ca="1">IFERROR(IF(0=LEN(ReferenceData!$BM$20),"",ReferenceData!$BM$20),"")</f>
        <v>60.03</v>
      </c>
    </row>
    <row r="21" spans="1:65">
      <c r="A21" t="str">
        <f>IFERROR(IF(0=LEN(ReferenceData!$A$21),"",ReferenceData!$A$21),"")</f>
        <v xml:space="preserve">    独立式房地产投资信托净营业利润</v>
      </c>
      <c r="B21" t="str">
        <f>IFERROR(IF(0=LEN(ReferenceData!$B$21),"",ReferenceData!$B$21),"")</f>
        <v>RECFNOFS Index</v>
      </c>
      <c r="C21" t="str">
        <f>IFERROR(IF(0=LEN(ReferenceData!$C$21),"",ReferenceData!$C$21),"")</f>
        <v>PR005</v>
      </c>
      <c r="D21" t="str">
        <f>IFERROR(IF(0=LEN(ReferenceData!$D$21),"",ReferenceData!$D$21),"")</f>
        <v>PX_LAST</v>
      </c>
      <c r="E21" t="str">
        <f>IFERROR(IF(0=LEN(ReferenceData!$E$21),"",ReferenceData!$E$21),"")</f>
        <v>动态</v>
      </c>
      <c r="F21">
        <f ca="1">IFERROR(IF(0=LEN(ReferenceData!$F$21),"",ReferenceData!$F$21),"")</f>
        <v>820.60869939999998</v>
      </c>
      <c r="G21">
        <f ca="1">IFERROR(IF(0=LEN(ReferenceData!$G$21),"",ReferenceData!$G$21),"")</f>
        <v>817.01800000000003</v>
      </c>
      <c r="H21">
        <f ca="1">IFERROR(IF(0=LEN(ReferenceData!$H$21),"",ReferenceData!$H$21),"")</f>
        <v>802.93399999999997</v>
      </c>
      <c r="I21">
        <f ca="1">IFERROR(IF(0=LEN(ReferenceData!$I$21),"",ReferenceData!$I$21),"")</f>
        <v>792.39499999999998</v>
      </c>
      <c r="J21">
        <f ca="1">IFERROR(IF(0=LEN(ReferenceData!$J$21),"",ReferenceData!$J$21),"")</f>
        <v>778.62699999999995</v>
      </c>
      <c r="K21">
        <f ca="1">IFERROR(IF(0=LEN(ReferenceData!$K$21),"",ReferenceData!$K$21),"")</f>
        <v>755.10199999999998</v>
      </c>
      <c r="L21">
        <f ca="1">IFERROR(IF(0=LEN(ReferenceData!$L$21),"",ReferenceData!$L$21),"")</f>
        <v>665.10299999999995</v>
      </c>
      <c r="M21">
        <f ca="1">IFERROR(IF(0=LEN(ReferenceData!$M$21),"",ReferenceData!$M$21),"")</f>
        <v>695.55499999999995</v>
      </c>
      <c r="N21">
        <f ca="1">IFERROR(IF(0=LEN(ReferenceData!$N$21),"",ReferenceData!$N$21),"")</f>
        <v>686.25599999999997</v>
      </c>
      <c r="O21">
        <f ca="1">IFERROR(IF(0=LEN(ReferenceData!$O$21),"",ReferenceData!$O$21),"")</f>
        <v>667.44</v>
      </c>
      <c r="P21">
        <f ca="1">IFERROR(IF(0=LEN(ReferenceData!$P$21),"",ReferenceData!$P$21),"")</f>
        <v>606.37699999999995</v>
      </c>
      <c r="Q21">
        <f ca="1">IFERROR(IF(0=LEN(ReferenceData!$Q$21),"",ReferenceData!$Q$21),"")</f>
        <v>918.50699999999995</v>
      </c>
      <c r="R21">
        <f ca="1">IFERROR(IF(0=LEN(ReferenceData!$R$21),"",ReferenceData!$R$21),"")</f>
        <v>903.13300000000004</v>
      </c>
      <c r="S21">
        <f ca="1">IFERROR(IF(0=LEN(ReferenceData!$S$21),"",ReferenceData!$S$21),"")</f>
        <v>855.84500000000003</v>
      </c>
      <c r="T21">
        <f ca="1">IFERROR(IF(0=LEN(ReferenceData!$T$21),"",ReferenceData!$T$21),"")</f>
        <v>790.05600000000004</v>
      </c>
      <c r="U21">
        <f ca="1">IFERROR(IF(0=LEN(ReferenceData!$U$21),"",ReferenceData!$U$21),"")</f>
        <v>708.78300000000002</v>
      </c>
      <c r="V21">
        <f ca="1">IFERROR(IF(0=LEN(ReferenceData!$V$21),"",ReferenceData!$V$21),"")</f>
        <v>592.44200000000001</v>
      </c>
      <c r="W21">
        <f ca="1">IFERROR(IF(0=LEN(ReferenceData!$W$21),"",ReferenceData!$W$21),"")</f>
        <v>670.91800000000001</v>
      </c>
      <c r="X21">
        <f ca="1">IFERROR(IF(0=LEN(ReferenceData!$X$21),"",ReferenceData!$X$21),"")</f>
        <v>560.10299999999995</v>
      </c>
      <c r="Y21">
        <f ca="1">IFERROR(IF(0=LEN(ReferenceData!$Y$21),"",ReferenceData!$Y$21),"")</f>
        <v>388.42899999999997</v>
      </c>
      <c r="Z21">
        <f ca="1">IFERROR(IF(0=LEN(ReferenceData!$Z$21),"",ReferenceData!$Z$21),"")</f>
        <v>303.80799999999999</v>
      </c>
      <c r="AA21">
        <f ca="1">IFERROR(IF(0=LEN(ReferenceData!$AA$21),"",ReferenceData!$AA$21),"")</f>
        <v>331.25799999999998</v>
      </c>
      <c r="AB21">
        <f ca="1">IFERROR(IF(0=LEN(ReferenceData!$AB$21),"",ReferenceData!$AB$21),"")</f>
        <v>261.61900000000003</v>
      </c>
      <c r="AC21">
        <f ca="1">IFERROR(IF(0=LEN(ReferenceData!$AC$21),"",ReferenceData!$AC$21),"")</f>
        <v>259.11799999999999</v>
      </c>
      <c r="AD21">
        <f ca="1">IFERROR(IF(0=LEN(ReferenceData!$AD$21),"",ReferenceData!$AD$21),"")</f>
        <v>211.34899999999999</v>
      </c>
      <c r="AE21">
        <f ca="1">IFERROR(IF(0=LEN(ReferenceData!$AE$21),"",ReferenceData!$AE$21),"")</f>
        <v>205.53100000000001</v>
      </c>
      <c r="AF21">
        <f ca="1">IFERROR(IF(0=LEN(ReferenceData!$AF$21),"",ReferenceData!$AF$21),"")</f>
        <v>189.76300000000001</v>
      </c>
      <c r="AG21">
        <f ca="1">IFERROR(IF(0=LEN(ReferenceData!$AG$21),"",ReferenceData!$AG$21),"")</f>
        <v>181.87299999999999</v>
      </c>
      <c r="AH21">
        <f ca="1">IFERROR(IF(0=LEN(ReferenceData!$AH$21),"",ReferenceData!$AH$21),"")</f>
        <v>172.51300000000001</v>
      </c>
      <c r="AI21">
        <f ca="1">IFERROR(IF(0=LEN(ReferenceData!$AI$21),"",ReferenceData!$AI$21),"")</f>
        <v>165.38800000000001</v>
      </c>
      <c r="AJ21">
        <f ca="1">IFERROR(IF(0=LEN(ReferenceData!$AJ$21),"",ReferenceData!$AJ$21),"")</f>
        <v>159.93600000000001</v>
      </c>
      <c r="AK21">
        <f ca="1">IFERROR(IF(0=LEN(ReferenceData!$AK$21),"",ReferenceData!$AK$21),"")</f>
        <v>158.66900000000001</v>
      </c>
      <c r="AL21">
        <f ca="1">IFERROR(IF(0=LEN(ReferenceData!$AL$21),"",ReferenceData!$AL$21),"")</f>
        <v>159.56800000000001</v>
      </c>
      <c r="AM21">
        <f ca="1">IFERROR(IF(0=LEN(ReferenceData!$AM$21),"",ReferenceData!$AM$21),"")</f>
        <v>155.77099999999999</v>
      </c>
      <c r="AN21">
        <f ca="1">IFERROR(IF(0=LEN(ReferenceData!$AN$21),"",ReferenceData!$AN$21),"")</f>
        <v>157.52199999999999</v>
      </c>
      <c r="AO21">
        <f ca="1">IFERROR(IF(0=LEN(ReferenceData!$AO$21),"",ReferenceData!$AO$21),"")</f>
        <v>156.66300000000001</v>
      </c>
      <c r="AP21">
        <f ca="1">IFERROR(IF(0=LEN(ReferenceData!$AP$21),"",ReferenceData!$AP$21),"")</f>
        <v>157.113</v>
      </c>
      <c r="AQ21">
        <f ca="1">IFERROR(IF(0=LEN(ReferenceData!$AQ$21),"",ReferenceData!$AQ$21),"")</f>
        <v>191.56100000000001</v>
      </c>
      <c r="AR21">
        <f ca="1">IFERROR(IF(0=LEN(ReferenceData!$AR$21),"",ReferenceData!$AR$21),"")</f>
        <v>190.792</v>
      </c>
      <c r="AS21">
        <f ca="1">IFERROR(IF(0=LEN(ReferenceData!$AS$21),"",ReferenceData!$AS$21),"")</f>
        <v>189.86199999999999</v>
      </c>
      <c r="AT21">
        <f ca="1">IFERROR(IF(0=LEN(ReferenceData!$AT$21),"",ReferenceData!$AT$21),"")</f>
        <v>174.17850000000001</v>
      </c>
      <c r="AU21">
        <f ca="1">IFERROR(IF(0=LEN(ReferenceData!$AU$21),"",ReferenceData!$AU$21),"")</f>
        <v>173.06399999999999</v>
      </c>
      <c r="AV21">
        <f ca="1">IFERROR(IF(0=LEN(ReferenceData!$AV$21),"",ReferenceData!$AV$21),"")</f>
        <v>167.559</v>
      </c>
      <c r="AW21">
        <f ca="1">IFERROR(IF(0=LEN(ReferenceData!$AW$21),"",ReferenceData!$AW$21),"")</f>
        <v>161.25200000000001</v>
      </c>
      <c r="AX21">
        <f ca="1">IFERROR(IF(0=LEN(ReferenceData!$AX$21),"",ReferenceData!$AX$21),"")</f>
        <v>158.09700000000001</v>
      </c>
      <c r="AY21">
        <f ca="1">IFERROR(IF(0=LEN(ReferenceData!$AY$21),"",ReferenceData!$AY$21),"")</f>
        <v>187.06100000000001</v>
      </c>
      <c r="AZ21">
        <f ca="1">IFERROR(IF(0=LEN(ReferenceData!$AZ$21),"",ReferenceData!$AZ$21),"")</f>
        <v>183.28100000000001</v>
      </c>
      <c r="BA21">
        <f ca="1">IFERROR(IF(0=LEN(ReferenceData!$BA$21),"",ReferenceData!$BA$21),"")</f>
        <v>180.70599999999999</v>
      </c>
      <c r="BB21">
        <f ca="1">IFERROR(IF(0=LEN(ReferenceData!$BB$21),"",ReferenceData!$BB$21),"")</f>
        <v>177.57499999999999</v>
      </c>
      <c r="BC21">
        <f ca="1">IFERROR(IF(0=LEN(ReferenceData!$BC$21),"",ReferenceData!$BC$21),"")</f>
        <v>165.666</v>
      </c>
      <c r="BD21">
        <f ca="1">IFERROR(IF(0=LEN(ReferenceData!$BD$21),"",ReferenceData!$BD$21),"")</f>
        <v>162.44800000000001</v>
      </c>
      <c r="BE21">
        <f ca="1">IFERROR(IF(0=LEN(ReferenceData!$BE$21),"",ReferenceData!$BE$21),"")</f>
        <v>145.191</v>
      </c>
      <c r="BF21">
        <f ca="1">IFERROR(IF(0=LEN(ReferenceData!$BF$21),"",ReferenceData!$BF$21),"")</f>
        <v>122.661</v>
      </c>
      <c r="BG21">
        <f ca="1">IFERROR(IF(0=LEN(ReferenceData!$BG$21),"",ReferenceData!$BG$21),"")</f>
        <v>133.10300000000001</v>
      </c>
      <c r="BH21">
        <f ca="1">IFERROR(IF(0=LEN(ReferenceData!$BH$21),"",ReferenceData!$BH$21),"")</f>
        <v>128.72200000000001</v>
      </c>
      <c r="BI21">
        <f ca="1">IFERROR(IF(0=LEN(ReferenceData!$BI$21),"",ReferenceData!$BI$21),"")</f>
        <v>125.72799999999999</v>
      </c>
      <c r="BJ21">
        <f ca="1">IFERROR(IF(0=LEN(ReferenceData!$BJ$21),"",ReferenceData!$BJ$21),"")</f>
        <v>120.956</v>
      </c>
      <c r="BK21">
        <f ca="1">IFERROR(IF(0=LEN(ReferenceData!$BK$21),"",ReferenceData!$BK$21),"")</f>
        <v>105.363</v>
      </c>
      <c r="BL21">
        <f ca="1">IFERROR(IF(0=LEN(ReferenceData!$BL$21),"",ReferenceData!$BL$21),"")</f>
        <v>95.948999999999998</v>
      </c>
      <c r="BM21">
        <f ca="1">IFERROR(IF(0=LEN(ReferenceData!$BM$21),"",ReferenceData!$BM$21),"")</f>
        <v>93.582999999999998</v>
      </c>
    </row>
    <row r="22" spans="1:65">
      <c r="A22" t="str">
        <f>IFERROR(IF(0=LEN(ReferenceData!$A$22),"",ReferenceData!$A$22),"")</f>
        <v xml:space="preserve">    独立式房地产投资信托总股利支付</v>
      </c>
      <c r="B22" t="str">
        <f>IFERROR(IF(0=LEN(ReferenceData!$B$22),"",ReferenceData!$B$22),"")</f>
        <v>RECFTDFS Index</v>
      </c>
      <c r="C22" t="str">
        <f>IFERROR(IF(0=LEN(ReferenceData!$C$22),"",ReferenceData!$C$22),"")</f>
        <v>PR005</v>
      </c>
      <c r="D22" t="str">
        <f>IFERROR(IF(0=LEN(ReferenceData!$D$22),"",ReferenceData!$D$22),"")</f>
        <v>PX_LAST</v>
      </c>
      <c r="E22" t="str">
        <f>IFERROR(IF(0=LEN(ReferenceData!$E$22),"",ReferenceData!$E$22),"")</f>
        <v>动态</v>
      </c>
      <c r="F22">
        <f ca="1">IFERROR(IF(0=LEN(ReferenceData!$F$22),"",ReferenceData!$F$22),"")</f>
        <v>458.0312399</v>
      </c>
      <c r="G22">
        <f ca="1">IFERROR(IF(0=LEN(ReferenceData!$G$22),"",ReferenceData!$G$22),"")</f>
        <v>445.46499999999997</v>
      </c>
      <c r="H22">
        <f ca="1">IFERROR(IF(0=LEN(ReferenceData!$H$22),"",ReferenceData!$H$22),"")</f>
        <v>438.23200000000003</v>
      </c>
      <c r="I22">
        <f ca="1">IFERROR(IF(0=LEN(ReferenceData!$I$22),"",ReferenceData!$I$22),"")</f>
        <v>433.00099999999998</v>
      </c>
      <c r="J22">
        <f ca="1">IFERROR(IF(0=LEN(ReferenceData!$J$22),"",ReferenceData!$J$22),"")</f>
        <v>432.36500000000001</v>
      </c>
      <c r="K22">
        <f ca="1">IFERROR(IF(0=LEN(ReferenceData!$K$22),"",ReferenceData!$K$22),"")</f>
        <v>411.24400000000003</v>
      </c>
      <c r="L22">
        <f ca="1">IFERROR(IF(0=LEN(ReferenceData!$L$22),"",ReferenceData!$L$22),"")</f>
        <v>363.47</v>
      </c>
      <c r="M22">
        <f ca="1">IFERROR(IF(0=LEN(ReferenceData!$M$22),"",ReferenceData!$M$22),"")</f>
        <v>388.88900000000001</v>
      </c>
      <c r="N22">
        <f ca="1">IFERROR(IF(0=LEN(ReferenceData!$N$22),"",ReferenceData!$N$22),"")</f>
        <v>342.95</v>
      </c>
      <c r="O22">
        <f ca="1">IFERROR(IF(0=LEN(ReferenceData!$O$22),"",ReferenceData!$O$22),"")</f>
        <v>331.584</v>
      </c>
      <c r="P22">
        <f ca="1">IFERROR(IF(0=LEN(ReferenceData!$P$22),"",ReferenceData!$P$22),"")</f>
        <v>319.42700000000002</v>
      </c>
      <c r="Q22">
        <f ca="1">IFERROR(IF(0=LEN(ReferenceData!$Q$22),"",ReferenceData!$Q$22),"")</f>
        <v>319.96300000000002</v>
      </c>
      <c r="R22">
        <f ca="1">IFERROR(IF(0=LEN(ReferenceData!$R$22),"",ReferenceData!$R$22),"")</f>
        <v>532.41899999999998</v>
      </c>
      <c r="S22">
        <f ca="1">IFERROR(IF(0=LEN(ReferenceData!$S$22),"",ReferenceData!$S$22),"")</f>
        <v>528.16700000000003</v>
      </c>
      <c r="T22">
        <f ca="1">IFERROR(IF(0=LEN(ReferenceData!$T$22),"",ReferenceData!$T$22),"")</f>
        <v>498.09699999999998</v>
      </c>
      <c r="U22">
        <f ca="1">IFERROR(IF(0=LEN(ReferenceData!$U$22),"",ReferenceData!$U$22),"")</f>
        <v>471.00700000000001</v>
      </c>
      <c r="V22">
        <f ca="1">IFERROR(IF(0=LEN(ReferenceData!$V$22),"",ReferenceData!$V$22),"")</f>
        <v>322.05900000000003</v>
      </c>
      <c r="W22">
        <f ca="1">IFERROR(IF(0=LEN(ReferenceData!$W$22),"",ReferenceData!$W$22),"")</f>
        <v>382.322</v>
      </c>
      <c r="X22">
        <f ca="1">IFERROR(IF(0=LEN(ReferenceData!$X$22),"",ReferenceData!$X$22),"")</f>
        <v>327.51799999999997</v>
      </c>
      <c r="Y22">
        <f ca="1">IFERROR(IF(0=LEN(ReferenceData!$Y$22),"",ReferenceData!$Y$22),"")</f>
        <v>231.685</v>
      </c>
      <c r="Z22">
        <f ca="1">IFERROR(IF(0=LEN(ReferenceData!$Z$22),"",ReferenceData!$Z$22),"")</f>
        <v>128.14400000000001</v>
      </c>
      <c r="AA22">
        <f ca="1">IFERROR(IF(0=LEN(ReferenceData!$AA$22),"",ReferenceData!$AA$22),"")</f>
        <v>154.91300000000001</v>
      </c>
      <c r="AB22">
        <f ca="1">IFERROR(IF(0=LEN(ReferenceData!$AB$22),"",ReferenceData!$AB$22),"")</f>
        <v>149.358</v>
      </c>
      <c r="AC22">
        <f ca="1">IFERROR(IF(0=LEN(ReferenceData!$AC$22),"",ReferenceData!$AC$22),"")</f>
        <v>138.55099999999999</v>
      </c>
      <c r="AD22">
        <f ca="1">IFERROR(IF(0=LEN(ReferenceData!$AD$22),"",ReferenceData!$AD$22),"")</f>
        <v>124.099</v>
      </c>
      <c r="AE22">
        <f ca="1">IFERROR(IF(0=LEN(ReferenceData!$AE$22),"",ReferenceData!$AE$22),"")</f>
        <v>116.652</v>
      </c>
      <c r="AF22">
        <f ca="1">IFERROR(IF(0=LEN(ReferenceData!$AF$22),"",ReferenceData!$AF$22),"")</f>
        <v>115.898</v>
      </c>
      <c r="AG22">
        <f ca="1">IFERROR(IF(0=LEN(ReferenceData!$AG$22),"",ReferenceData!$AG$22),"")</f>
        <v>110.179</v>
      </c>
      <c r="AH22">
        <f ca="1">IFERROR(IF(0=LEN(ReferenceData!$AH$22),"",ReferenceData!$AH$22),"")</f>
        <v>106.76900000000001</v>
      </c>
      <c r="AI22">
        <f ca="1">IFERROR(IF(0=LEN(ReferenceData!$AI$22),"",ReferenceData!$AI$22),"")</f>
        <v>103.79300000000001</v>
      </c>
      <c r="AJ22">
        <f ca="1">IFERROR(IF(0=LEN(ReferenceData!$AJ$22),"",ReferenceData!$AJ$22),"")</f>
        <v>100.84699999999999</v>
      </c>
      <c r="AK22">
        <f ca="1">IFERROR(IF(0=LEN(ReferenceData!$AK$22),"",ReferenceData!$AK$22),"")</f>
        <v>99.765000000000001</v>
      </c>
      <c r="AL22">
        <f ca="1">IFERROR(IF(0=LEN(ReferenceData!$AL$22),"",ReferenceData!$AL$22),"")</f>
        <v>99.616</v>
      </c>
      <c r="AM22">
        <f ca="1">IFERROR(IF(0=LEN(ReferenceData!$AM$22),"",ReferenceData!$AM$22),"")</f>
        <v>98.457999999999998</v>
      </c>
      <c r="AN22">
        <f ca="1">IFERROR(IF(0=LEN(ReferenceData!$AN$22),"",ReferenceData!$AN$22),"")</f>
        <v>98.113</v>
      </c>
      <c r="AO22">
        <f ca="1">IFERROR(IF(0=LEN(ReferenceData!$AO$22),"",ReferenceData!$AO$22),"")</f>
        <v>97.63</v>
      </c>
      <c r="AP22">
        <f ca="1">IFERROR(IF(0=LEN(ReferenceData!$AP$22),"",ReferenceData!$AP$22),"")</f>
        <v>106.7855</v>
      </c>
      <c r="AQ22">
        <f ca="1">IFERROR(IF(0=LEN(ReferenceData!$AQ$22),"",ReferenceData!$AQ$22),"")</f>
        <v>114.81399999999999</v>
      </c>
      <c r="AR22">
        <f ca="1">IFERROR(IF(0=LEN(ReferenceData!$AR$22),"",ReferenceData!$AR$22),"")</f>
        <v>117.194</v>
      </c>
      <c r="AS22">
        <f ca="1">IFERROR(IF(0=LEN(ReferenceData!$AS$22),"",ReferenceData!$AS$22),"")</f>
        <v>92.055999999999997</v>
      </c>
      <c r="AT22">
        <f ca="1">IFERROR(IF(0=LEN(ReferenceData!$AT$22),"",ReferenceData!$AT$22),"")</f>
        <v>95.525999999999996</v>
      </c>
      <c r="AU22">
        <f ca="1">IFERROR(IF(0=LEN(ReferenceData!$AU$22),"",ReferenceData!$AU$22),"")</f>
        <v>97.62</v>
      </c>
      <c r="AV22">
        <f ca="1">IFERROR(IF(0=LEN(ReferenceData!$AV$22),"",ReferenceData!$AV$22),"")</f>
        <v>98.474000000000004</v>
      </c>
      <c r="AW22">
        <f ca="1">IFERROR(IF(0=LEN(ReferenceData!$AW$22),"",ReferenceData!$AW$22),"")</f>
        <v>81.948999999999998</v>
      </c>
      <c r="AX22">
        <f ca="1">IFERROR(IF(0=LEN(ReferenceData!$AX$22),"",ReferenceData!$AX$22),"")</f>
        <v>102.133</v>
      </c>
      <c r="AY22">
        <f ca="1">IFERROR(IF(0=LEN(ReferenceData!$AY$22),"",ReferenceData!$AY$22),"")</f>
        <v>112.59699999999999</v>
      </c>
      <c r="AZ22">
        <f ca="1">IFERROR(IF(0=LEN(ReferenceData!$AZ$22),"",ReferenceData!$AZ$22),"")</f>
        <v>105.92700000000001</v>
      </c>
      <c r="BA22">
        <f ca="1">IFERROR(IF(0=LEN(ReferenceData!$BA$22),"",ReferenceData!$BA$22),"")</f>
        <v>99.245999999999995</v>
      </c>
      <c r="BB22">
        <f ca="1">IFERROR(IF(0=LEN(ReferenceData!$BB$22),"",ReferenceData!$BB$22),"")</f>
        <v>116.86199999999999</v>
      </c>
      <c r="BC22">
        <f ca="1">IFERROR(IF(0=LEN(ReferenceData!$BC$22),"",ReferenceData!$BC$22),"")</f>
        <v>90.301000000000002</v>
      </c>
      <c r="BD22">
        <f ca="1">IFERROR(IF(0=LEN(ReferenceData!$BD$22),"",ReferenceData!$BD$22),"")</f>
        <v>89.387</v>
      </c>
      <c r="BE22">
        <f ca="1">IFERROR(IF(0=LEN(ReferenceData!$BE$22),"",ReferenceData!$BE$22),"")</f>
        <v>84.49</v>
      </c>
      <c r="BF22">
        <f ca="1">IFERROR(IF(0=LEN(ReferenceData!$BF$22),"",ReferenceData!$BF$22),"")</f>
        <v>61.841000000000001</v>
      </c>
      <c r="BG22">
        <f ca="1">IFERROR(IF(0=LEN(ReferenceData!$BG$22),"",ReferenceData!$BG$22),"")</f>
        <v>69.688000000000002</v>
      </c>
      <c r="BH22">
        <f ca="1">IFERROR(IF(0=LEN(ReferenceData!$BH$22),"",ReferenceData!$BH$22),"")</f>
        <v>69.183999999999997</v>
      </c>
      <c r="BI22">
        <f ca="1">IFERROR(IF(0=LEN(ReferenceData!$BI$22),"",ReferenceData!$BI$22),"")</f>
        <v>67.597999999999999</v>
      </c>
      <c r="BJ22">
        <f ca="1">IFERROR(IF(0=LEN(ReferenceData!$BJ$22),"",ReferenceData!$BJ$22),"")</f>
        <v>65.602999999999994</v>
      </c>
      <c r="BK22">
        <f ca="1">IFERROR(IF(0=LEN(ReferenceData!$BK$22),"",ReferenceData!$BK$22),"")</f>
        <v>62.322000000000003</v>
      </c>
      <c r="BL22">
        <f ca="1">IFERROR(IF(0=LEN(ReferenceData!$BL$22),"",ReferenceData!$BL$22),"")</f>
        <v>57.390999999999998</v>
      </c>
      <c r="BM22">
        <f ca="1">IFERROR(IF(0=LEN(ReferenceData!$BM$22),"",ReferenceData!$BM$22),"")</f>
        <v>57.505000000000003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U84"/>
  <sheetViews>
    <sheetView workbookViewId="0"/>
  </sheetViews>
  <sheetFormatPr defaultRowHeight="13.5"/>
  <cols>
    <col min="1" max="1" width="56.375" customWidth="1"/>
    <col min="2" max="2" width="15.75" customWidth="1"/>
    <col min="3" max="125" width="9.125" bestFit="1" customWidth="1"/>
  </cols>
  <sheetData>
    <row r="1" spans="1:12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ht="15">
      <c r="A2" s="1" t="str">
        <f>"简述"</f>
        <v>简述</v>
      </c>
      <c r="B2" s="1" t="str">
        <f>"代码"</f>
        <v>代码</v>
      </c>
      <c r="C2" s="1" t="str">
        <f>"栏目ID"</f>
        <v>栏目ID</v>
      </c>
      <c r="D2" s="1" t="str">
        <f>"栏目助记符"</f>
        <v>栏目助记符</v>
      </c>
      <c r="E2" s="1" t="str">
        <f>"数据状态"</f>
        <v>数据状态</v>
      </c>
      <c r="F2" s="1" t="str">
        <f>ReferenceData!$C$75</f>
        <v>2017 Q4</v>
      </c>
      <c r="G2" s="1" t="str">
        <f>ReferenceData!$D$75</f>
        <v>2017 Q3</v>
      </c>
      <c r="H2" s="1" t="str">
        <f>ReferenceData!$E$75</f>
        <v>2017 Q2</v>
      </c>
      <c r="I2" s="1" t="str">
        <f>ReferenceData!$F$75</f>
        <v>2017 Q1</v>
      </c>
      <c r="J2" s="1" t="str">
        <f>ReferenceData!$G$75</f>
        <v>2016 Q4</v>
      </c>
      <c r="K2" s="1" t="str">
        <f>ReferenceData!$H$75</f>
        <v>2016 Q3</v>
      </c>
      <c r="L2" s="1" t="str">
        <f>ReferenceData!$I$75</f>
        <v>2016 Q2</v>
      </c>
      <c r="M2" s="1" t="str">
        <f>ReferenceData!$J$75</f>
        <v>2016 Q1</v>
      </c>
      <c r="N2" s="1" t="str">
        <f>ReferenceData!$K$75</f>
        <v>2015 Q4</v>
      </c>
      <c r="O2" s="1" t="str">
        <f>ReferenceData!$L$75</f>
        <v>2015 Q3</v>
      </c>
      <c r="P2" s="1" t="str">
        <f>ReferenceData!$M$75</f>
        <v>2015 Q2</v>
      </c>
      <c r="Q2" s="1" t="str">
        <f>ReferenceData!$N$75</f>
        <v>2015 Q1</v>
      </c>
      <c r="R2" s="1" t="str">
        <f>ReferenceData!$O$75</f>
        <v>2014 Q4</v>
      </c>
      <c r="S2" s="1" t="str">
        <f>ReferenceData!$P$75</f>
        <v>2014 Q3</v>
      </c>
      <c r="T2" s="1" t="str">
        <f>ReferenceData!$Q$75</f>
        <v>2014 Q2</v>
      </c>
      <c r="U2" s="1" t="str">
        <f>ReferenceData!$R$75</f>
        <v>2014 Q1</v>
      </c>
      <c r="V2" s="1" t="str">
        <f>ReferenceData!$S$75</f>
        <v>2013 Q4</v>
      </c>
      <c r="W2" s="1" t="str">
        <f>ReferenceData!$T$75</f>
        <v>2013 Q3</v>
      </c>
      <c r="X2" s="1" t="str">
        <f>ReferenceData!$U$75</f>
        <v>2013 Q2</v>
      </c>
      <c r="Y2" s="1" t="str">
        <f>ReferenceData!$V$75</f>
        <v>2013 Q1</v>
      </c>
      <c r="Z2" s="1" t="str">
        <f>ReferenceData!$W$75</f>
        <v>2012 Q4</v>
      </c>
      <c r="AA2" s="1" t="str">
        <f>ReferenceData!$X$75</f>
        <v>2012 Q3</v>
      </c>
      <c r="AB2" s="1" t="str">
        <f>ReferenceData!$Y$75</f>
        <v>2012 Q2</v>
      </c>
      <c r="AC2" s="1" t="str">
        <f>ReferenceData!$Z$75</f>
        <v>2012 Q1</v>
      </c>
      <c r="AD2" s="1" t="str">
        <f>ReferenceData!$AA$75</f>
        <v>2011 Q4</v>
      </c>
      <c r="AE2" s="1" t="str">
        <f>ReferenceData!$AB$75</f>
        <v>2011 Q3</v>
      </c>
      <c r="AF2" s="1" t="str">
        <f>ReferenceData!$AC$75</f>
        <v>2011 Q2</v>
      </c>
      <c r="AG2" s="1" t="str">
        <f>ReferenceData!$AD$75</f>
        <v>2011 Q1</v>
      </c>
      <c r="AH2" s="1" t="str">
        <f>ReferenceData!$AE$75</f>
        <v>2010 Q4</v>
      </c>
      <c r="AI2" s="1" t="str">
        <f>ReferenceData!$AF$75</f>
        <v>2010 Q3</v>
      </c>
      <c r="AJ2" s="1" t="str">
        <f>ReferenceData!$AG$75</f>
        <v>2010 Q2</v>
      </c>
      <c r="AK2" s="1" t="str">
        <f>ReferenceData!$AH$75</f>
        <v>2010 Q1</v>
      </c>
      <c r="AL2" s="1" t="str">
        <f>ReferenceData!$AI$75</f>
        <v>2009 Q4</v>
      </c>
      <c r="AM2" s="1" t="str">
        <f>ReferenceData!$AJ$75</f>
        <v>2009 Q3</v>
      </c>
      <c r="AN2" s="1" t="str">
        <f>ReferenceData!$AK$75</f>
        <v>2009 Q2</v>
      </c>
      <c r="AO2" s="1" t="str">
        <f>ReferenceData!$AL$75</f>
        <v>2009 Q1</v>
      </c>
      <c r="AP2" s="1" t="str">
        <f>ReferenceData!$AM$75</f>
        <v>2008 Q4</v>
      </c>
      <c r="AQ2" s="1" t="str">
        <f>ReferenceData!$AN$75</f>
        <v>2008 Q3</v>
      </c>
      <c r="AR2" s="1" t="str">
        <f>ReferenceData!$AO$75</f>
        <v>2008 Q2</v>
      </c>
      <c r="AS2" s="1" t="str">
        <f>ReferenceData!$AP$75</f>
        <v>2008 Q1</v>
      </c>
      <c r="AT2" s="1" t="str">
        <f>ReferenceData!$AQ$75</f>
        <v>2007 Q4</v>
      </c>
      <c r="AU2" s="1" t="str">
        <f>ReferenceData!$AR$75</f>
        <v>2007 Q3</v>
      </c>
      <c r="AV2" s="1" t="str">
        <f>ReferenceData!$AS$75</f>
        <v>2007 Q2</v>
      </c>
      <c r="AW2" s="1" t="str">
        <f>ReferenceData!$AT$75</f>
        <v>2007 Q1</v>
      </c>
      <c r="AX2" s="1" t="str">
        <f>ReferenceData!$AU$75</f>
        <v>2006 Q4</v>
      </c>
      <c r="AY2" s="1" t="str">
        <f>ReferenceData!$AV$75</f>
        <v>2006 Q3</v>
      </c>
      <c r="AZ2" s="1" t="str">
        <f>ReferenceData!$AW$75</f>
        <v>2006 Q2</v>
      </c>
      <c r="BA2" s="1" t="str">
        <f>ReferenceData!$AX$75</f>
        <v>2006 Q1</v>
      </c>
      <c r="BB2" s="1" t="str">
        <f>ReferenceData!$AY$75</f>
        <v>2005 Q4</v>
      </c>
      <c r="BC2" s="1" t="str">
        <f>ReferenceData!$AZ$75</f>
        <v>2005 Q3</v>
      </c>
      <c r="BD2" s="1" t="str">
        <f>ReferenceData!$BA$75</f>
        <v>2005 Q2</v>
      </c>
      <c r="BE2" s="1" t="str">
        <f>ReferenceData!$BB$75</f>
        <v>2005 Q1</v>
      </c>
      <c r="BF2" s="1" t="str">
        <f>ReferenceData!$BC$75</f>
        <v>2004 Q4</v>
      </c>
      <c r="BG2" s="1" t="str">
        <f>ReferenceData!$BD$75</f>
        <v>2004 Q3</v>
      </c>
      <c r="BH2" s="1" t="str">
        <f>ReferenceData!$BE$75</f>
        <v>2004 Q2</v>
      </c>
      <c r="BI2" s="1" t="str">
        <f>ReferenceData!$BF$75</f>
        <v>2004 Q1</v>
      </c>
      <c r="BJ2" s="1" t="str">
        <f>ReferenceData!$BG$75</f>
        <v>2003 Q4</v>
      </c>
      <c r="BK2" s="1" t="str">
        <f>ReferenceData!$BH$75</f>
        <v>2003 Q3</v>
      </c>
      <c r="BL2" s="1" t="str">
        <f>ReferenceData!$BI$75</f>
        <v>2003 Q2</v>
      </c>
      <c r="BM2" s="1" t="str">
        <f>ReferenceData!$BJ$75</f>
        <v>2003 Q1</v>
      </c>
      <c r="BN2" t="str">
        <f>$C$75</f>
        <v>2017 Q4</v>
      </c>
      <c r="BO2" t="str">
        <f>$D$75</f>
        <v>2017 Q3</v>
      </c>
      <c r="BP2" t="str">
        <f>$E$75</f>
        <v>2017 Q2</v>
      </c>
      <c r="BQ2" t="str">
        <f>$F$75</f>
        <v>2017 Q1</v>
      </c>
      <c r="BR2" t="str">
        <f>$G$75</f>
        <v>2016 Q4</v>
      </c>
      <c r="BS2" t="str">
        <f>$H$75</f>
        <v>2016 Q3</v>
      </c>
      <c r="BT2" t="str">
        <f>$I$75</f>
        <v>2016 Q2</v>
      </c>
      <c r="BU2" t="str">
        <f>$J$75</f>
        <v>2016 Q1</v>
      </c>
      <c r="BV2" t="str">
        <f>$K$75</f>
        <v>2015 Q4</v>
      </c>
      <c r="BW2" t="str">
        <f>$L$75</f>
        <v>2015 Q3</v>
      </c>
      <c r="BX2" t="str">
        <f>$M$75</f>
        <v>2015 Q2</v>
      </c>
      <c r="BY2" t="str">
        <f>$N$75</f>
        <v>2015 Q1</v>
      </c>
      <c r="BZ2" t="str">
        <f>$O$75</f>
        <v>2014 Q4</v>
      </c>
      <c r="CA2" t="str">
        <f>$P$75</f>
        <v>2014 Q3</v>
      </c>
      <c r="CB2" t="str">
        <f>$Q$75</f>
        <v>2014 Q2</v>
      </c>
      <c r="CC2" t="str">
        <f>$R$75</f>
        <v>2014 Q1</v>
      </c>
      <c r="CD2" t="str">
        <f>$S$75</f>
        <v>2013 Q4</v>
      </c>
      <c r="CE2" t="str">
        <f>$T$75</f>
        <v>2013 Q3</v>
      </c>
      <c r="CF2" t="str">
        <f>$U$75</f>
        <v>2013 Q2</v>
      </c>
      <c r="CG2" t="str">
        <f>$V$75</f>
        <v>2013 Q1</v>
      </c>
      <c r="CH2" t="str">
        <f>$W$75</f>
        <v>2012 Q4</v>
      </c>
      <c r="CI2" t="str">
        <f>$X$75</f>
        <v>2012 Q3</v>
      </c>
      <c r="CJ2" t="str">
        <f>$Y$75</f>
        <v>2012 Q2</v>
      </c>
      <c r="CK2" t="str">
        <f>$Z$75</f>
        <v>2012 Q1</v>
      </c>
      <c r="CL2" t="str">
        <f>$AA$75</f>
        <v>2011 Q4</v>
      </c>
      <c r="CM2" t="str">
        <f>$AB$75</f>
        <v>2011 Q3</v>
      </c>
      <c r="CN2" t="str">
        <f>$AC$75</f>
        <v>2011 Q2</v>
      </c>
      <c r="CO2" t="str">
        <f>$AD$75</f>
        <v>2011 Q1</v>
      </c>
      <c r="CP2" t="str">
        <f>$AE$75</f>
        <v>2010 Q4</v>
      </c>
      <c r="CQ2" t="str">
        <f>$AF$75</f>
        <v>2010 Q3</v>
      </c>
      <c r="CR2" t="str">
        <f>$AG$75</f>
        <v>2010 Q2</v>
      </c>
      <c r="CS2" t="str">
        <f>$AH$75</f>
        <v>2010 Q1</v>
      </c>
      <c r="CT2" t="str">
        <f>$AI$75</f>
        <v>2009 Q4</v>
      </c>
      <c r="CU2" t="str">
        <f>$AJ$75</f>
        <v>2009 Q3</v>
      </c>
      <c r="CV2" t="str">
        <f>$AK$75</f>
        <v>2009 Q2</v>
      </c>
      <c r="CW2" t="str">
        <f>$AL$75</f>
        <v>2009 Q1</v>
      </c>
      <c r="CX2" t="str">
        <f>$AM$75</f>
        <v>2008 Q4</v>
      </c>
      <c r="CY2" t="str">
        <f>$AN$75</f>
        <v>2008 Q3</v>
      </c>
      <c r="CZ2" t="str">
        <f>$AO$75</f>
        <v>2008 Q2</v>
      </c>
      <c r="DA2" t="str">
        <f>$AP$75</f>
        <v>2008 Q1</v>
      </c>
      <c r="DB2" t="str">
        <f>$AQ$75</f>
        <v>2007 Q4</v>
      </c>
      <c r="DC2" t="str">
        <f>$AR$75</f>
        <v>2007 Q3</v>
      </c>
      <c r="DD2" t="str">
        <f>$AS$75</f>
        <v>2007 Q2</v>
      </c>
      <c r="DE2" t="str">
        <f>$AT$75</f>
        <v>2007 Q1</v>
      </c>
      <c r="DF2" t="str">
        <f>$AU$75</f>
        <v>2006 Q4</v>
      </c>
      <c r="DG2" t="str">
        <f>$AV$75</f>
        <v>2006 Q3</v>
      </c>
      <c r="DH2" t="str">
        <f>$AW$75</f>
        <v>2006 Q2</v>
      </c>
      <c r="DI2" t="str">
        <f>$AX$75</f>
        <v>2006 Q1</v>
      </c>
      <c r="DJ2" t="str">
        <f>$AY$75</f>
        <v>2005 Q4</v>
      </c>
      <c r="DK2" t="str">
        <f>$AZ$75</f>
        <v>2005 Q3</v>
      </c>
      <c r="DL2" t="str">
        <f>$BA$75</f>
        <v>2005 Q2</v>
      </c>
      <c r="DM2" t="str">
        <f>$BB$75</f>
        <v>2005 Q1</v>
      </c>
      <c r="DN2" t="str">
        <f>$BC$75</f>
        <v>2004 Q4</v>
      </c>
      <c r="DO2" t="str">
        <f>$BD$75</f>
        <v>2004 Q3</v>
      </c>
      <c r="DP2" t="str">
        <f>$BE$75</f>
        <v>2004 Q2</v>
      </c>
      <c r="DQ2" t="str">
        <f>$BF$75</f>
        <v>2004 Q1</v>
      </c>
      <c r="DR2" t="str">
        <f>$BG$75</f>
        <v>2003 Q4</v>
      </c>
      <c r="DS2" t="str">
        <f>$BH$75</f>
        <v>2003 Q3</v>
      </c>
      <c r="DT2" t="str">
        <f>$BI$75</f>
        <v>2003 Q2</v>
      </c>
      <c r="DU2" t="str">
        <f>$BJ$75</f>
        <v>2003 Q1</v>
      </c>
    </row>
    <row r="3" spans="1:125">
      <c r="A3" t="str">
        <f>"零售业房地产投资信托数据"</f>
        <v>零售业房地产投资信托数据</v>
      </c>
      <c r="B3" t="str">
        <f>""</f>
        <v/>
      </c>
      <c r="E3" t="str">
        <f>"静态"</f>
        <v>静态</v>
      </c>
      <c r="F3" t="str">
        <f t="shared" ref="F3:AK3" ca="1" si="0">HLOOKUP(INDIRECT(ADDRESS(2,COLUMN())),OFFSET($BN$2,0,0,ROW()-1,60),ROW()-1,FALSE)</f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ca="1" si="0"/>
        <v/>
      </c>
      <c r="R3" t="str">
        <f t="shared" ca="1" si="0"/>
        <v/>
      </c>
      <c r="S3" t="str">
        <f t="shared" ca="1" si="0"/>
        <v/>
      </c>
      <c r="T3" t="str">
        <f t="shared" ca="1" si="0"/>
        <v/>
      </c>
      <c r="U3" t="str">
        <f t="shared" ca="1" si="0"/>
        <v/>
      </c>
      <c r="V3" t="str">
        <f t="shared" ca="1" si="0"/>
        <v/>
      </c>
      <c r="W3" t="str">
        <f t="shared" ca="1" si="0"/>
        <v/>
      </c>
      <c r="X3" t="str">
        <f t="shared" ca="1" si="0"/>
        <v/>
      </c>
      <c r="Y3" t="str">
        <f t="shared" ca="1" si="0"/>
        <v/>
      </c>
      <c r="Z3" t="str">
        <f t="shared" ca="1" si="0"/>
        <v/>
      </c>
      <c r="AA3" t="str">
        <f t="shared" ca="1" si="0"/>
        <v/>
      </c>
      <c r="AB3" t="str">
        <f t="shared" ca="1" si="0"/>
        <v/>
      </c>
      <c r="AC3" t="str">
        <f t="shared" ca="1" si="0"/>
        <v/>
      </c>
      <c r="AD3" t="str">
        <f t="shared" ca="1" si="0"/>
        <v/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ref="AL3:BM3" ca="1" si="1">HLOOKUP(INDIRECT(ADDRESS(2,COLUMN())),OFFSET($BN$2,0,0,ROW()-1,60),ROW()-1,FALSE)</f>
        <v/>
      </c>
      <c r="AM3" t="str">
        <f t="shared" ca="1" si="1"/>
        <v/>
      </c>
      <c r="AN3" t="str">
        <f t="shared" ca="1" si="1"/>
        <v/>
      </c>
      <c r="AO3" t="str">
        <f t="shared" ca="1" si="1"/>
        <v/>
      </c>
      <c r="AP3" t="str">
        <f t="shared" ca="1" si="1"/>
        <v/>
      </c>
      <c r="AQ3" t="str">
        <f t="shared" ca="1" si="1"/>
        <v/>
      </c>
      <c r="AR3" t="str">
        <f t="shared" ca="1" si="1"/>
        <v/>
      </c>
      <c r="AS3" t="str">
        <f t="shared" ca="1" si="1"/>
        <v/>
      </c>
      <c r="AT3" t="str">
        <f t="shared" ca="1" si="1"/>
        <v/>
      </c>
      <c r="AU3" t="str">
        <f t="shared" ca="1" si="1"/>
        <v/>
      </c>
      <c r="AV3" t="str">
        <f t="shared" ca="1" si="1"/>
        <v/>
      </c>
      <c r="AW3" t="str">
        <f t="shared" ca="1" si="1"/>
        <v/>
      </c>
      <c r="AX3" t="str">
        <f t="shared" ca="1" si="1"/>
        <v/>
      </c>
      <c r="AY3" t="str">
        <f t="shared" ca="1" si="1"/>
        <v/>
      </c>
      <c r="AZ3" t="str">
        <f t="shared" ca="1" si="1"/>
        <v/>
      </c>
      <c r="BA3" t="str">
        <f t="shared" ca="1" si="1"/>
        <v/>
      </c>
      <c r="BB3" t="str">
        <f t="shared" ca="1" si="1"/>
        <v/>
      </c>
      <c r="BC3" t="str">
        <f t="shared" ca="1" si="1"/>
        <v/>
      </c>
      <c r="BD3" t="str">
        <f t="shared" ca="1" si="1"/>
        <v/>
      </c>
      <c r="BE3" t="str">
        <f t="shared" ca="1" si="1"/>
        <v/>
      </c>
      <c r="BF3" t="str">
        <f t="shared" ca="1" si="1"/>
        <v/>
      </c>
      <c r="BG3" t="str">
        <f t="shared" ca="1" si="1"/>
        <v/>
      </c>
      <c r="BH3" t="str">
        <f t="shared" ca="1" si="1"/>
        <v/>
      </c>
      <c r="BI3" t="str">
        <f t="shared" ca="1" si="1"/>
        <v/>
      </c>
      <c r="BJ3" t="str">
        <f t="shared" ca="1" si="1"/>
        <v/>
      </c>
      <c r="BK3" t="str">
        <f t="shared" ca="1" si="1"/>
        <v/>
      </c>
      <c r="BL3" t="str">
        <f t="shared" ca="1" si="1"/>
        <v/>
      </c>
      <c r="BM3" t="str">
        <f t="shared" ca="1" si="1"/>
        <v/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  <c r="CH3" t="str">
        <f>""</f>
        <v/>
      </c>
      <c r="CI3" t="str">
        <f>""</f>
        <v/>
      </c>
      <c r="CJ3" t="str">
        <f>""</f>
        <v/>
      </c>
      <c r="CK3" t="str">
        <f>""</f>
        <v/>
      </c>
      <c r="CL3" t="str">
        <f>""</f>
        <v/>
      </c>
      <c r="CM3" t="str">
        <f>""</f>
        <v/>
      </c>
      <c r="CN3" t="str">
        <f>""</f>
        <v/>
      </c>
      <c r="CO3" t="str">
        <f>""</f>
        <v/>
      </c>
      <c r="CP3" t="str">
        <f>""</f>
        <v/>
      </c>
      <c r="CQ3" t="str">
        <f>""</f>
        <v/>
      </c>
      <c r="CR3" t="str">
        <f>""</f>
        <v/>
      </c>
      <c r="CS3" t="str">
        <f>""</f>
        <v/>
      </c>
      <c r="CT3" t="str">
        <f>""</f>
        <v/>
      </c>
      <c r="CU3" t="str">
        <f>""</f>
        <v/>
      </c>
      <c r="CV3" t="str">
        <f>""</f>
        <v/>
      </c>
      <c r="CW3" t="str">
        <f>""</f>
        <v/>
      </c>
      <c r="CX3" t="str">
        <f>""</f>
        <v/>
      </c>
      <c r="CY3" t="str">
        <f>""</f>
        <v/>
      </c>
      <c r="CZ3" t="str">
        <f>""</f>
        <v/>
      </c>
      <c r="DA3" t="str">
        <f>""</f>
        <v/>
      </c>
      <c r="DB3" t="str">
        <f>""</f>
        <v/>
      </c>
      <c r="DC3" t="str">
        <f>""</f>
        <v/>
      </c>
      <c r="DD3" t="str">
        <f>""</f>
        <v/>
      </c>
      <c r="DE3" t="str">
        <f>""</f>
        <v/>
      </c>
      <c r="DF3" t="str">
        <f>""</f>
        <v/>
      </c>
      <c r="DG3" t="str">
        <f>""</f>
        <v/>
      </c>
      <c r="DH3" t="str">
        <f>""</f>
        <v/>
      </c>
      <c r="DI3" t="str">
        <f>""</f>
        <v/>
      </c>
      <c r="DJ3" t="str">
        <f>""</f>
        <v/>
      </c>
      <c r="DK3" t="str">
        <f>""</f>
        <v/>
      </c>
      <c r="DL3" t="str">
        <f>""</f>
        <v/>
      </c>
      <c r="DM3" t="str">
        <f>""</f>
        <v/>
      </c>
      <c r="DN3" t="str">
        <f>""</f>
        <v/>
      </c>
      <c r="DO3" t="str">
        <f>""</f>
        <v/>
      </c>
      <c r="DP3" t="str">
        <f>""</f>
        <v/>
      </c>
      <c r="DQ3" t="str">
        <f>""</f>
        <v/>
      </c>
      <c r="DR3" t="str">
        <f>""</f>
        <v/>
      </c>
      <c r="DS3" t="str">
        <f>""</f>
        <v/>
      </c>
      <c r="DT3" t="str">
        <f>""</f>
        <v/>
      </c>
      <c r="DU3" t="str">
        <f>""</f>
        <v/>
      </c>
    </row>
    <row r="4" spans="1:125">
      <c r="A4" t="str">
        <f>"    零售业房地产投资信托平均入住率"</f>
        <v xml:space="preserve">    零售业房地产投资信托平均入住率</v>
      </c>
      <c r="B4" t="str">
        <f>"RECFAVRT Index"</f>
        <v>RECFAVRT Index</v>
      </c>
      <c r="C4" t="str">
        <f>"PR005"</f>
        <v>PR005</v>
      </c>
      <c r="D4" t="str">
        <f>"PX_LAST"</f>
        <v>PX_LAST</v>
      </c>
      <c r="E4" t="str">
        <f>"动态"</f>
        <v>动态</v>
      </c>
      <c r="F4">
        <f ca="1">IF(AND(ISNUMBER($F$40),$B$38=1),$F$40,HLOOKUP(INDIRECT(ADDRESS(2,COLUMN())),OFFSET($BN$2,0,0,ROW()-1,60),ROW()-1,FALSE))</f>
        <v>95.821447309999996</v>
      </c>
      <c r="G4">
        <f ca="1">IF(AND(ISNUMBER($G$40),$B$38=1),$G$40,HLOOKUP(INDIRECT(ADDRESS(2,COLUMN())),OFFSET($BN$2,0,0,ROW()-1,60),ROW()-1,FALSE))</f>
        <v>95.426039799999998</v>
      </c>
      <c r="H4">
        <f ca="1">IF(AND(ISNUMBER($H$40),$B$38=1),$H$40,HLOOKUP(INDIRECT(ADDRESS(2,COLUMN())),OFFSET($BN$2,0,0,ROW()-1,60),ROW()-1,FALSE))</f>
        <v>95.178818579999998</v>
      </c>
      <c r="I4">
        <f ca="1">IF(AND(ISNUMBER($I$40),$B$38=1),$I$40,HLOOKUP(INDIRECT(ADDRESS(2,COLUMN())),OFFSET($BN$2,0,0,ROW()-1,60),ROW()-1,FALSE))</f>
        <v>95.383843519999999</v>
      </c>
      <c r="J4">
        <f ca="1">IF(AND(ISNUMBER($J$40),$B$38=1),$J$40,HLOOKUP(INDIRECT(ADDRESS(2,COLUMN())),OFFSET($BN$2,0,0,ROW()-1,60),ROW()-1,FALSE))</f>
        <v>96.122713160000004</v>
      </c>
      <c r="K4">
        <f ca="1">IF(AND(ISNUMBER($K$40),$B$38=1),$K$40,HLOOKUP(INDIRECT(ADDRESS(2,COLUMN())),OFFSET($BN$2,0,0,ROW()-1,60),ROW()-1,FALSE))</f>
        <v>95.874294340000006</v>
      </c>
      <c r="L4">
        <f ca="1">IF(AND(ISNUMBER($L$40),$B$38=1),$L$40,HLOOKUP(INDIRECT(ADDRESS(2,COLUMN())),OFFSET($BN$2,0,0,ROW()-1,60),ROW()-1,FALSE))</f>
        <v>95.814612740000001</v>
      </c>
      <c r="M4">
        <f ca="1">IF(AND(ISNUMBER($M$40),$B$38=1),$M$40,HLOOKUP(INDIRECT(ADDRESS(2,COLUMN())),OFFSET($BN$2,0,0,ROW()-1,60),ROW()-1,FALSE))</f>
        <v>95.667681810000005</v>
      </c>
      <c r="N4">
        <f ca="1">IF(AND(ISNUMBER($N$40),$B$38=1),$N$40,HLOOKUP(INDIRECT(ADDRESS(2,COLUMN())),OFFSET($BN$2,0,0,ROW()-1,60),ROW()-1,FALSE))</f>
        <v>95.965453440000005</v>
      </c>
      <c r="O4">
        <f ca="1">IF(AND(ISNUMBER($O$40),$B$38=1),$O$40,HLOOKUP(INDIRECT(ADDRESS(2,COLUMN())),OFFSET($BN$2,0,0,ROW()-1,60),ROW()-1,FALSE))</f>
        <v>95.735079279999994</v>
      </c>
      <c r="P4">
        <f ca="1">IF(AND(ISNUMBER($P$40),$B$38=1),$P$40,HLOOKUP(INDIRECT(ADDRESS(2,COLUMN())),OFFSET($BN$2,0,0,ROW()-1,60),ROW()-1,FALSE))</f>
        <v>95.301366060000007</v>
      </c>
      <c r="Q4">
        <f ca="1">IF(AND(ISNUMBER($Q$40),$B$38=1),$Q$40,HLOOKUP(INDIRECT(ADDRESS(2,COLUMN())),OFFSET($BN$2,0,0,ROW()-1,60),ROW()-1,FALSE))</f>
        <v>95.526291689999994</v>
      </c>
      <c r="R4">
        <f ca="1">IF(AND(ISNUMBER($R$40),$B$38=1),$R$40,HLOOKUP(INDIRECT(ADDRESS(2,COLUMN())),OFFSET($BN$2,0,0,ROW()-1,60),ROW()-1,FALSE))</f>
        <v>96.339548519999994</v>
      </c>
      <c r="S4">
        <f ca="1">IF(AND(ISNUMBER($S$40),$B$38=1),$S$40,HLOOKUP(INDIRECT(ADDRESS(2,COLUMN())),OFFSET($BN$2,0,0,ROW()-1,60),ROW()-1,FALSE))</f>
        <v>95.903189260000005</v>
      </c>
      <c r="T4">
        <f ca="1">IF(AND(ISNUMBER($T$40),$B$38=1),$T$40,HLOOKUP(INDIRECT(ADDRESS(2,COLUMN())),OFFSET($BN$2,0,0,ROW()-1,60),ROW()-1,FALSE))</f>
        <v>95.66214076</v>
      </c>
      <c r="U4">
        <f ca="1">IF(AND(ISNUMBER($U$40),$B$38=1),$U$40,HLOOKUP(INDIRECT(ADDRESS(2,COLUMN())),OFFSET($BN$2,0,0,ROW()-1,60),ROW()-1,FALSE))</f>
        <v>95.54289378</v>
      </c>
      <c r="V4">
        <f ca="1">IF(AND(ISNUMBER($V$40),$B$38=1),$V$40,HLOOKUP(INDIRECT(ADDRESS(2,COLUMN())),OFFSET($BN$2,0,0,ROW()-1,60),ROW()-1,FALSE))</f>
        <v>95.556497329999999</v>
      </c>
      <c r="W4">
        <f ca="1">IF(AND(ISNUMBER($W$40),$B$38=1),$W$40,HLOOKUP(INDIRECT(ADDRESS(2,COLUMN())),OFFSET($BN$2,0,0,ROW()-1,60),ROW()-1,FALSE))</f>
        <v>95.663597929999995</v>
      </c>
      <c r="X4">
        <f ca="1">IF(AND(ISNUMBER($X$40),$B$38=1),$X$40,HLOOKUP(INDIRECT(ADDRESS(2,COLUMN())),OFFSET($BN$2,0,0,ROW()-1,60),ROW()-1,FALSE))</f>
        <v>95.234216750000002</v>
      </c>
      <c r="Y4">
        <f ca="1">IF(AND(ISNUMBER($Y$40),$B$38=1),$Y$40,HLOOKUP(INDIRECT(ADDRESS(2,COLUMN())),OFFSET($BN$2,0,0,ROW()-1,60),ROW()-1,FALSE))</f>
        <v>94.506528360000004</v>
      </c>
      <c r="Z4">
        <f ca="1">IF(AND(ISNUMBER($Z$40),$B$38=1),$Z$40,HLOOKUP(INDIRECT(ADDRESS(2,COLUMN())),OFFSET($BN$2,0,0,ROW()-1,60),ROW()-1,FALSE))</f>
        <v>94.772415780000003</v>
      </c>
      <c r="AA4">
        <f ca="1">IF(AND(ISNUMBER($AA$40),$B$38=1),$AA$40,HLOOKUP(INDIRECT(ADDRESS(2,COLUMN())),OFFSET($BN$2,0,0,ROW()-1,60),ROW()-1,FALSE))</f>
        <v>94.302747120000006</v>
      </c>
      <c r="AB4">
        <f ca="1">IF(AND(ISNUMBER($AB$40),$B$38=1),$AB$40,HLOOKUP(INDIRECT(ADDRESS(2,COLUMN())),OFFSET($BN$2,0,0,ROW()-1,60),ROW()-1,FALSE))</f>
        <v>93.305031049999997</v>
      </c>
      <c r="AC4">
        <f ca="1">IF(AND(ISNUMBER($AC$40),$B$38=1),$AC$40,HLOOKUP(INDIRECT(ADDRESS(2,COLUMN())),OFFSET($BN$2,0,0,ROW()-1,60),ROW()-1,FALSE))</f>
        <v>92.962049199999996</v>
      </c>
      <c r="AD4">
        <f ca="1">IF(AND(ISNUMBER($AD$40),$B$38=1),$AD$40,HLOOKUP(INDIRECT(ADDRESS(2,COLUMN())),OFFSET($BN$2,0,0,ROW()-1,60),ROW()-1,FALSE))</f>
        <v>93.664397070000007</v>
      </c>
      <c r="AE4">
        <f ca="1">IF(AND(ISNUMBER($AE$40),$B$38=1),$AE$40,HLOOKUP(INDIRECT(ADDRESS(2,COLUMN())),OFFSET($BN$2,0,0,ROW()-1,60),ROW()-1,FALSE))</f>
        <v>92.572086290000001</v>
      </c>
      <c r="AF4">
        <f ca="1">IF(AND(ISNUMBER($AF$40),$B$38=1),$AF$40,HLOOKUP(INDIRECT(ADDRESS(2,COLUMN())),OFFSET($BN$2,0,0,ROW()-1,60),ROW()-1,FALSE))</f>
        <v>92.227880929999998</v>
      </c>
      <c r="AG4">
        <f ca="1">IF(AND(ISNUMBER($AG$40),$B$38=1),$AG$40,HLOOKUP(INDIRECT(ADDRESS(2,COLUMN())),OFFSET($BN$2,0,0,ROW()-1,60),ROW()-1,FALSE))</f>
        <v>92.189961940000003</v>
      </c>
      <c r="AH4">
        <f ca="1">IF(AND(ISNUMBER($AH$40),$B$38=1),$AH$40,HLOOKUP(INDIRECT(ADDRESS(2,COLUMN())),OFFSET($BN$2,0,0,ROW()-1,60),ROW()-1,FALSE))</f>
        <v>92.831580410000001</v>
      </c>
      <c r="AI4">
        <f ca="1">IF(AND(ISNUMBER($AI$40),$B$38=1),$AI$40,HLOOKUP(INDIRECT(ADDRESS(2,COLUMN())),OFFSET($BN$2,0,0,ROW()-1,60),ROW()-1,FALSE))</f>
        <v>92.265501099999994</v>
      </c>
      <c r="AJ4">
        <f ca="1">IF(AND(ISNUMBER($AJ$40),$B$38=1),$AJ$40,HLOOKUP(INDIRECT(ADDRESS(2,COLUMN())),OFFSET($BN$2,0,0,ROW()-1,60),ROW()-1,FALSE))</f>
        <v>91.650697219999998</v>
      </c>
      <c r="AK4">
        <f ca="1">IF(AND(ISNUMBER($AK$40),$B$38=1),$AK$40,HLOOKUP(INDIRECT(ADDRESS(2,COLUMN())),OFFSET($BN$2,0,0,ROW()-1,60),ROW()-1,FALSE))</f>
        <v>91.460100359999998</v>
      </c>
      <c r="AL4">
        <f ca="1">IF(AND(ISNUMBER($AL$40),$B$38=1),$AL$40,HLOOKUP(INDIRECT(ADDRESS(2,COLUMN())),OFFSET($BN$2,0,0,ROW()-1,60),ROW()-1,FALSE))</f>
        <v>91.817056350000001</v>
      </c>
      <c r="AM4">
        <f ca="1">IF(AND(ISNUMBER($AM$40),$B$38=1),$AM$40,HLOOKUP(INDIRECT(ADDRESS(2,COLUMN())),OFFSET($BN$2,0,0,ROW()-1,60),ROW()-1,FALSE))</f>
        <v>91.595716429999996</v>
      </c>
      <c r="AN4">
        <f ca="1">IF(AND(ISNUMBER($AN$40),$B$38=1),$AN$40,HLOOKUP(INDIRECT(ADDRESS(2,COLUMN())),OFFSET($BN$2,0,0,ROW()-1,60),ROW()-1,FALSE))</f>
        <v>91.293292579999999</v>
      </c>
      <c r="AO4">
        <f ca="1">IF(AND(ISNUMBER($AO$40),$B$38=1),$AO$40,HLOOKUP(INDIRECT(ADDRESS(2,COLUMN())),OFFSET($BN$2,0,0,ROW()-1,60),ROW()-1,FALSE))</f>
        <v>91.414189870000001</v>
      </c>
      <c r="AP4">
        <f ca="1">IF(AND(ISNUMBER($AP$40),$B$38=1),$AP$40,HLOOKUP(INDIRECT(ADDRESS(2,COLUMN())),OFFSET($BN$2,0,0,ROW()-1,60),ROW()-1,FALSE))</f>
        <v>92.99626524</v>
      </c>
      <c r="AQ4">
        <f ca="1">IF(AND(ISNUMBER($AQ$40),$B$38=1),$AQ$40,HLOOKUP(INDIRECT(ADDRESS(2,COLUMN())),OFFSET($BN$2,0,0,ROW()-1,60),ROW()-1,FALSE))</f>
        <v>93.328640980000003</v>
      </c>
      <c r="AR4">
        <f ca="1">IF(AND(ISNUMBER($AR$40),$B$38=1),$AR$40,HLOOKUP(INDIRECT(ADDRESS(2,COLUMN())),OFFSET($BN$2,0,0,ROW()-1,60),ROW()-1,FALSE))</f>
        <v>93.553881649999994</v>
      </c>
      <c r="AS4">
        <f ca="1">IF(AND(ISNUMBER($AS$40),$B$38=1),$AS$40,HLOOKUP(INDIRECT(ADDRESS(2,COLUMN())),OFFSET($BN$2,0,0,ROW()-1,60),ROW()-1,FALSE))</f>
        <v>93.440123319999998</v>
      </c>
      <c r="AT4">
        <f ca="1">IF(AND(ISNUMBER($AT$40),$B$38=1),$AT$40,HLOOKUP(INDIRECT(ADDRESS(2,COLUMN())),OFFSET($BN$2,0,0,ROW()-1,60),ROW()-1,FALSE))</f>
        <v>94.609185190000005</v>
      </c>
      <c r="AU4">
        <f ca="1">IF(AND(ISNUMBER($AU$40),$B$38=1),$AU$40,HLOOKUP(INDIRECT(ADDRESS(2,COLUMN())),OFFSET($BN$2,0,0,ROW()-1,60),ROW()-1,FALSE))</f>
        <v>94.0372792</v>
      </c>
      <c r="AV4">
        <f ca="1">IF(AND(ISNUMBER($AV$40),$B$38=1),$AV$40,HLOOKUP(INDIRECT(ADDRESS(2,COLUMN())),OFFSET($BN$2,0,0,ROW()-1,60),ROW()-1,FALSE))</f>
        <v>93.999389230000006</v>
      </c>
      <c r="AW4">
        <f ca="1">IF(AND(ISNUMBER($AW$40),$B$38=1),$AW$40,HLOOKUP(INDIRECT(ADDRESS(2,COLUMN())),OFFSET($BN$2,0,0,ROW()-1,60),ROW()-1,FALSE))</f>
        <v>93.855647219999994</v>
      </c>
      <c r="AX4">
        <f ca="1">IF(AND(ISNUMBER($AX$40),$B$38=1),$AX$40,HLOOKUP(INDIRECT(ADDRESS(2,COLUMN())),OFFSET($BN$2,0,0,ROW()-1,60),ROW()-1,FALSE))</f>
        <v>94.555984449999997</v>
      </c>
      <c r="AY4">
        <f ca="1">IF(AND(ISNUMBER($AY$40),$B$38=1),$AY$40,HLOOKUP(INDIRECT(ADDRESS(2,COLUMN())),OFFSET($BN$2,0,0,ROW()-1,60),ROW()-1,FALSE))</f>
        <v>93.657158240000001</v>
      </c>
      <c r="AZ4">
        <f ca="1">IF(AND(ISNUMBER($AZ$40),$B$38=1),$AZ$40,HLOOKUP(INDIRECT(ADDRESS(2,COLUMN())),OFFSET($BN$2,0,0,ROW()-1,60),ROW()-1,FALSE))</f>
        <v>93.000856959999993</v>
      </c>
      <c r="BA4">
        <f ca="1">IF(AND(ISNUMBER($BA$40),$B$38=1),$BA$40,HLOOKUP(INDIRECT(ADDRESS(2,COLUMN())),OFFSET($BN$2,0,0,ROW()-1,60),ROW()-1,FALSE))</f>
        <v>93.055642090000006</v>
      </c>
      <c r="BB4">
        <f ca="1">IF(AND(ISNUMBER($BB$40),$B$38=1),$BB$40,HLOOKUP(INDIRECT(ADDRESS(2,COLUMN())),OFFSET($BN$2,0,0,ROW()-1,60),ROW()-1,FALSE))</f>
        <v>94.495120099999994</v>
      </c>
      <c r="BC4">
        <f ca="1">IF(AND(ISNUMBER($BC$40),$B$38=1),$BC$40,HLOOKUP(INDIRECT(ADDRESS(2,COLUMN())),OFFSET($BN$2,0,0,ROW()-1,60),ROW()-1,FALSE))</f>
        <v>93.43043772</v>
      </c>
      <c r="BD4">
        <f ca="1">IF(AND(ISNUMBER($BD$40),$B$38=1),$BD$40,HLOOKUP(INDIRECT(ADDRESS(2,COLUMN())),OFFSET($BN$2,0,0,ROW()-1,60),ROW()-1,FALSE))</f>
        <v>92.650271520000004</v>
      </c>
      <c r="BE4">
        <f ca="1">IF(AND(ISNUMBER($BE$40),$B$38=1),$BE$40,HLOOKUP(INDIRECT(ADDRESS(2,COLUMN())),OFFSET($BN$2,0,0,ROW()-1,60),ROW()-1,FALSE))</f>
        <v>92.257705680000001</v>
      </c>
      <c r="BF4">
        <f ca="1">IF(AND(ISNUMBER($BF$40),$B$38=1),$BF$40,HLOOKUP(INDIRECT(ADDRESS(2,COLUMN())),OFFSET($BN$2,0,0,ROW()-1,60),ROW()-1,FALSE))</f>
        <v>93.792983199999995</v>
      </c>
      <c r="BG4">
        <f ca="1">IF(AND(ISNUMBER($BG$40),$B$38=1),$BG$40,HLOOKUP(INDIRECT(ADDRESS(2,COLUMN())),OFFSET($BN$2,0,0,ROW()-1,60),ROW()-1,FALSE))</f>
        <v>92.675318369999999</v>
      </c>
      <c r="BH4">
        <f ca="1">IF(AND(ISNUMBER($BH$40),$B$38=1),$BH$40,HLOOKUP(INDIRECT(ADDRESS(2,COLUMN())),OFFSET($BN$2,0,0,ROW()-1,60),ROW()-1,FALSE))</f>
        <v>92.301376419999997</v>
      </c>
      <c r="BI4">
        <f ca="1">IF(AND(ISNUMBER($BI$40),$B$38=1),$BI$40,HLOOKUP(INDIRECT(ADDRESS(2,COLUMN())),OFFSET($BN$2,0,0,ROW()-1,60),ROW()-1,FALSE))</f>
        <v>91.879332509999998</v>
      </c>
      <c r="BJ4">
        <f ca="1">IF(AND(ISNUMBER($BJ$40),$B$38=1),$BJ$40,HLOOKUP(INDIRECT(ADDRESS(2,COLUMN())),OFFSET($BN$2,0,0,ROW()-1,60),ROW()-1,FALSE))</f>
        <v>93.369280110000005</v>
      </c>
      <c r="BK4">
        <f ca="1">IF(AND(ISNUMBER($BK$40),$B$38=1),$BK$40,HLOOKUP(INDIRECT(ADDRESS(2,COLUMN())),OFFSET($BN$2,0,0,ROW()-1,60),ROW()-1,FALSE))</f>
        <v>92.131637339999997</v>
      </c>
      <c r="BL4">
        <f ca="1">IF(AND(ISNUMBER($BL$40),$B$38=1),$BL$40,HLOOKUP(INDIRECT(ADDRESS(2,COLUMN())),OFFSET($BN$2,0,0,ROW()-1,60),ROW()-1,FALSE))</f>
        <v>92.066426120000003</v>
      </c>
      <c r="BM4">
        <f ca="1">IF(AND(ISNUMBER($BM$40),$B$38=1),$BM$40,HLOOKUP(INDIRECT(ADDRESS(2,COLUMN())),OFFSET($BN$2,0,0,ROW()-1,60),ROW()-1,FALSE))</f>
        <v>92.096786960000003</v>
      </c>
      <c r="BN4">
        <f>95.82144731</f>
        <v>95.821447309999996</v>
      </c>
      <c r="BO4">
        <f>95.4260398</f>
        <v>95.426039799999998</v>
      </c>
      <c r="BP4">
        <f>95.17881858</f>
        <v>95.178818579999998</v>
      </c>
      <c r="BQ4">
        <f>95.38384352</f>
        <v>95.383843519999999</v>
      </c>
      <c r="BR4">
        <f>96.12271316</f>
        <v>96.122713160000004</v>
      </c>
      <c r="BS4">
        <f>95.87429434</f>
        <v>95.874294340000006</v>
      </c>
      <c r="BT4">
        <f>95.81461274</f>
        <v>95.814612740000001</v>
      </c>
      <c r="BU4">
        <f>95.66768181</f>
        <v>95.667681810000005</v>
      </c>
      <c r="BV4">
        <f>95.96545344</f>
        <v>95.965453440000005</v>
      </c>
      <c r="BW4">
        <f>95.73507928</f>
        <v>95.735079279999994</v>
      </c>
      <c r="BX4">
        <f>95.30136606</f>
        <v>95.301366060000007</v>
      </c>
      <c r="BY4">
        <f>95.52629169</f>
        <v>95.526291689999994</v>
      </c>
      <c r="BZ4">
        <f>96.33954852</f>
        <v>96.339548519999994</v>
      </c>
      <c r="CA4">
        <f>95.90318926</f>
        <v>95.903189260000005</v>
      </c>
      <c r="CB4">
        <f>95.66214076</f>
        <v>95.66214076</v>
      </c>
      <c r="CC4">
        <f>95.54289378</f>
        <v>95.54289378</v>
      </c>
      <c r="CD4">
        <f>95.55649733</f>
        <v>95.556497329999999</v>
      </c>
      <c r="CE4">
        <f>95.66359793</f>
        <v>95.663597929999995</v>
      </c>
      <c r="CF4">
        <f>95.23421675</f>
        <v>95.234216750000002</v>
      </c>
      <c r="CG4">
        <f>94.50652836</f>
        <v>94.506528360000004</v>
      </c>
      <c r="CH4">
        <f>94.77241578</f>
        <v>94.772415780000003</v>
      </c>
      <c r="CI4">
        <f>94.30274712</f>
        <v>94.302747120000006</v>
      </c>
      <c r="CJ4">
        <f>93.30503105</f>
        <v>93.305031049999997</v>
      </c>
      <c r="CK4">
        <f>92.9620492</f>
        <v>92.962049199999996</v>
      </c>
      <c r="CL4">
        <f>93.66439707</f>
        <v>93.664397070000007</v>
      </c>
      <c r="CM4">
        <f>92.57208629</f>
        <v>92.572086290000001</v>
      </c>
      <c r="CN4">
        <f>92.22788093</f>
        <v>92.227880929999998</v>
      </c>
      <c r="CO4">
        <f>92.18996194</f>
        <v>92.189961940000003</v>
      </c>
      <c r="CP4">
        <f>92.83158041</f>
        <v>92.831580410000001</v>
      </c>
      <c r="CQ4">
        <f>92.2655011</f>
        <v>92.265501099999994</v>
      </c>
      <c r="CR4">
        <f>91.65069722</f>
        <v>91.650697219999998</v>
      </c>
      <c r="CS4">
        <f>91.46010036</f>
        <v>91.460100359999998</v>
      </c>
      <c r="CT4">
        <f>91.81705635</f>
        <v>91.817056350000001</v>
      </c>
      <c r="CU4">
        <f>91.59571643</f>
        <v>91.595716429999996</v>
      </c>
      <c r="CV4">
        <f>91.29329258</f>
        <v>91.293292579999999</v>
      </c>
      <c r="CW4">
        <f>91.41418987</f>
        <v>91.414189870000001</v>
      </c>
      <c r="CX4">
        <f>92.99626524</f>
        <v>92.99626524</v>
      </c>
      <c r="CY4">
        <f>93.32864098</f>
        <v>93.328640980000003</v>
      </c>
      <c r="CZ4">
        <f>93.55388165</f>
        <v>93.553881649999994</v>
      </c>
      <c r="DA4">
        <f>93.44012332</f>
        <v>93.440123319999998</v>
      </c>
      <c r="DB4">
        <f>94.60918519</f>
        <v>94.609185190000005</v>
      </c>
      <c r="DC4">
        <f>94.0372792</f>
        <v>94.0372792</v>
      </c>
      <c r="DD4">
        <f>93.99938923</f>
        <v>93.999389230000006</v>
      </c>
      <c r="DE4">
        <f>93.85564722</f>
        <v>93.855647219999994</v>
      </c>
      <c r="DF4">
        <f>94.55598445</f>
        <v>94.555984449999997</v>
      </c>
      <c r="DG4">
        <f>93.65715824</f>
        <v>93.657158240000001</v>
      </c>
      <c r="DH4">
        <f>93.00085696</f>
        <v>93.000856959999993</v>
      </c>
      <c r="DI4">
        <f>93.05564209</f>
        <v>93.055642090000006</v>
      </c>
      <c r="DJ4">
        <f>94.4951201</f>
        <v>94.495120099999994</v>
      </c>
      <c r="DK4">
        <f>93.43043772</f>
        <v>93.43043772</v>
      </c>
      <c r="DL4">
        <f>92.65027152</f>
        <v>92.650271520000004</v>
      </c>
      <c r="DM4">
        <f>92.25770568</f>
        <v>92.257705680000001</v>
      </c>
      <c r="DN4">
        <f>93.7929832</f>
        <v>93.792983199999995</v>
      </c>
      <c r="DO4">
        <f>92.67531837</f>
        <v>92.675318369999999</v>
      </c>
      <c r="DP4">
        <f>92.30137642</f>
        <v>92.301376419999997</v>
      </c>
      <c r="DQ4">
        <f>91.87933251</f>
        <v>91.879332509999998</v>
      </c>
      <c r="DR4">
        <f>93.36928011</f>
        <v>93.369280110000005</v>
      </c>
      <c r="DS4">
        <f>92.13163734</f>
        <v>92.131637339999997</v>
      </c>
      <c r="DT4">
        <f>92.06642612</f>
        <v>92.066426120000003</v>
      </c>
      <c r="DU4">
        <f>92.09678696</f>
        <v>92.096786960000003</v>
      </c>
    </row>
    <row r="5" spans="1:125">
      <c r="A5" t="str">
        <f>"    零售业房地产投资信托同店净营业利润增长"</f>
        <v xml:space="preserve">    零售业房地产投资信托同店净营业利润增长</v>
      </c>
      <c r="B5" t="str">
        <f>"RECFSSRT Index"</f>
        <v>RECFSSRT Index</v>
      </c>
      <c r="C5" t="str">
        <f>"PR005"</f>
        <v>PR005</v>
      </c>
      <c r="D5" t="str">
        <f>"PX_LAST"</f>
        <v>PX_LAST</v>
      </c>
      <c r="E5" t="str">
        <f>"动态"</f>
        <v>动态</v>
      </c>
      <c r="F5">
        <f ca="1">IF(AND(ISNUMBER($F$41),$B$38=1),$F$41,HLOOKUP(INDIRECT(ADDRESS(2,COLUMN())),OFFSET($BN$2,0,0,ROW()-1,60),ROW()-1,FALSE))</f>
        <v>1.4449237239999999</v>
      </c>
      <c r="G5">
        <f ca="1">IF(AND(ISNUMBER($G$41),$B$38=1),$G$41,HLOOKUP(INDIRECT(ADDRESS(2,COLUMN())),OFFSET($BN$2,0,0,ROW()-1,60),ROW()-1,FALSE))</f>
        <v>1.752543695</v>
      </c>
      <c r="H5">
        <f ca="1">IF(AND(ISNUMBER($H$41),$B$38=1),$H$41,HLOOKUP(INDIRECT(ADDRESS(2,COLUMN())),OFFSET($BN$2,0,0,ROW()-1,60),ROW()-1,FALSE))</f>
        <v>2.30663141</v>
      </c>
      <c r="I5">
        <f ca="1">IF(AND(ISNUMBER($I$41),$B$38=1),$I$41,HLOOKUP(INDIRECT(ADDRESS(2,COLUMN())),OFFSET($BN$2,0,0,ROW()-1,60),ROW()-1,FALSE))</f>
        <v>2.5844137030000001</v>
      </c>
      <c r="J5">
        <f ca="1">IF(AND(ISNUMBER($J$41),$B$38=1),$J$41,HLOOKUP(INDIRECT(ADDRESS(2,COLUMN())),OFFSET($BN$2,0,0,ROW()-1,60),ROW()-1,FALSE))</f>
        <v>3.0597791230000002</v>
      </c>
      <c r="K5">
        <f ca="1">IF(AND(ISNUMBER($K$41),$B$38=1),$K$41,HLOOKUP(INDIRECT(ADDRESS(2,COLUMN())),OFFSET($BN$2,0,0,ROW()-1,60),ROW()-1,FALSE))</f>
        <v>2.7756256029999999</v>
      </c>
      <c r="L5">
        <f ca="1">IF(AND(ISNUMBER($L$41),$B$38=1),$L$41,HLOOKUP(INDIRECT(ADDRESS(2,COLUMN())),OFFSET($BN$2,0,0,ROW()-1,60),ROW()-1,FALSE))</f>
        <v>3.6629825469999999</v>
      </c>
      <c r="M5">
        <f ca="1">IF(AND(ISNUMBER($M$41),$B$38=1),$M$41,HLOOKUP(INDIRECT(ADDRESS(2,COLUMN())),OFFSET($BN$2,0,0,ROW()-1,60),ROW()-1,FALSE))</f>
        <v>4.319163219</v>
      </c>
      <c r="N5">
        <f ca="1">IF(AND(ISNUMBER($N$41),$B$38=1),$N$41,HLOOKUP(INDIRECT(ADDRESS(2,COLUMN())),OFFSET($BN$2,0,0,ROW()-1,60),ROW()-1,FALSE))</f>
        <v>3.6255916199999998</v>
      </c>
      <c r="O5">
        <f ca="1">IF(AND(ISNUMBER($O$41),$B$38=1),$O$41,HLOOKUP(INDIRECT(ADDRESS(2,COLUMN())),OFFSET($BN$2,0,0,ROW()-1,60),ROW()-1,FALSE))</f>
        <v>3.780663375</v>
      </c>
      <c r="P5">
        <f ca="1">IF(AND(ISNUMBER($P$41),$B$38=1),$P$41,HLOOKUP(INDIRECT(ADDRESS(2,COLUMN())),OFFSET($BN$2,0,0,ROW()-1,60),ROW()-1,FALSE))</f>
        <v>3.2090535180000002</v>
      </c>
      <c r="Q5">
        <f ca="1">IF(AND(ISNUMBER($Q$41),$B$38=1),$Q$41,HLOOKUP(INDIRECT(ADDRESS(2,COLUMN())),OFFSET($BN$2,0,0,ROW()-1,60),ROW()-1,FALSE))</f>
        <v>3.3394780050000001</v>
      </c>
      <c r="R5">
        <f ca="1">IF(AND(ISNUMBER($R$41),$B$38=1),$R$41,HLOOKUP(INDIRECT(ADDRESS(2,COLUMN())),OFFSET($BN$2,0,0,ROW()-1,60),ROW()-1,FALSE))</f>
        <v>3.5194505650000001</v>
      </c>
      <c r="S5">
        <f ca="1">IF(AND(ISNUMBER($S$41),$B$38=1),$S$41,HLOOKUP(INDIRECT(ADDRESS(2,COLUMN())),OFFSET($BN$2,0,0,ROW()-1,60),ROW()-1,FALSE))</f>
        <v>4.3071235510000001</v>
      </c>
      <c r="T5">
        <f ca="1">IF(AND(ISNUMBER($T$41),$B$38=1),$T$41,HLOOKUP(INDIRECT(ADDRESS(2,COLUMN())),OFFSET($BN$2,0,0,ROW()-1,60),ROW()-1,FALSE))</f>
        <v>4.3644086619999998</v>
      </c>
      <c r="U5">
        <f ca="1">IF(AND(ISNUMBER($U$41),$B$38=1),$U$41,HLOOKUP(INDIRECT(ADDRESS(2,COLUMN())),OFFSET($BN$2,0,0,ROW()-1,60),ROW()-1,FALSE))</f>
        <v>3.319382251</v>
      </c>
      <c r="V5">
        <f ca="1">IF(AND(ISNUMBER($V$41),$B$38=1),$V$41,HLOOKUP(INDIRECT(ADDRESS(2,COLUMN())),OFFSET($BN$2,0,0,ROW()-1,60),ROW()-1,FALSE))</f>
        <v>4.3769789650000002</v>
      </c>
      <c r="W5">
        <f ca="1">IF(AND(ISNUMBER($W$41),$B$38=1),$W$41,HLOOKUP(INDIRECT(ADDRESS(2,COLUMN())),OFFSET($BN$2,0,0,ROW()-1,60),ROW()-1,FALSE))</f>
        <v>4.2337802629999999</v>
      </c>
      <c r="X5">
        <f ca="1">IF(AND(ISNUMBER($X$41),$B$38=1),$X$41,HLOOKUP(INDIRECT(ADDRESS(2,COLUMN())),OFFSET($BN$2,0,0,ROW()-1,60),ROW()-1,FALSE))</f>
        <v>4.7639184849999996</v>
      </c>
      <c r="Y5">
        <f ca="1">IF(AND(ISNUMBER($Y$41),$B$38=1),$Y$41,HLOOKUP(INDIRECT(ADDRESS(2,COLUMN())),OFFSET($BN$2,0,0,ROW()-1,60),ROW()-1,FALSE))</f>
        <v>4.1223311699999998</v>
      </c>
      <c r="Z5">
        <f ca="1">IF(AND(ISNUMBER($Z$41),$B$38=1),$Z$41,HLOOKUP(INDIRECT(ADDRESS(2,COLUMN())),OFFSET($BN$2,0,0,ROW()-1,60),ROW()-1,FALSE))</f>
        <v>3.4772871429999999</v>
      </c>
      <c r="AA5">
        <f ca="1">IF(AND(ISNUMBER($AA$41),$B$38=1),$AA$41,HLOOKUP(INDIRECT(ADDRESS(2,COLUMN())),OFFSET($BN$2,0,0,ROW()-1,60),ROW()-1,FALSE))</f>
        <v>3.4854259129999998</v>
      </c>
      <c r="AB5">
        <f ca="1">IF(AND(ISNUMBER($AB$41),$B$38=1),$AB$41,HLOOKUP(INDIRECT(ADDRESS(2,COLUMN())),OFFSET($BN$2,0,0,ROW()-1,60),ROW()-1,FALSE))</f>
        <v>4.1657154170000004</v>
      </c>
      <c r="AC5">
        <f ca="1">IF(AND(ISNUMBER($AC$41),$B$38=1),$AC$41,HLOOKUP(INDIRECT(ADDRESS(2,COLUMN())),OFFSET($BN$2,0,0,ROW()-1,60),ROW()-1,FALSE))</f>
        <v>4.2113566579999997</v>
      </c>
      <c r="AD5">
        <f ca="1">IF(AND(ISNUMBER($AD$41),$B$38=1),$AD$41,HLOOKUP(INDIRECT(ADDRESS(2,COLUMN())),OFFSET($BN$2,0,0,ROW()-1,60),ROW()-1,FALSE))</f>
        <v>2.3795707570000002</v>
      </c>
      <c r="AE5">
        <f ca="1">IF(AND(ISNUMBER($AE$41),$B$38=1),$AE$41,HLOOKUP(INDIRECT(ADDRESS(2,COLUMN())),OFFSET($BN$2,0,0,ROW()-1,60),ROW()-1,FALSE))</f>
        <v>3.4137804570000001</v>
      </c>
      <c r="AF5">
        <f ca="1">IF(AND(ISNUMBER($AF$41),$B$38=1),$AF$41,HLOOKUP(INDIRECT(ADDRESS(2,COLUMN())),OFFSET($BN$2,0,0,ROW()-1,60),ROW()-1,FALSE))</f>
        <v>2.6023762210000001</v>
      </c>
      <c r="AG5">
        <f ca="1">IF(AND(ISNUMBER($AG$41),$B$38=1),$AG$41,HLOOKUP(INDIRECT(ADDRESS(2,COLUMN())),OFFSET($BN$2,0,0,ROW()-1,60),ROW()-1,FALSE))</f>
        <v>1.589813575</v>
      </c>
      <c r="AH5">
        <f ca="1">IF(AND(ISNUMBER($AH$41),$B$38=1),$AH$41,HLOOKUP(INDIRECT(ADDRESS(2,COLUMN())),OFFSET($BN$2,0,0,ROW()-1,60),ROW()-1,FALSE))</f>
        <v>2.948481761</v>
      </c>
      <c r="AI5">
        <f ca="1">IF(AND(ISNUMBER($AI$41),$B$38=1),$AI$41,HLOOKUP(INDIRECT(ADDRESS(2,COLUMN())),OFFSET($BN$2,0,0,ROW()-1,60),ROW()-1,FALSE))</f>
        <v>1.216903262</v>
      </c>
      <c r="AJ5">
        <f ca="1">IF(AND(ISNUMBER($AJ$41),$B$38=1),$AJ$41,HLOOKUP(INDIRECT(ADDRESS(2,COLUMN())),OFFSET($BN$2,0,0,ROW()-1,60),ROW()-1,FALSE))</f>
        <v>0.55776144900000002</v>
      </c>
      <c r="AK5">
        <f ca="1">IF(AND(ISNUMBER($AK$41),$B$38=1),$AK$41,HLOOKUP(INDIRECT(ADDRESS(2,COLUMN())),OFFSET($BN$2,0,0,ROW()-1,60),ROW()-1,FALSE))</f>
        <v>0.21366911399999999</v>
      </c>
      <c r="AL5">
        <f ca="1">IF(AND(ISNUMBER($AL$41),$B$38=1),$AL$41,HLOOKUP(INDIRECT(ADDRESS(2,COLUMN())),OFFSET($BN$2,0,0,ROW()-1,60),ROW()-1,FALSE))</f>
        <v>-0.77741539599999998</v>
      </c>
      <c r="AM5">
        <f ca="1">IF(AND(ISNUMBER($AM$41),$B$38=1),$AM$41,HLOOKUP(INDIRECT(ADDRESS(2,COLUMN())),OFFSET($BN$2,0,0,ROW()-1,60),ROW()-1,FALSE))</f>
        <v>-1.576363534</v>
      </c>
      <c r="AN5">
        <f ca="1">IF(AND(ISNUMBER($AN$41),$B$38=1),$AN$41,HLOOKUP(INDIRECT(ADDRESS(2,COLUMN())),OFFSET($BN$2,0,0,ROW()-1,60),ROW()-1,FALSE))</f>
        <v>-1.6646313429999999</v>
      </c>
      <c r="AO5">
        <f ca="1">IF(AND(ISNUMBER($AO$41),$B$38=1),$AO$41,HLOOKUP(INDIRECT(ADDRESS(2,COLUMN())),OFFSET($BN$2,0,0,ROW()-1,60),ROW()-1,FALSE))</f>
        <v>0.445168444</v>
      </c>
      <c r="AP5">
        <f ca="1">IF(AND(ISNUMBER($AP$41),$B$38=1),$AP$41,HLOOKUP(INDIRECT(ADDRESS(2,COLUMN())),OFFSET($BN$2,0,0,ROW()-1,60),ROW()-1,FALSE))</f>
        <v>1.109212104</v>
      </c>
      <c r="AQ5">
        <f ca="1">IF(AND(ISNUMBER($AQ$41),$B$38=1),$AQ$41,HLOOKUP(INDIRECT(ADDRESS(2,COLUMN())),OFFSET($BN$2,0,0,ROW()-1,60),ROW()-1,FALSE))</f>
        <v>1.188942876</v>
      </c>
      <c r="AR5">
        <f ca="1">IF(AND(ISNUMBER($AR$41),$B$38=1),$AR$41,HLOOKUP(INDIRECT(ADDRESS(2,COLUMN())),OFFSET($BN$2,0,0,ROW()-1,60),ROW()-1,FALSE))</f>
        <v>3.21670816</v>
      </c>
      <c r="AS5">
        <f ca="1">IF(AND(ISNUMBER($AS$41),$B$38=1),$AS$41,HLOOKUP(INDIRECT(ADDRESS(2,COLUMN())),OFFSET($BN$2,0,0,ROW()-1,60),ROW()-1,FALSE))</f>
        <v>3.193604954</v>
      </c>
      <c r="AT5">
        <f ca="1">IF(AND(ISNUMBER($AT$41),$B$38=1),$AT$41,HLOOKUP(INDIRECT(ADDRESS(2,COLUMN())),OFFSET($BN$2,0,0,ROW()-1,60),ROW()-1,FALSE))</f>
        <v>4.7776030020000002</v>
      </c>
      <c r="AU5">
        <f ca="1">IF(AND(ISNUMBER($AU$41),$B$38=1),$AU$41,HLOOKUP(INDIRECT(ADDRESS(2,COLUMN())),OFFSET($BN$2,0,0,ROW()-1,60),ROW()-1,FALSE))</f>
        <v>4.8769748100000001</v>
      </c>
      <c r="AV5">
        <f ca="1">IF(AND(ISNUMBER($AV$41),$B$38=1),$AV$41,HLOOKUP(INDIRECT(ADDRESS(2,COLUMN())),OFFSET($BN$2,0,0,ROW()-1,60),ROW()-1,FALSE))</f>
        <v>3.2102229439999999</v>
      </c>
      <c r="AW5">
        <f ca="1">IF(AND(ISNUMBER($AW$41),$B$38=1),$AW$41,HLOOKUP(INDIRECT(ADDRESS(2,COLUMN())),OFFSET($BN$2,0,0,ROW()-1,60),ROW()-1,FALSE))</f>
        <v>1.7625836859999999</v>
      </c>
      <c r="AX5">
        <f ca="1">IF(AND(ISNUMBER($AX$41),$B$38=1),$AX$41,HLOOKUP(INDIRECT(ADDRESS(2,COLUMN())),OFFSET($BN$2,0,0,ROW()-1,60),ROW()-1,FALSE))</f>
        <v>5.3436708020000001</v>
      </c>
      <c r="AY5">
        <f ca="1">IF(AND(ISNUMBER($AY$41),$B$38=1),$AY$41,HLOOKUP(INDIRECT(ADDRESS(2,COLUMN())),OFFSET($BN$2,0,0,ROW()-1,60),ROW()-1,FALSE))</f>
        <v>3.1907658759999999</v>
      </c>
      <c r="AZ5">
        <f ca="1">IF(AND(ISNUMBER($AZ$41),$B$38=1),$AZ$41,HLOOKUP(INDIRECT(ADDRESS(2,COLUMN())),OFFSET($BN$2,0,0,ROW()-1,60),ROW()-1,FALSE))</f>
        <v>4.0709357600000002</v>
      </c>
      <c r="BA5">
        <f ca="1">IF(AND(ISNUMBER($BA$41),$B$38=1),$BA$41,HLOOKUP(INDIRECT(ADDRESS(2,COLUMN())),OFFSET($BN$2,0,0,ROW()-1,60),ROW()-1,FALSE))</f>
        <v>5.5734294259999997</v>
      </c>
      <c r="BB5">
        <f ca="1">IF(AND(ISNUMBER($BB$41),$B$38=1),$BB$41,HLOOKUP(INDIRECT(ADDRESS(2,COLUMN())),OFFSET($BN$2,0,0,ROW()-1,60),ROW()-1,FALSE))</f>
        <v>3.4763167720000001</v>
      </c>
      <c r="BC5">
        <f ca="1">IF(AND(ISNUMBER($BC$41),$B$38=1),$BC$41,HLOOKUP(INDIRECT(ADDRESS(2,COLUMN())),OFFSET($BN$2,0,0,ROW()-1,60),ROW()-1,FALSE))</f>
        <v>3.817675774</v>
      </c>
      <c r="BD5">
        <f ca="1">IF(AND(ISNUMBER($BD$41),$B$38=1),$BD$41,HLOOKUP(INDIRECT(ADDRESS(2,COLUMN())),OFFSET($BN$2,0,0,ROW()-1,60),ROW()-1,FALSE))</f>
        <v>4.1182799829999999</v>
      </c>
      <c r="BE5">
        <f ca="1">IF(AND(ISNUMBER($BE$41),$B$38=1),$BE$41,HLOOKUP(INDIRECT(ADDRESS(2,COLUMN())),OFFSET($BN$2,0,0,ROW()-1,60),ROW()-1,FALSE))</f>
        <v>3.7378570390000001</v>
      </c>
      <c r="BF5">
        <f ca="1">IF(AND(ISNUMBER($BF$41),$B$38=1),$BF$41,HLOOKUP(INDIRECT(ADDRESS(2,COLUMN())),OFFSET($BN$2,0,0,ROW()-1,60),ROW()-1,FALSE))</f>
        <v>3.4268802310000002</v>
      </c>
      <c r="BG5">
        <f ca="1">IF(AND(ISNUMBER($BG$41),$B$38=1),$BG$41,HLOOKUP(INDIRECT(ADDRESS(2,COLUMN())),OFFSET($BN$2,0,0,ROW()-1,60),ROW()-1,FALSE))</f>
        <v>2.7996816600000001</v>
      </c>
      <c r="BH5">
        <f ca="1">IF(AND(ISNUMBER($BH$41),$B$38=1),$BH$41,HLOOKUP(INDIRECT(ADDRESS(2,COLUMN())),OFFSET($BN$2,0,0,ROW()-1,60),ROW()-1,FALSE))</f>
        <v>2.2133062469999998</v>
      </c>
      <c r="BI5">
        <f ca="1">IF(AND(ISNUMBER($BI$41),$B$38=1),$BI$41,HLOOKUP(INDIRECT(ADDRESS(2,COLUMN())),OFFSET($BN$2,0,0,ROW()-1,60),ROW()-1,FALSE))</f>
        <v>2.2130026790000001</v>
      </c>
      <c r="BJ5">
        <f ca="1">IF(AND(ISNUMBER($BJ$41),$B$38=1),$BJ$41,HLOOKUP(INDIRECT(ADDRESS(2,COLUMN())),OFFSET($BN$2,0,0,ROW()-1,60),ROW()-1,FALSE))</f>
        <v>1.8902457429999999</v>
      </c>
      <c r="BK5">
        <f ca="1">IF(AND(ISNUMBER($BK$41),$B$38=1),$BK$41,HLOOKUP(INDIRECT(ADDRESS(2,COLUMN())),OFFSET($BN$2,0,0,ROW()-1,60),ROW()-1,FALSE))</f>
        <v>1.623434848</v>
      </c>
      <c r="BL5">
        <f ca="1">IF(AND(ISNUMBER($BL$41),$B$38=1),$BL$41,HLOOKUP(INDIRECT(ADDRESS(2,COLUMN())),OFFSET($BN$2,0,0,ROW()-1,60),ROW()-1,FALSE))</f>
        <v>2.1945651509999999</v>
      </c>
      <c r="BM5">
        <f ca="1">IF(AND(ISNUMBER($BM$41),$B$38=1),$BM$41,HLOOKUP(INDIRECT(ADDRESS(2,COLUMN())),OFFSET($BN$2,0,0,ROW()-1,60),ROW()-1,FALSE))</f>
        <v>1.8718136160000001</v>
      </c>
      <c r="BN5">
        <f>1.444923724</f>
        <v>1.4449237239999999</v>
      </c>
      <c r="BO5">
        <f>1.752543695</f>
        <v>1.752543695</v>
      </c>
      <c r="BP5">
        <f>2.30663141</f>
        <v>2.30663141</v>
      </c>
      <c r="BQ5">
        <f>2.584413703</f>
        <v>2.5844137030000001</v>
      </c>
      <c r="BR5">
        <f>3.059779123</f>
        <v>3.0597791230000002</v>
      </c>
      <c r="BS5">
        <f>2.775625603</f>
        <v>2.7756256029999999</v>
      </c>
      <c r="BT5">
        <f>3.662982547</f>
        <v>3.6629825469999999</v>
      </c>
      <c r="BU5">
        <f>4.319163219</f>
        <v>4.319163219</v>
      </c>
      <c r="BV5">
        <f>3.62559162</f>
        <v>3.6255916199999998</v>
      </c>
      <c r="BW5">
        <f>3.780663375</f>
        <v>3.780663375</v>
      </c>
      <c r="BX5">
        <f>3.209053518</f>
        <v>3.2090535180000002</v>
      </c>
      <c r="BY5">
        <f>3.339478005</f>
        <v>3.3394780050000001</v>
      </c>
      <c r="BZ5">
        <f>3.519450565</f>
        <v>3.5194505650000001</v>
      </c>
      <c r="CA5">
        <f>4.307123551</f>
        <v>4.3071235510000001</v>
      </c>
      <c r="CB5">
        <f>4.364408662</f>
        <v>4.3644086619999998</v>
      </c>
      <c r="CC5">
        <f>3.319382251</f>
        <v>3.319382251</v>
      </c>
      <c r="CD5">
        <f>4.376978965</f>
        <v>4.3769789650000002</v>
      </c>
      <c r="CE5">
        <f>4.233780263</f>
        <v>4.2337802629999999</v>
      </c>
      <c r="CF5">
        <f>4.763918485</f>
        <v>4.7639184849999996</v>
      </c>
      <c r="CG5">
        <f>4.12233117</f>
        <v>4.1223311699999998</v>
      </c>
      <c r="CH5">
        <f>3.477287143</f>
        <v>3.4772871429999999</v>
      </c>
      <c r="CI5">
        <f>3.485425913</f>
        <v>3.4854259129999998</v>
      </c>
      <c r="CJ5">
        <f>4.165715417</f>
        <v>4.1657154170000004</v>
      </c>
      <c r="CK5">
        <f>4.211356658</f>
        <v>4.2113566579999997</v>
      </c>
      <c r="CL5">
        <f>2.379570757</f>
        <v>2.3795707570000002</v>
      </c>
      <c r="CM5">
        <f>3.413780457</f>
        <v>3.4137804570000001</v>
      </c>
      <c r="CN5">
        <f>2.602376221</f>
        <v>2.6023762210000001</v>
      </c>
      <c r="CO5">
        <f>1.589813575</f>
        <v>1.589813575</v>
      </c>
      <c r="CP5">
        <f>2.948481761</f>
        <v>2.948481761</v>
      </c>
      <c r="CQ5">
        <f>1.216903262</f>
        <v>1.216903262</v>
      </c>
      <c r="CR5">
        <f>0.557761449</f>
        <v>0.55776144900000002</v>
      </c>
      <c r="CS5">
        <f>0.213669114</f>
        <v>0.21366911399999999</v>
      </c>
      <c r="CT5">
        <f>-0.777415396</f>
        <v>-0.77741539599999998</v>
      </c>
      <c r="CU5">
        <f>-1.576363534</f>
        <v>-1.576363534</v>
      </c>
      <c r="CV5">
        <f>-1.664631343</f>
        <v>-1.6646313429999999</v>
      </c>
      <c r="CW5">
        <f>0.445168444</f>
        <v>0.445168444</v>
      </c>
      <c r="CX5">
        <f>1.109212104</f>
        <v>1.109212104</v>
      </c>
      <c r="CY5">
        <f>1.188942876</f>
        <v>1.188942876</v>
      </c>
      <c r="CZ5">
        <f>3.21670816</f>
        <v>3.21670816</v>
      </c>
      <c r="DA5">
        <f>3.193604954</f>
        <v>3.193604954</v>
      </c>
      <c r="DB5">
        <f>4.777603002</f>
        <v>4.7776030020000002</v>
      </c>
      <c r="DC5">
        <f>4.87697481</f>
        <v>4.8769748100000001</v>
      </c>
      <c r="DD5">
        <f>3.210222944</f>
        <v>3.2102229439999999</v>
      </c>
      <c r="DE5">
        <f>1.762583686</f>
        <v>1.7625836859999999</v>
      </c>
      <c r="DF5">
        <f>5.343670802</f>
        <v>5.3436708020000001</v>
      </c>
      <c r="DG5">
        <f>3.190765876</f>
        <v>3.1907658759999999</v>
      </c>
      <c r="DH5">
        <f>4.07093576</f>
        <v>4.0709357600000002</v>
      </c>
      <c r="DI5">
        <f>5.573429426</f>
        <v>5.5734294259999997</v>
      </c>
      <c r="DJ5">
        <f>3.476316772</f>
        <v>3.4763167720000001</v>
      </c>
      <c r="DK5">
        <f>3.817675774</f>
        <v>3.817675774</v>
      </c>
      <c r="DL5">
        <f>4.118279983</f>
        <v>4.1182799829999999</v>
      </c>
      <c r="DM5">
        <f>3.737857039</f>
        <v>3.7378570390000001</v>
      </c>
      <c r="DN5">
        <f>3.426880231</f>
        <v>3.4268802310000002</v>
      </c>
      <c r="DO5">
        <f>2.79968166</f>
        <v>2.7996816600000001</v>
      </c>
      <c r="DP5">
        <f>2.213306247</f>
        <v>2.2133062469999998</v>
      </c>
      <c r="DQ5">
        <f>2.213002679</f>
        <v>2.2130026790000001</v>
      </c>
      <c r="DR5">
        <f>1.890245743</f>
        <v>1.8902457429999999</v>
      </c>
      <c r="DS5">
        <f>1.623434848</f>
        <v>1.623434848</v>
      </c>
      <c r="DT5">
        <f>2.194565151</f>
        <v>2.1945651509999999</v>
      </c>
      <c r="DU5">
        <f>1.871813616</f>
        <v>1.8718136160000001</v>
      </c>
    </row>
    <row r="6" spans="1:125">
      <c r="A6" t="str">
        <f>"    零售业房地产投资信托总营运现金流"</f>
        <v xml:space="preserve">    零售业房地产投资信托总营运现金流</v>
      </c>
      <c r="B6" t="str">
        <f>"RECFFORT Index"</f>
        <v>RECFFORT Index</v>
      </c>
      <c r="C6" t="str">
        <f>"PR005"</f>
        <v>PR005</v>
      </c>
      <c r="D6" t="str">
        <f>"PX_LAST"</f>
        <v>PX_LAST</v>
      </c>
      <c r="E6" t="str">
        <f>"动态"</f>
        <v>动态</v>
      </c>
      <c r="F6">
        <f ca="1">IF(AND(ISNUMBER($F$42),$B$38=1),$F$42,HLOOKUP(INDIRECT(ADDRESS(2,COLUMN())),OFFSET($BN$2,0,0,ROW()-1,60),ROW()-1,FALSE))</f>
        <v>3576.972487</v>
      </c>
      <c r="G6">
        <f ca="1">IF(AND(ISNUMBER($G$42),$B$38=1),$G$42,HLOOKUP(INDIRECT(ADDRESS(2,COLUMN())),OFFSET($BN$2,0,0,ROW()-1,60),ROW()-1,FALSE))</f>
        <v>3383.7130000000002</v>
      </c>
      <c r="H6">
        <f ca="1">IF(AND(ISNUMBER($H$42),$B$38=1),$H$42,HLOOKUP(INDIRECT(ADDRESS(2,COLUMN())),OFFSET($BN$2,0,0,ROW()-1,60),ROW()-1,FALSE))</f>
        <v>3374.9490000000001</v>
      </c>
      <c r="I6">
        <f ca="1">IF(AND(ISNUMBER($I$42),$B$38=1),$I$42,HLOOKUP(INDIRECT(ADDRESS(2,COLUMN())),OFFSET($BN$2,0,0,ROW()-1,60),ROW()-1,FALSE))</f>
        <v>3139.335</v>
      </c>
      <c r="J6">
        <f ca="1">IF(AND(ISNUMBER($J$42),$B$38=1),$J$42,HLOOKUP(INDIRECT(ADDRESS(2,COLUMN())),OFFSET($BN$2,0,0,ROW()-1,60),ROW()-1,FALSE))</f>
        <v>3542.9380000000001</v>
      </c>
      <c r="K6">
        <f ca="1">IF(AND(ISNUMBER($K$42),$B$38=1),$K$42,HLOOKUP(INDIRECT(ADDRESS(2,COLUMN())),OFFSET($BN$2,0,0,ROW()-1,60),ROW()-1,FALSE))</f>
        <v>3197.6930000000002</v>
      </c>
      <c r="L6">
        <f ca="1">IF(AND(ISNUMBER($L$42),$B$38=1),$L$42,HLOOKUP(INDIRECT(ADDRESS(2,COLUMN())),OFFSET($BN$2,0,0,ROW()-1,60),ROW()-1,FALSE))</f>
        <v>3368.18</v>
      </c>
      <c r="M6">
        <f ca="1">IF(AND(ISNUMBER($M$42),$B$38=1),$M$42,HLOOKUP(INDIRECT(ADDRESS(2,COLUMN())),OFFSET($BN$2,0,0,ROW()-1,60),ROW()-1,FALSE))</f>
        <v>3302.06</v>
      </c>
      <c r="N6">
        <f ca="1">IF(AND(ISNUMBER($N$42),$B$38=1),$N$42,HLOOKUP(INDIRECT(ADDRESS(2,COLUMN())),OFFSET($BN$2,0,0,ROW()-1,60),ROW()-1,FALSE))</f>
        <v>3317.5169999999998</v>
      </c>
      <c r="O6">
        <f ca="1">IF(AND(ISNUMBER($O$42),$B$38=1),$O$42,HLOOKUP(INDIRECT(ADDRESS(2,COLUMN())),OFFSET($BN$2,0,0,ROW()-1,60),ROW()-1,FALSE))</f>
        <v>3198.5050000000001</v>
      </c>
      <c r="P6">
        <f ca="1">IF(AND(ISNUMBER($P$42),$B$38=1),$P$42,HLOOKUP(INDIRECT(ADDRESS(2,COLUMN())),OFFSET($BN$2,0,0,ROW()-1,60),ROW()-1,FALSE))</f>
        <v>3150.7959999999998</v>
      </c>
      <c r="Q6">
        <f ca="1">IF(AND(ISNUMBER($Q$42),$B$38=1),$Q$42,HLOOKUP(INDIRECT(ADDRESS(2,COLUMN())),OFFSET($BN$2,0,0,ROW()-1,60),ROW()-1,FALSE))</f>
        <v>2955.1849999999999</v>
      </c>
      <c r="R6">
        <f ca="1">IF(AND(ISNUMBER($R$42),$B$38=1),$R$42,HLOOKUP(INDIRECT(ADDRESS(2,COLUMN())),OFFSET($BN$2,0,0,ROW()-1,60),ROW()-1,FALSE))</f>
        <v>2989.8829999999998</v>
      </c>
      <c r="S6">
        <f ca="1">IF(AND(ISNUMBER($S$42),$B$38=1),$S$42,HLOOKUP(INDIRECT(ADDRESS(2,COLUMN())),OFFSET($BN$2,0,0,ROW()-1,60),ROW()-1,FALSE))</f>
        <v>2941.0059999999999</v>
      </c>
      <c r="T6">
        <f ca="1">IF(AND(ISNUMBER($T$42),$B$38=1),$T$42,HLOOKUP(INDIRECT(ADDRESS(2,COLUMN())),OFFSET($BN$2,0,0,ROW()-1,60),ROW()-1,FALSE))</f>
        <v>2748.913</v>
      </c>
      <c r="U6">
        <f ca="1">IF(AND(ISNUMBER($U$42),$B$38=1),$U$42,HLOOKUP(INDIRECT(ADDRESS(2,COLUMN())),OFFSET($BN$2,0,0,ROW()-1,60),ROW()-1,FALSE))</f>
        <v>2636.0740000000001</v>
      </c>
      <c r="V6">
        <f ca="1">IF(AND(ISNUMBER($V$42),$B$38=1),$V$42,HLOOKUP(INDIRECT(ADDRESS(2,COLUMN())),OFFSET($BN$2,0,0,ROW()-1,60),ROW()-1,FALSE))</f>
        <v>2660.4670000000001</v>
      </c>
      <c r="W6">
        <f ca="1">IF(AND(ISNUMBER($W$42),$B$38=1),$W$42,HLOOKUP(INDIRECT(ADDRESS(2,COLUMN())),OFFSET($BN$2,0,0,ROW()-1,60),ROW()-1,FALSE))</f>
        <v>2496.8330000000001</v>
      </c>
      <c r="X6">
        <f ca="1">IF(AND(ISNUMBER($X$42),$B$38=1),$X$42,HLOOKUP(INDIRECT(ADDRESS(2,COLUMN())),OFFSET($BN$2,0,0,ROW()-1,60),ROW()-1,FALSE))</f>
        <v>2309.4059999999999</v>
      </c>
      <c r="Y6">
        <f ca="1">IF(AND(ISNUMBER($Y$42),$B$38=1),$Y$42,HLOOKUP(INDIRECT(ADDRESS(2,COLUMN())),OFFSET($BN$2,0,0,ROW()-1,60),ROW()-1,FALSE))</f>
        <v>2055.2260000000001</v>
      </c>
      <c r="Z6">
        <f ca="1">IF(AND(ISNUMBER($Z$42),$B$38=1),$Z$42,HLOOKUP(INDIRECT(ADDRESS(2,COLUMN())),OFFSET($BN$2,0,0,ROW()-1,60),ROW()-1,FALSE))</f>
        <v>2267.498</v>
      </c>
      <c r="AA6">
        <f ca="1">IF(AND(ISNUMBER($AA$42),$B$38=1),$AA$42,HLOOKUP(INDIRECT(ADDRESS(2,COLUMN())),OFFSET($BN$2,0,0,ROW()-1,60),ROW()-1,FALSE))</f>
        <v>1960.855</v>
      </c>
      <c r="AB6">
        <f ca="1">IF(AND(ISNUMBER($AB$42),$B$38=1),$AB$42,HLOOKUP(INDIRECT(ADDRESS(2,COLUMN())),OFFSET($BN$2,0,0,ROW()-1,60),ROW()-1,FALSE))</f>
        <v>2034.4549999999999</v>
      </c>
      <c r="AC6">
        <f ca="1">IF(AND(ISNUMBER($AC$42),$B$38=1),$AC$42,HLOOKUP(INDIRECT(ADDRESS(2,COLUMN())),OFFSET($BN$2,0,0,ROW()-1,60),ROW()-1,FALSE))</f>
        <v>1695.2180000000001</v>
      </c>
      <c r="AD6">
        <f ca="1">IF(AND(ISNUMBER($AD$42),$B$38=1),$AD$42,HLOOKUP(INDIRECT(ADDRESS(2,COLUMN())),OFFSET($BN$2,0,0,ROW()-1,60),ROW()-1,FALSE))</f>
        <v>1775.2719999999999</v>
      </c>
      <c r="AE6">
        <f ca="1">IF(AND(ISNUMBER($AE$42),$B$38=1),$AE$42,HLOOKUP(INDIRECT(ADDRESS(2,COLUMN())),OFFSET($BN$2,0,0,ROW()-1,60),ROW()-1,FALSE))</f>
        <v>2045.683</v>
      </c>
      <c r="AF6">
        <f ca="1">IF(AND(ISNUMBER($AF$42),$B$38=1),$AF$42,HLOOKUP(INDIRECT(ADDRESS(2,COLUMN())),OFFSET($BN$2,0,0,ROW()-1,60),ROW()-1,FALSE))</f>
        <v>1543.13</v>
      </c>
      <c r="AG6">
        <f ca="1">IF(AND(ISNUMBER($AG$42),$B$38=1),$AG$42,HLOOKUP(INDIRECT(ADDRESS(2,COLUMN())),OFFSET($BN$2,0,0,ROW()-1,60),ROW()-1,FALSE))</f>
        <v>1844.028</v>
      </c>
      <c r="AH6">
        <f ca="1">IF(AND(ISNUMBER($AH$42),$B$38=1),$AH$42,HLOOKUP(INDIRECT(ADDRESS(2,COLUMN())),OFFSET($BN$2,0,0,ROW()-1,60),ROW()-1,FALSE))</f>
        <v>1722.2070000000001</v>
      </c>
      <c r="AI6">
        <f ca="1">IF(AND(ISNUMBER($AI$42),$B$38=1),$AI$42,HLOOKUP(INDIRECT(ADDRESS(2,COLUMN())),OFFSET($BN$2,0,0,ROW()-1,60),ROW()-1,FALSE))</f>
        <v>1113.327</v>
      </c>
      <c r="AJ6">
        <f ca="1">IF(AND(ISNUMBER($AJ$42),$B$38=1),$AJ$42,HLOOKUP(INDIRECT(ADDRESS(2,COLUMN())),OFFSET($BN$2,0,0,ROW()-1,60),ROW()-1,FALSE))</f>
        <v>1174.8710000000001</v>
      </c>
      <c r="AK6">
        <f ca="1">IF(AND(ISNUMBER($AK$42),$B$38=1),$AK$42,HLOOKUP(INDIRECT(ADDRESS(2,COLUMN())),OFFSET($BN$2,0,0,ROW()-1,60),ROW()-1,FALSE))</f>
        <v>1122.105</v>
      </c>
      <c r="AL6">
        <f ca="1">IF(AND(ISNUMBER($AL$42),$B$38=1),$AL$42,HLOOKUP(INDIRECT(ADDRESS(2,COLUMN())),OFFSET($BN$2,0,0,ROW()-1,60),ROW()-1,FALSE))</f>
        <v>1275.0070000000001</v>
      </c>
      <c r="AM6">
        <f ca="1">IF(AND(ISNUMBER($AM$42),$B$38=1),$AM$42,HLOOKUP(INDIRECT(ADDRESS(2,COLUMN())),OFFSET($BN$2,0,0,ROW()-1,60),ROW()-1,FALSE))</f>
        <v>1006.479</v>
      </c>
      <c r="AN6">
        <f ca="1">IF(AND(ISNUMBER($AN$42),$B$38=1),$AN$42,HLOOKUP(INDIRECT(ADDRESS(2,COLUMN())),OFFSET($BN$2,0,0,ROW()-1,60),ROW()-1,FALSE))</f>
        <v>747.51199999999994</v>
      </c>
      <c r="AO6">
        <f ca="1">IF(AND(ISNUMBER($AO$42),$B$38=1),$AO$42,HLOOKUP(INDIRECT(ADDRESS(2,COLUMN())),OFFSET($BN$2,0,0,ROW()-1,60),ROW()-1,FALSE))</f>
        <v>1500.453</v>
      </c>
      <c r="AP6">
        <f ca="1">IF(AND(ISNUMBER($AP$42),$B$38=1),$AP$42,HLOOKUP(INDIRECT(ADDRESS(2,COLUMN())),OFFSET($BN$2,0,0,ROW()-1,60),ROW()-1,FALSE))</f>
        <v>1145.566</v>
      </c>
      <c r="AQ6">
        <f ca="1">IF(AND(ISNUMBER($AQ$42),$B$38=1),$AQ$42,HLOOKUP(INDIRECT(ADDRESS(2,COLUMN())),OFFSET($BN$2,0,0,ROW()-1,60),ROW()-1,FALSE))</f>
        <v>1591.287</v>
      </c>
      <c r="AR6">
        <f ca="1">IF(AND(ISNUMBER($AR$42),$B$38=1),$AR$42,HLOOKUP(INDIRECT(ADDRESS(2,COLUMN())),OFFSET($BN$2,0,0,ROW()-1,60),ROW()-1,FALSE))</f>
        <v>1597.3209999999999</v>
      </c>
      <c r="AS6">
        <f ca="1">IF(AND(ISNUMBER($AS$42),$B$38=1),$AS$42,HLOOKUP(INDIRECT(ADDRESS(2,COLUMN())),OFFSET($BN$2,0,0,ROW()-1,60),ROW()-1,FALSE))</f>
        <v>1641.296</v>
      </c>
      <c r="AT6">
        <f ca="1">IF(AND(ISNUMBER($AT$42),$B$38=1),$AT$42,HLOOKUP(INDIRECT(ADDRESS(2,COLUMN())),OFFSET($BN$2,0,0,ROW()-1,60),ROW()-1,FALSE))</f>
        <v>1691.5934999999999</v>
      </c>
      <c r="AU6">
        <f ca="1">IF(AND(ISNUMBER($AU$42),$B$38=1),$AU$42,HLOOKUP(INDIRECT(ADDRESS(2,COLUMN())),OFFSET($BN$2,0,0,ROW()-1,60),ROW()-1,FALSE))</f>
        <v>1651.42</v>
      </c>
      <c r="AV6">
        <f ca="1">IF(AND(ISNUMBER($AV$42),$B$38=1),$AV$42,HLOOKUP(INDIRECT(ADDRESS(2,COLUMN())),OFFSET($BN$2,0,0,ROW()-1,60),ROW()-1,FALSE))</f>
        <v>1667.1569999999999</v>
      </c>
      <c r="AW6">
        <f ca="1">IF(AND(ISNUMBER($AW$42),$B$38=1),$AW$42,HLOOKUP(INDIRECT(ADDRESS(2,COLUMN())),OFFSET($BN$2,0,0,ROW()-1,60),ROW()-1,FALSE))</f>
        <v>1950.114</v>
      </c>
      <c r="AX6">
        <f ca="1">IF(AND(ISNUMBER($AX$42),$B$38=1),$AX$42,HLOOKUP(INDIRECT(ADDRESS(2,COLUMN())),OFFSET($BN$2,0,0,ROW()-1,60),ROW()-1,FALSE))</f>
        <v>1657.3275000000001</v>
      </c>
      <c r="AY6">
        <f ca="1">IF(AND(ISNUMBER($AY$42),$B$38=1),$AY$42,HLOOKUP(INDIRECT(ADDRESS(2,COLUMN())),OFFSET($BN$2,0,0,ROW()-1,60),ROW()-1,FALSE))</f>
        <v>1524.385</v>
      </c>
      <c r="AZ6">
        <f ca="1">IF(AND(ISNUMBER($AZ$42),$B$38=1),$AZ$42,HLOOKUP(INDIRECT(ADDRESS(2,COLUMN())),OFFSET($BN$2,0,0,ROW()-1,60),ROW()-1,FALSE))</f>
        <v>1544.3720000000001</v>
      </c>
      <c r="BA6">
        <f ca="1">IF(AND(ISNUMBER($BA$42),$B$38=1),$BA$42,HLOOKUP(INDIRECT(ADDRESS(2,COLUMN())),OFFSET($BN$2,0,0,ROW()-1,60),ROW()-1,FALSE))</f>
        <v>1606.7139999999999</v>
      </c>
      <c r="BB6">
        <f ca="1">IF(AND(ISNUMBER($BB$42),$B$38=1),$BB$42,HLOOKUP(INDIRECT(ADDRESS(2,COLUMN())),OFFSET($BN$2,0,0,ROW()-1,60),ROW()-1,FALSE))</f>
        <v>1782.963</v>
      </c>
      <c r="BC6">
        <f ca="1">IF(AND(ISNUMBER($BC$42),$B$38=1),$BC$42,HLOOKUP(INDIRECT(ADDRESS(2,COLUMN())),OFFSET($BN$2,0,0,ROW()-1,60),ROW()-1,FALSE))</f>
        <v>1561.1420000000001</v>
      </c>
      <c r="BD6">
        <f ca="1">IF(AND(ISNUMBER($BD$42),$B$38=1),$BD$42,HLOOKUP(INDIRECT(ADDRESS(2,COLUMN())),OFFSET($BN$2,0,0,ROW()-1,60),ROW()-1,FALSE))</f>
        <v>1620.5360000000001</v>
      </c>
      <c r="BE6">
        <f ca="1">IF(AND(ISNUMBER($BE$42),$B$38=1),$BE$42,HLOOKUP(INDIRECT(ADDRESS(2,COLUMN())),OFFSET($BN$2,0,0,ROW()-1,60),ROW()-1,FALSE))</f>
        <v>1604.3679999999999</v>
      </c>
      <c r="BF6">
        <f ca="1">IF(AND(ISNUMBER($BF$42),$B$38=1),$BF$42,HLOOKUP(INDIRECT(ADDRESS(2,COLUMN())),OFFSET($BN$2,0,0,ROW()-1,60),ROW()-1,FALSE))</f>
        <v>1690.319</v>
      </c>
      <c r="BG6">
        <f ca="1">IF(AND(ISNUMBER($BG$42),$B$38=1),$BG$42,HLOOKUP(INDIRECT(ADDRESS(2,COLUMN())),OFFSET($BN$2,0,0,ROW()-1,60),ROW()-1,FALSE))</f>
        <v>1438.249</v>
      </c>
      <c r="BH6">
        <f ca="1">IF(AND(ISNUMBER($BH$42),$B$38=1),$BH$42,HLOOKUP(INDIRECT(ADDRESS(2,COLUMN())),OFFSET($BN$2,0,0,ROW()-1,60),ROW()-1,FALSE))</f>
        <v>1505.829</v>
      </c>
      <c r="BI6">
        <f ca="1">IF(AND(ISNUMBER($BI$42),$B$38=1),$BI$42,HLOOKUP(INDIRECT(ADDRESS(2,COLUMN())),OFFSET($BN$2,0,0,ROW()-1,60),ROW()-1,FALSE))</f>
        <v>1401.547</v>
      </c>
      <c r="BJ6">
        <f ca="1">IF(AND(ISNUMBER($BJ$42),$B$38=1),$BJ$42,HLOOKUP(INDIRECT(ADDRESS(2,COLUMN())),OFFSET($BN$2,0,0,ROW()-1,60),ROW()-1,FALSE))</f>
        <v>1436.8810000000001</v>
      </c>
      <c r="BK6">
        <f ca="1">IF(AND(ISNUMBER($BK$42),$B$38=1),$BK$42,HLOOKUP(INDIRECT(ADDRESS(2,COLUMN())),OFFSET($BN$2,0,0,ROW()-1,60),ROW()-1,FALSE))</f>
        <v>1316.193</v>
      </c>
      <c r="BL6">
        <f ca="1">IF(AND(ISNUMBER($BL$42),$B$38=1),$BL$42,HLOOKUP(INDIRECT(ADDRESS(2,COLUMN())),OFFSET($BN$2,0,0,ROW()-1,60),ROW()-1,FALSE))</f>
        <v>1257.52</v>
      </c>
      <c r="BM6">
        <f ca="1">IF(AND(ISNUMBER($BM$42),$B$38=1),$BM$42,HLOOKUP(INDIRECT(ADDRESS(2,COLUMN())),OFFSET($BN$2,0,0,ROW()-1,60),ROW()-1,FALSE))</f>
        <v>1231.162</v>
      </c>
      <c r="BN6">
        <f>3576.972487</f>
        <v>3576.972487</v>
      </c>
      <c r="BO6">
        <f>3383.713</f>
        <v>3383.7130000000002</v>
      </c>
      <c r="BP6">
        <f>3374.949</f>
        <v>3374.9490000000001</v>
      </c>
      <c r="BQ6">
        <f>3139.335</f>
        <v>3139.335</v>
      </c>
      <c r="BR6">
        <f>3542.938</f>
        <v>3542.9380000000001</v>
      </c>
      <c r="BS6">
        <f>3197.693</f>
        <v>3197.6930000000002</v>
      </c>
      <c r="BT6">
        <f>3368.18</f>
        <v>3368.18</v>
      </c>
      <c r="BU6">
        <f>3302.06</f>
        <v>3302.06</v>
      </c>
      <c r="BV6">
        <f>3317.517</f>
        <v>3317.5169999999998</v>
      </c>
      <c r="BW6">
        <f>3198.505</f>
        <v>3198.5050000000001</v>
      </c>
      <c r="BX6">
        <f>3150.796</f>
        <v>3150.7959999999998</v>
      </c>
      <c r="BY6">
        <f>2955.185</f>
        <v>2955.1849999999999</v>
      </c>
      <c r="BZ6">
        <f>2989.883</f>
        <v>2989.8829999999998</v>
      </c>
      <c r="CA6">
        <f>2941.006</f>
        <v>2941.0059999999999</v>
      </c>
      <c r="CB6">
        <f>2748.913</f>
        <v>2748.913</v>
      </c>
      <c r="CC6">
        <f>2636.074</f>
        <v>2636.0740000000001</v>
      </c>
      <c r="CD6">
        <f>2660.467</f>
        <v>2660.4670000000001</v>
      </c>
      <c r="CE6">
        <f>2496.833</f>
        <v>2496.8330000000001</v>
      </c>
      <c r="CF6">
        <f>2309.406</f>
        <v>2309.4059999999999</v>
      </c>
      <c r="CG6">
        <f>2055.226</f>
        <v>2055.2260000000001</v>
      </c>
      <c r="CH6">
        <f>2267.498</f>
        <v>2267.498</v>
      </c>
      <c r="CI6">
        <f>1960.855</f>
        <v>1960.855</v>
      </c>
      <c r="CJ6">
        <f>2034.455</f>
        <v>2034.4549999999999</v>
      </c>
      <c r="CK6">
        <f>1695.218</f>
        <v>1695.2180000000001</v>
      </c>
      <c r="CL6">
        <f>1775.272</f>
        <v>1775.2719999999999</v>
      </c>
      <c r="CM6">
        <f>2045.683</f>
        <v>2045.683</v>
      </c>
      <c r="CN6">
        <f>1543.13</f>
        <v>1543.13</v>
      </c>
      <c r="CO6">
        <f>1844.028</f>
        <v>1844.028</v>
      </c>
      <c r="CP6">
        <f>1722.207</f>
        <v>1722.2070000000001</v>
      </c>
      <c r="CQ6">
        <f>1113.327</f>
        <v>1113.327</v>
      </c>
      <c r="CR6">
        <f>1174.871</f>
        <v>1174.8710000000001</v>
      </c>
      <c r="CS6">
        <f>1122.105</f>
        <v>1122.105</v>
      </c>
      <c r="CT6">
        <f>1275.007</f>
        <v>1275.0070000000001</v>
      </c>
      <c r="CU6">
        <f>1006.479</f>
        <v>1006.479</v>
      </c>
      <c r="CV6">
        <f>747.512</f>
        <v>747.51199999999994</v>
      </c>
      <c r="CW6">
        <f>1500.453</f>
        <v>1500.453</v>
      </c>
      <c r="CX6">
        <f>1145.566</f>
        <v>1145.566</v>
      </c>
      <c r="CY6">
        <f>1591.287</f>
        <v>1591.287</v>
      </c>
      <c r="CZ6">
        <f>1597.321</f>
        <v>1597.3209999999999</v>
      </c>
      <c r="DA6">
        <f>1641.296</f>
        <v>1641.296</v>
      </c>
      <c r="DB6">
        <f>1691.5935</f>
        <v>1691.5934999999999</v>
      </c>
      <c r="DC6">
        <f>1651.42</f>
        <v>1651.42</v>
      </c>
      <c r="DD6">
        <f>1667.157</f>
        <v>1667.1569999999999</v>
      </c>
      <c r="DE6">
        <f>1950.114</f>
        <v>1950.114</v>
      </c>
      <c r="DF6">
        <f>1657.3275</f>
        <v>1657.3275000000001</v>
      </c>
      <c r="DG6">
        <f>1524.385</f>
        <v>1524.385</v>
      </c>
      <c r="DH6">
        <f>1544.372</f>
        <v>1544.3720000000001</v>
      </c>
      <c r="DI6">
        <f>1606.714</f>
        <v>1606.7139999999999</v>
      </c>
      <c r="DJ6">
        <f>1782.963</f>
        <v>1782.963</v>
      </c>
      <c r="DK6">
        <f>1561.142</f>
        <v>1561.1420000000001</v>
      </c>
      <c r="DL6">
        <f>1620.536</f>
        <v>1620.5360000000001</v>
      </c>
      <c r="DM6">
        <f>1604.368</f>
        <v>1604.3679999999999</v>
      </c>
      <c r="DN6">
        <f>1690.319</f>
        <v>1690.319</v>
      </c>
      <c r="DO6">
        <f>1438.249</f>
        <v>1438.249</v>
      </c>
      <c r="DP6">
        <f>1505.829</f>
        <v>1505.829</v>
      </c>
      <c r="DQ6">
        <f>1401.547</f>
        <v>1401.547</v>
      </c>
      <c r="DR6">
        <f>1436.881</f>
        <v>1436.8810000000001</v>
      </c>
      <c r="DS6">
        <f>1316.193</f>
        <v>1316.193</v>
      </c>
      <c r="DT6">
        <f>1257.52</f>
        <v>1257.52</v>
      </c>
      <c r="DU6">
        <f>1231.162</f>
        <v>1231.162</v>
      </c>
    </row>
    <row r="7" spans="1:125">
      <c r="A7" t="str">
        <f>"    零售业房地产投资信托净营业利润"</f>
        <v xml:space="preserve">    零售业房地产投资信托净营业利润</v>
      </c>
      <c r="B7" t="str">
        <f>"RECFNORT Index"</f>
        <v>RECFNORT Index</v>
      </c>
      <c r="C7" t="str">
        <f>"PR005"</f>
        <v>PR005</v>
      </c>
      <c r="D7" t="str">
        <f>"PX_LAST"</f>
        <v>PX_LAST</v>
      </c>
      <c r="E7" t="str">
        <f>"动态"</f>
        <v>动态</v>
      </c>
      <c r="F7">
        <f ca="1">IF(AND(ISNUMBER($F$43),$B$38=1),$F$43,HLOOKUP(INDIRECT(ADDRESS(2,COLUMN())),OFFSET($BN$2,0,0,ROW()-1,60),ROW()-1,FALSE))</f>
        <v>4445.0337829999999</v>
      </c>
      <c r="G7">
        <f ca="1">IF(AND(ISNUMBER($G$43),$B$38=1),$G$43,HLOOKUP(INDIRECT(ADDRESS(2,COLUMN())),OFFSET($BN$2,0,0,ROW()-1,60),ROW()-1,FALSE))</f>
        <v>4326.7650000000003</v>
      </c>
      <c r="H7">
        <f ca="1">IF(AND(ISNUMBER($H$43),$B$38=1),$H$43,HLOOKUP(INDIRECT(ADDRESS(2,COLUMN())),OFFSET($BN$2,0,0,ROW()-1,60),ROW()-1,FALSE))</f>
        <v>4320.3969999999999</v>
      </c>
      <c r="I7">
        <f ca="1">IF(AND(ISNUMBER($I$43),$B$38=1),$I$43,HLOOKUP(INDIRECT(ADDRESS(2,COLUMN())),OFFSET($BN$2,0,0,ROW()-1,60),ROW()-1,FALSE))</f>
        <v>4246.9740000000002</v>
      </c>
      <c r="J7">
        <f ca="1">IF(AND(ISNUMBER($J$43),$B$38=1),$J$43,HLOOKUP(INDIRECT(ADDRESS(2,COLUMN())),OFFSET($BN$2,0,0,ROW()-1,60),ROW()-1,FALSE))</f>
        <v>4432.598</v>
      </c>
      <c r="K7">
        <f ca="1">IF(AND(ISNUMBER($K$43),$B$38=1),$K$43,HLOOKUP(INDIRECT(ADDRESS(2,COLUMN())),OFFSET($BN$2,0,0,ROW()-1,60),ROW()-1,FALSE))</f>
        <v>4242.9409999999998</v>
      </c>
      <c r="L7">
        <f ca="1">IF(AND(ISNUMBER($L$43),$B$38=1),$L$43,HLOOKUP(INDIRECT(ADDRESS(2,COLUMN())),OFFSET($BN$2,0,0,ROW()-1,60),ROW()-1,FALSE))</f>
        <v>4194.9930000000004</v>
      </c>
      <c r="M7">
        <f ca="1">IF(AND(ISNUMBER($M$43),$B$38=1),$M$43,HLOOKUP(INDIRECT(ADDRESS(2,COLUMN())),OFFSET($BN$2,0,0,ROW()-1,60),ROW()-1,FALSE))</f>
        <v>4233.125</v>
      </c>
      <c r="N7">
        <f ca="1">IF(AND(ISNUMBER($N$43),$B$38=1),$N$43,HLOOKUP(INDIRECT(ADDRESS(2,COLUMN())),OFFSET($BN$2,0,0,ROW()-1,60),ROW()-1,FALSE))</f>
        <v>4427.8180000000002</v>
      </c>
      <c r="O7">
        <f ca="1">IF(AND(ISNUMBER($O$43),$B$38=1),$O$43,HLOOKUP(INDIRECT(ADDRESS(2,COLUMN())),OFFSET($BN$2,0,0,ROW()-1,60),ROW()-1,FALSE))</f>
        <v>4224.6899999999996</v>
      </c>
      <c r="P7">
        <f ca="1">IF(AND(ISNUMBER($P$43),$B$38=1),$P$43,HLOOKUP(INDIRECT(ADDRESS(2,COLUMN())),OFFSET($BN$2,0,0,ROW()-1,60),ROW()-1,FALSE))</f>
        <v>4152.7070000000003</v>
      </c>
      <c r="Q7">
        <f ca="1">IF(AND(ISNUMBER($Q$43),$B$38=1),$Q$43,HLOOKUP(INDIRECT(ADDRESS(2,COLUMN())),OFFSET($BN$2,0,0,ROW()-1,60),ROW()-1,FALSE))</f>
        <v>4417.5330000000004</v>
      </c>
      <c r="R7">
        <f ca="1">IF(AND(ISNUMBER($R$43),$B$38=1),$R$43,HLOOKUP(INDIRECT(ADDRESS(2,COLUMN())),OFFSET($BN$2,0,0,ROW()-1,60),ROW()-1,FALSE))</f>
        <v>4474.1809999999996</v>
      </c>
      <c r="S7">
        <f ca="1">IF(AND(ISNUMBER($S$43),$B$38=1),$S$43,HLOOKUP(INDIRECT(ADDRESS(2,COLUMN())),OFFSET($BN$2,0,0,ROW()-1,60),ROW()-1,FALSE))</f>
        <v>4344.1130000000003</v>
      </c>
      <c r="T7">
        <f ca="1">IF(AND(ISNUMBER($T$43),$B$38=1),$T$43,HLOOKUP(INDIRECT(ADDRESS(2,COLUMN())),OFFSET($BN$2,0,0,ROW()-1,60),ROW()-1,FALSE))</f>
        <v>4169.3559999999998</v>
      </c>
      <c r="U7">
        <f ca="1">IF(AND(ISNUMBER($U$43),$B$38=1),$U$43,HLOOKUP(INDIRECT(ADDRESS(2,COLUMN())),OFFSET($BN$2,0,0,ROW()-1,60),ROW()-1,FALSE))</f>
        <v>4040.0410000000002</v>
      </c>
      <c r="V7">
        <f ca="1">IF(AND(ISNUMBER($V$43),$B$38=1),$V$43,HLOOKUP(INDIRECT(ADDRESS(2,COLUMN())),OFFSET($BN$2,0,0,ROW()-1,60),ROW()-1,FALSE))</f>
        <v>4089.7620000000002</v>
      </c>
      <c r="W7">
        <f ca="1">IF(AND(ISNUMBER($W$43),$B$38=1),$W$43,HLOOKUP(INDIRECT(ADDRESS(2,COLUMN())),OFFSET($BN$2,0,0,ROW()-1,60),ROW()-1,FALSE))</f>
        <v>3671.4140000000002</v>
      </c>
      <c r="X7">
        <f ca="1">IF(AND(ISNUMBER($X$43),$B$38=1),$X$43,HLOOKUP(INDIRECT(ADDRESS(2,COLUMN())),OFFSET($BN$2,0,0,ROW()-1,60),ROW()-1,FALSE))</f>
        <v>3519.2260000000001</v>
      </c>
      <c r="Y7">
        <f ca="1">IF(AND(ISNUMBER($Y$43),$B$38=1),$Y$43,HLOOKUP(INDIRECT(ADDRESS(2,COLUMN())),OFFSET($BN$2,0,0,ROW()-1,60),ROW()-1,FALSE))</f>
        <v>3332.3809999999999</v>
      </c>
      <c r="Z7">
        <f ca="1">IF(AND(ISNUMBER($Z$43),$B$38=1),$Z$43,HLOOKUP(INDIRECT(ADDRESS(2,COLUMN())),OFFSET($BN$2,0,0,ROW()-1,60),ROW()-1,FALSE))</f>
        <v>3360.39</v>
      </c>
      <c r="AA7">
        <f ca="1">IF(AND(ISNUMBER($AA$43),$B$38=1),$AA$43,HLOOKUP(INDIRECT(ADDRESS(2,COLUMN())),OFFSET($BN$2,0,0,ROW()-1,60),ROW()-1,FALSE))</f>
        <v>3175.893</v>
      </c>
      <c r="AB7">
        <f ca="1">IF(AND(ISNUMBER($AB$43),$B$38=1),$AB$43,HLOOKUP(INDIRECT(ADDRESS(2,COLUMN())),OFFSET($BN$2,0,0,ROW()-1,60),ROW()-1,FALSE))</f>
        <v>3044.9659999999999</v>
      </c>
      <c r="AC7">
        <f ca="1">IF(AND(ISNUMBER($AC$43),$B$38=1),$AC$43,HLOOKUP(INDIRECT(ADDRESS(2,COLUMN())),OFFSET($BN$2,0,0,ROW()-1,60),ROW()-1,FALSE))</f>
        <v>2864.7040000000002</v>
      </c>
      <c r="AD7">
        <f ca="1">IF(AND(ISNUMBER($AD$43),$B$38=1),$AD$43,HLOOKUP(INDIRECT(ADDRESS(2,COLUMN())),OFFSET($BN$2,0,0,ROW()-1,60),ROW()-1,FALSE))</f>
        <v>2867.085</v>
      </c>
      <c r="AE7">
        <f ca="1">IF(AND(ISNUMBER($AE$43),$B$38=1),$AE$43,HLOOKUP(INDIRECT(ADDRESS(2,COLUMN())),OFFSET($BN$2,0,0,ROW()-1,60),ROW()-1,FALSE))</f>
        <v>2730.7220000000002</v>
      </c>
      <c r="AF7">
        <f ca="1">IF(AND(ISNUMBER($AF$43),$B$38=1),$AF$43,HLOOKUP(INDIRECT(ADDRESS(2,COLUMN())),OFFSET($BN$2,0,0,ROW()-1,60),ROW()-1,FALSE))</f>
        <v>2655.5659999999998</v>
      </c>
      <c r="AG7">
        <f ca="1">IF(AND(ISNUMBER($AG$43),$B$38=1),$AG$43,HLOOKUP(INDIRECT(ADDRESS(2,COLUMN())),OFFSET($BN$2,0,0,ROW()-1,60),ROW()-1,FALSE))</f>
        <v>2652.8040000000001</v>
      </c>
      <c r="AH7">
        <f ca="1">IF(AND(ISNUMBER($AH$43),$B$38=1),$AH$43,HLOOKUP(INDIRECT(ADDRESS(2,COLUMN())),OFFSET($BN$2,0,0,ROW()-1,60),ROW()-1,FALSE))</f>
        <v>2781.1419999999998</v>
      </c>
      <c r="AI7">
        <f ca="1">IF(AND(ISNUMBER($AI$43),$B$38=1),$AI$43,HLOOKUP(INDIRECT(ADDRESS(2,COLUMN())),OFFSET($BN$2,0,0,ROW()-1,60),ROW()-1,FALSE))</f>
        <v>2122.89</v>
      </c>
      <c r="AJ7">
        <f ca="1">IF(AND(ISNUMBER($AJ$43),$B$38=1),$AJ$43,HLOOKUP(INDIRECT(ADDRESS(2,COLUMN())),OFFSET($BN$2,0,0,ROW()-1,60),ROW()-1,FALSE))</f>
        <v>2076.1849999999999</v>
      </c>
      <c r="AK7">
        <f ca="1">IF(AND(ISNUMBER($AK$43),$B$38=1),$AK$43,HLOOKUP(INDIRECT(ADDRESS(2,COLUMN())),OFFSET($BN$2,0,0,ROW()-1,60),ROW()-1,FALSE))</f>
        <v>2078.0810000000001</v>
      </c>
      <c r="AL7">
        <f ca="1">IF(AND(ISNUMBER($AL$43),$B$38=1),$AL$43,HLOOKUP(INDIRECT(ADDRESS(2,COLUMN())),OFFSET($BN$2,0,0,ROW()-1,60),ROW()-1,FALSE))</f>
        <v>2207.7979999999998</v>
      </c>
      <c r="AM7">
        <f ca="1">IF(AND(ISNUMBER($AM$43),$B$38=1),$AM$43,HLOOKUP(INDIRECT(ADDRESS(2,COLUMN())),OFFSET($BN$2,0,0,ROW()-1,60),ROW()-1,FALSE))</f>
        <v>2072.279</v>
      </c>
      <c r="AN7">
        <f ca="1">IF(AND(ISNUMBER($AN$43),$B$38=1),$AN$43,HLOOKUP(INDIRECT(ADDRESS(2,COLUMN())),OFFSET($BN$2,0,0,ROW()-1,60),ROW()-1,FALSE))</f>
        <v>2057.8319999999999</v>
      </c>
      <c r="AO7">
        <f ca="1">IF(AND(ISNUMBER($AO$43),$B$38=1),$AO$43,HLOOKUP(INDIRECT(ADDRESS(2,COLUMN())),OFFSET($BN$2,0,0,ROW()-1,60),ROW()-1,FALSE))</f>
        <v>2084.19</v>
      </c>
      <c r="AP7">
        <f ca="1">IF(AND(ISNUMBER($AP$43),$B$38=1),$AP$43,HLOOKUP(INDIRECT(ADDRESS(2,COLUMN())),OFFSET($BN$2,0,0,ROW()-1,60),ROW()-1,FALSE))</f>
        <v>2230.9609999999998</v>
      </c>
      <c r="AQ7">
        <f ca="1">IF(AND(ISNUMBER($AQ$43),$B$38=1),$AQ$43,HLOOKUP(INDIRECT(ADDRESS(2,COLUMN())),OFFSET($BN$2,0,0,ROW()-1,60),ROW()-1,FALSE))</f>
        <v>2621.5740000000001</v>
      </c>
      <c r="AR7">
        <f ca="1">IF(AND(ISNUMBER($AR$43),$B$38=1),$AR$43,HLOOKUP(INDIRECT(ADDRESS(2,COLUMN())),OFFSET($BN$2,0,0,ROW()-1,60),ROW()-1,FALSE))</f>
        <v>2636.9389999999999</v>
      </c>
      <c r="AS7">
        <f ca="1">IF(AND(ISNUMBER($AS$43),$B$38=1),$AS$43,HLOOKUP(INDIRECT(ADDRESS(2,COLUMN())),OFFSET($BN$2,0,0,ROW()-1,60),ROW()-1,FALSE))</f>
        <v>2601.2530000000002</v>
      </c>
      <c r="AT7">
        <f ca="1">IF(AND(ISNUMBER($AT$43),$B$38=1),$AT$43,HLOOKUP(INDIRECT(ADDRESS(2,COLUMN())),OFFSET($BN$2,0,0,ROW()-1,60),ROW()-1,FALSE))</f>
        <v>2535.1244999999999</v>
      </c>
      <c r="AU7">
        <f ca="1">IF(AND(ISNUMBER($AU$43),$B$38=1),$AU$43,HLOOKUP(INDIRECT(ADDRESS(2,COLUMN())),OFFSET($BN$2,0,0,ROW()-1,60),ROW()-1,FALSE))</f>
        <v>2582.3890000000001</v>
      </c>
      <c r="AV7">
        <f ca="1">IF(AND(ISNUMBER($AV$43),$B$38=1),$AV$43,HLOOKUP(INDIRECT(ADDRESS(2,COLUMN())),OFFSET($BN$2,0,0,ROW()-1,60),ROW()-1,FALSE))</f>
        <v>2465.2629999999999</v>
      </c>
      <c r="AW7">
        <f ca="1">IF(AND(ISNUMBER($AW$43),$B$38=1),$AW$43,HLOOKUP(INDIRECT(ADDRESS(2,COLUMN())),OFFSET($BN$2,0,0,ROW()-1,60),ROW()-1,FALSE))</f>
        <v>2392.7359999999999</v>
      </c>
      <c r="AX7">
        <f ca="1">IF(AND(ISNUMBER($AX$43),$B$38=1),$AX$43,HLOOKUP(INDIRECT(ADDRESS(2,COLUMN())),OFFSET($BN$2,0,0,ROW()-1,60),ROW()-1,FALSE))</f>
        <v>2700.7919999999999</v>
      </c>
      <c r="AY7">
        <f ca="1">IF(AND(ISNUMBER($AY$43),$B$38=1),$AY$43,HLOOKUP(INDIRECT(ADDRESS(2,COLUMN())),OFFSET($BN$2,0,0,ROW()-1,60),ROW()-1,FALSE))</f>
        <v>2453.163</v>
      </c>
      <c r="AZ7">
        <f ca="1">IF(AND(ISNUMBER($AZ$43),$B$38=1),$AZ$43,HLOOKUP(INDIRECT(ADDRESS(2,COLUMN())),OFFSET($BN$2,0,0,ROW()-1,60),ROW()-1,FALSE))</f>
        <v>2531.0239999999999</v>
      </c>
      <c r="BA7">
        <f ca="1">IF(AND(ISNUMBER($BA$43),$B$38=1),$BA$43,HLOOKUP(INDIRECT(ADDRESS(2,COLUMN())),OFFSET($BN$2,0,0,ROW()-1,60),ROW()-1,FALSE))</f>
        <v>2584.1729999999998</v>
      </c>
      <c r="BB7">
        <f ca="1">IF(AND(ISNUMBER($BB$43),$B$38=1),$BB$43,HLOOKUP(INDIRECT(ADDRESS(2,COLUMN())),OFFSET($BN$2,0,0,ROW()-1,60),ROW()-1,FALSE))</f>
        <v>2693.4630000000002</v>
      </c>
      <c r="BC7">
        <f ca="1">IF(AND(ISNUMBER($BC$43),$B$38=1),$BC$43,HLOOKUP(INDIRECT(ADDRESS(2,COLUMN())),OFFSET($BN$2,0,0,ROW()-1,60),ROW()-1,FALSE))</f>
        <v>2536.5909999999999</v>
      </c>
      <c r="BD7">
        <f ca="1">IF(AND(ISNUMBER($BD$43),$B$38=1),$BD$43,HLOOKUP(INDIRECT(ADDRESS(2,COLUMN())),OFFSET($BN$2,0,0,ROW()-1,60),ROW()-1,FALSE))</f>
        <v>2490.8580000000002</v>
      </c>
      <c r="BE7">
        <f ca="1">IF(AND(ISNUMBER($BE$43),$B$38=1),$BE$43,HLOOKUP(INDIRECT(ADDRESS(2,COLUMN())),OFFSET($BN$2,0,0,ROW()-1,60),ROW()-1,FALSE))</f>
        <v>2439.6779999999999</v>
      </c>
      <c r="BF7">
        <f ca="1">IF(AND(ISNUMBER($BF$43),$B$38=1),$BF$43,HLOOKUP(INDIRECT(ADDRESS(2,COLUMN())),OFFSET($BN$2,0,0,ROW()-1,60),ROW()-1,FALSE))</f>
        <v>2504.0884999999998</v>
      </c>
      <c r="BG7">
        <f ca="1">IF(AND(ISNUMBER($BG$43),$B$38=1),$BG$43,HLOOKUP(INDIRECT(ADDRESS(2,COLUMN())),OFFSET($BN$2,0,0,ROW()-1,60),ROW()-1,FALSE))</f>
        <v>2228.3330000000001</v>
      </c>
      <c r="BH7">
        <f ca="1">IF(AND(ISNUMBER($BH$43),$B$38=1),$BH$43,HLOOKUP(INDIRECT(ADDRESS(2,COLUMN())),OFFSET($BN$2,0,0,ROW()-1,60),ROW()-1,FALSE))</f>
        <v>2190.9929999999999</v>
      </c>
      <c r="BI7">
        <f ca="1">IF(AND(ISNUMBER($BI$43),$B$38=1),$BI$43,HLOOKUP(INDIRECT(ADDRESS(2,COLUMN())),OFFSET($BN$2,0,0,ROW()-1,60),ROW()-1,FALSE))</f>
        <v>2140.299</v>
      </c>
      <c r="BJ7">
        <f ca="1">IF(AND(ISNUMBER($BJ$43),$B$38=1),$BJ$43,HLOOKUP(INDIRECT(ADDRESS(2,COLUMN())),OFFSET($BN$2,0,0,ROW()-1,60),ROW()-1,FALSE))</f>
        <v>2127.73</v>
      </c>
      <c r="BK7">
        <f ca="1">IF(AND(ISNUMBER($BK$43),$B$38=1),$BK$43,HLOOKUP(INDIRECT(ADDRESS(2,COLUMN())),OFFSET($BN$2,0,0,ROW()-1,60),ROW()-1,FALSE))</f>
        <v>1960.912</v>
      </c>
      <c r="BL7">
        <f ca="1">IF(AND(ISNUMBER($BL$43),$B$38=1),$BL$43,HLOOKUP(INDIRECT(ADDRESS(2,COLUMN())),OFFSET($BN$2,0,0,ROW()-1,60),ROW()-1,FALSE))</f>
        <v>1895.431</v>
      </c>
      <c r="BM7">
        <f ca="1">IF(AND(ISNUMBER($BM$43),$B$38=1),$BM$43,HLOOKUP(INDIRECT(ADDRESS(2,COLUMN())),OFFSET($BN$2,0,0,ROW()-1,60),ROW()-1,FALSE))</f>
        <v>1831.0540000000001</v>
      </c>
      <c r="BN7">
        <f>4445.033783</f>
        <v>4445.0337829999999</v>
      </c>
      <c r="BO7">
        <f>4326.765</f>
        <v>4326.7650000000003</v>
      </c>
      <c r="BP7">
        <f>4320.397</f>
        <v>4320.3969999999999</v>
      </c>
      <c r="BQ7">
        <f>4246.974</f>
        <v>4246.9740000000002</v>
      </c>
      <c r="BR7">
        <f>4432.598</f>
        <v>4432.598</v>
      </c>
      <c r="BS7">
        <f>4242.941</f>
        <v>4242.9409999999998</v>
      </c>
      <c r="BT7">
        <f>4194.993</f>
        <v>4194.9930000000004</v>
      </c>
      <c r="BU7">
        <f>4233.125</f>
        <v>4233.125</v>
      </c>
      <c r="BV7">
        <f>4427.818</f>
        <v>4427.8180000000002</v>
      </c>
      <c r="BW7">
        <f>4224.69</f>
        <v>4224.6899999999996</v>
      </c>
      <c r="BX7">
        <f>4152.707</f>
        <v>4152.7070000000003</v>
      </c>
      <c r="BY7">
        <f>4417.533</f>
        <v>4417.5330000000004</v>
      </c>
      <c r="BZ7">
        <f>4474.181</f>
        <v>4474.1809999999996</v>
      </c>
      <c r="CA7">
        <f>4344.113</f>
        <v>4344.1130000000003</v>
      </c>
      <c r="CB7">
        <f>4169.356</f>
        <v>4169.3559999999998</v>
      </c>
      <c r="CC7">
        <f>4040.041</f>
        <v>4040.0410000000002</v>
      </c>
      <c r="CD7">
        <f>4089.762</f>
        <v>4089.7620000000002</v>
      </c>
      <c r="CE7">
        <f>3671.414</f>
        <v>3671.4140000000002</v>
      </c>
      <c r="CF7">
        <f>3519.226</f>
        <v>3519.2260000000001</v>
      </c>
      <c r="CG7">
        <f>3332.381</f>
        <v>3332.3809999999999</v>
      </c>
      <c r="CH7">
        <f>3360.39</f>
        <v>3360.39</v>
      </c>
      <c r="CI7">
        <f>3175.893</f>
        <v>3175.893</v>
      </c>
      <c r="CJ7">
        <f>3044.966</f>
        <v>3044.9659999999999</v>
      </c>
      <c r="CK7">
        <f>2864.704</f>
        <v>2864.7040000000002</v>
      </c>
      <c r="CL7">
        <f>2867.085</f>
        <v>2867.085</v>
      </c>
      <c r="CM7">
        <f>2730.722</f>
        <v>2730.7220000000002</v>
      </c>
      <c r="CN7">
        <f>2655.566</f>
        <v>2655.5659999999998</v>
      </c>
      <c r="CO7">
        <f>2652.804</f>
        <v>2652.8040000000001</v>
      </c>
      <c r="CP7">
        <f>2781.142</f>
        <v>2781.1419999999998</v>
      </c>
      <c r="CQ7">
        <f>2122.89</f>
        <v>2122.89</v>
      </c>
      <c r="CR7">
        <f>2076.185</f>
        <v>2076.1849999999999</v>
      </c>
      <c r="CS7">
        <f>2078.081</f>
        <v>2078.0810000000001</v>
      </c>
      <c r="CT7">
        <f>2207.798</f>
        <v>2207.7979999999998</v>
      </c>
      <c r="CU7">
        <f>2072.279</f>
        <v>2072.279</v>
      </c>
      <c r="CV7">
        <f>2057.832</f>
        <v>2057.8319999999999</v>
      </c>
      <c r="CW7">
        <f>2084.19</f>
        <v>2084.19</v>
      </c>
      <c r="CX7">
        <f>2230.961</f>
        <v>2230.9609999999998</v>
      </c>
      <c r="CY7">
        <f>2621.574</f>
        <v>2621.5740000000001</v>
      </c>
      <c r="CZ7">
        <f>2636.939</f>
        <v>2636.9389999999999</v>
      </c>
      <c r="DA7">
        <f>2601.253</f>
        <v>2601.2530000000002</v>
      </c>
      <c r="DB7">
        <f>2535.1245</f>
        <v>2535.1244999999999</v>
      </c>
      <c r="DC7">
        <f>2582.389</f>
        <v>2582.3890000000001</v>
      </c>
      <c r="DD7">
        <f>2465.263</f>
        <v>2465.2629999999999</v>
      </c>
      <c r="DE7">
        <f>2392.736</f>
        <v>2392.7359999999999</v>
      </c>
      <c r="DF7">
        <f>2700.792</f>
        <v>2700.7919999999999</v>
      </c>
      <c r="DG7">
        <f>2453.163</f>
        <v>2453.163</v>
      </c>
      <c r="DH7">
        <f>2531.024</f>
        <v>2531.0239999999999</v>
      </c>
      <c r="DI7">
        <f>2584.173</f>
        <v>2584.1729999999998</v>
      </c>
      <c r="DJ7">
        <f>2693.463</f>
        <v>2693.4630000000002</v>
      </c>
      <c r="DK7">
        <f>2536.591</f>
        <v>2536.5909999999999</v>
      </c>
      <c r="DL7">
        <f>2490.858</f>
        <v>2490.8580000000002</v>
      </c>
      <c r="DM7">
        <f>2439.678</f>
        <v>2439.6779999999999</v>
      </c>
      <c r="DN7">
        <f>2504.0885</f>
        <v>2504.0884999999998</v>
      </c>
      <c r="DO7">
        <f>2228.333</f>
        <v>2228.3330000000001</v>
      </c>
      <c r="DP7">
        <f>2190.993</f>
        <v>2190.9929999999999</v>
      </c>
      <c r="DQ7">
        <f>2140.299</f>
        <v>2140.299</v>
      </c>
      <c r="DR7">
        <f>2127.73</f>
        <v>2127.73</v>
      </c>
      <c r="DS7">
        <f>1960.912</f>
        <v>1960.912</v>
      </c>
      <c r="DT7">
        <f>1895.431</f>
        <v>1895.431</v>
      </c>
      <c r="DU7">
        <f>1831.054</f>
        <v>1831.0540000000001</v>
      </c>
    </row>
    <row r="8" spans="1:125">
      <c r="A8" t="str">
        <f>"    零售业房地产投资信托总股利支付"</f>
        <v xml:space="preserve">    零售业房地产投资信托总股利支付</v>
      </c>
      <c r="B8" t="str">
        <f>"RECFTDRT Index"</f>
        <v>RECFTDRT Index</v>
      </c>
      <c r="C8" t="str">
        <f>"PR005"</f>
        <v>PR005</v>
      </c>
      <c r="D8" t="str">
        <f>"PX_LAST"</f>
        <v>PX_LAST</v>
      </c>
      <c r="E8" t="str">
        <f>"动态"</f>
        <v>动态</v>
      </c>
      <c r="F8">
        <f ca="1">IF(AND(ISNUMBER($F$44),$B$38=1),$F$44,HLOOKUP(INDIRECT(ADDRESS(2,COLUMN())),OFFSET($BN$2,0,0,ROW()-1,60),ROW()-1,FALSE))</f>
        <v>2520.6331650000002</v>
      </c>
      <c r="G8">
        <f ca="1">IF(AND(ISNUMBER($G$44),$B$38=1),$G$44,HLOOKUP(INDIRECT(ADDRESS(2,COLUMN())),OFFSET($BN$2,0,0,ROW()-1,60),ROW()-1,FALSE))</f>
        <v>2371.723</v>
      </c>
      <c r="H8">
        <f ca="1">IF(AND(ISNUMBER($H$44),$B$38=1),$H$44,HLOOKUP(INDIRECT(ADDRESS(2,COLUMN())),OFFSET($BN$2,0,0,ROW()-1,60),ROW()-1,FALSE))</f>
        <v>2374.6489999999999</v>
      </c>
      <c r="I8">
        <f ca="1">IF(AND(ISNUMBER($I$44),$B$38=1),$I$44,HLOOKUP(INDIRECT(ADDRESS(2,COLUMN())),OFFSET($BN$2,0,0,ROW()-1,60),ROW()-1,FALSE))</f>
        <v>2558.607</v>
      </c>
      <c r="J8">
        <f ca="1">IF(AND(ISNUMBER($J$44),$B$38=1),$J$44,HLOOKUP(INDIRECT(ADDRESS(2,COLUMN())),OFFSET($BN$2,0,0,ROW()-1,60),ROW()-1,FALSE))</f>
        <v>2286.9140000000002</v>
      </c>
      <c r="K8">
        <f ca="1">IF(AND(ISNUMBER($K$44),$B$38=1),$K$44,HLOOKUP(INDIRECT(ADDRESS(2,COLUMN())),OFFSET($BN$2,0,0,ROW()-1,60),ROW()-1,FALSE))</f>
        <v>2207.2890000000002</v>
      </c>
      <c r="L8">
        <f ca="1">IF(AND(ISNUMBER($L$44),$B$38=1),$L$44,HLOOKUP(INDIRECT(ADDRESS(2,COLUMN())),OFFSET($BN$2,0,0,ROW()-1,60),ROW()-1,FALSE))</f>
        <v>2339.6260000000002</v>
      </c>
      <c r="M8">
        <f ca="1">IF(AND(ISNUMBER($M$44),$B$38=1),$M$44,HLOOKUP(INDIRECT(ADDRESS(2,COLUMN())),OFFSET($BN$2,0,0,ROW()-1,60),ROW()-1,FALSE))</f>
        <v>2592.9229999999998</v>
      </c>
      <c r="N8">
        <f ca="1">IF(AND(ISNUMBER($N$44),$B$38=1),$N$44,HLOOKUP(INDIRECT(ADDRESS(2,COLUMN())),OFFSET($BN$2,0,0,ROW()-1,60),ROW()-1,FALSE))</f>
        <v>2445.4760000000001</v>
      </c>
      <c r="O8">
        <f ca="1">IF(AND(ISNUMBER($O$44),$B$38=1),$O$44,HLOOKUP(INDIRECT(ADDRESS(2,COLUMN())),OFFSET($BN$2,0,0,ROW()-1,60),ROW()-1,FALSE))</f>
        <v>2066.8760000000002</v>
      </c>
      <c r="P8">
        <f ca="1">IF(AND(ISNUMBER($P$44),$B$38=1),$P$44,HLOOKUP(INDIRECT(ADDRESS(2,COLUMN())),OFFSET($BN$2,0,0,ROW()-1,60),ROW()-1,FALSE))</f>
        <v>2120.67</v>
      </c>
      <c r="Q8">
        <f ca="1">IF(AND(ISNUMBER($Q$44),$B$38=1),$Q$44,HLOOKUP(INDIRECT(ADDRESS(2,COLUMN())),OFFSET($BN$2,0,0,ROW()-1,60),ROW()-1,FALSE))</f>
        <v>2060.0680000000002</v>
      </c>
      <c r="R8">
        <f ca="1">IF(AND(ISNUMBER($R$44),$B$38=1),$R$44,HLOOKUP(INDIRECT(ADDRESS(2,COLUMN())),OFFSET($BN$2,0,0,ROW()-1,60),ROW()-1,FALSE))</f>
        <v>2607.4879999999998</v>
      </c>
      <c r="S8">
        <f ca="1">IF(AND(ISNUMBER($S$44),$B$38=1),$S$44,HLOOKUP(INDIRECT(ADDRESS(2,COLUMN())),OFFSET($BN$2,0,0,ROW()-1,60),ROW()-1,FALSE))</f>
        <v>2239.395</v>
      </c>
      <c r="T8">
        <f ca="1">IF(AND(ISNUMBER($T$44),$B$38=1),$T$44,HLOOKUP(INDIRECT(ADDRESS(2,COLUMN())),OFFSET($BN$2,0,0,ROW()-1,60),ROW()-1,FALSE))</f>
        <v>3083.4920000000002</v>
      </c>
      <c r="U8">
        <f ca="1">IF(AND(ISNUMBER($U$44),$B$38=1),$U$44,HLOOKUP(INDIRECT(ADDRESS(2,COLUMN())),OFFSET($BN$2,0,0,ROW()-1,60),ROW()-1,FALSE))</f>
        <v>1966.8630000000001</v>
      </c>
      <c r="V8">
        <f ca="1">IF(AND(ISNUMBER($V$44),$B$38=1),$V$44,HLOOKUP(INDIRECT(ADDRESS(2,COLUMN())),OFFSET($BN$2,0,0,ROW()-1,60),ROW()-1,FALSE))</f>
        <v>1799.4949999999999</v>
      </c>
      <c r="W8">
        <f ca="1">IF(AND(ISNUMBER($W$44),$B$38=1),$W$44,HLOOKUP(INDIRECT(ADDRESS(2,COLUMN())),OFFSET($BN$2,0,0,ROW()-1,60),ROW()-1,FALSE))</f>
        <v>1711.047</v>
      </c>
      <c r="X8">
        <f ca="1">IF(AND(ISNUMBER($X$44),$B$38=1),$X$44,HLOOKUP(INDIRECT(ADDRESS(2,COLUMN())),OFFSET($BN$2,0,0,ROW()-1,60),ROW()-1,FALSE))</f>
        <v>1646.9349999999999</v>
      </c>
      <c r="Y8">
        <f ca="1">IF(AND(ISNUMBER($Y$44),$B$38=1),$Y$44,HLOOKUP(INDIRECT(ADDRESS(2,COLUMN())),OFFSET($BN$2,0,0,ROW()-1,60),ROW()-1,FALSE))</f>
        <v>1495.913</v>
      </c>
      <c r="Z8">
        <f ca="1">IF(AND(ISNUMBER($Z$44),$B$38=1),$Z$44,HLOOKUP(INDIRECT(ADDRESS(2,COLUMN())),OFFSET($BN$2,0,0,ROW()-1,60),ROW()-1,FALSE))</f>
        <v>2111.616</v>
      </c>
      <c r="AA8">
        <f ca="1">IF(AND(ISNUMBER($AA$44),$B$38=1),$AA$44,HLOOKUP(INDIRECT(ADDRESS(2,COLUMN())),OFFSET($BN$2,0,0,ROW()-1,60),ROW()-1,FALSE))</f>
        <v>1396.18</v>
      </c>
      <c r="AB8">
        <f ca="1">IF(AND(ISNUMBER($AB$44),$B$38=1),$AB$44,HLOOKUP(INDIRECT(ADDRESS(2,COLUMN())),OFFSET($BN$2,0,0,ROW()-1,60),ROW()-1,FALSE))</f>
        <v>1355.588</v>
      </c>
      <c r="AC8">
        <f ca="1">IF(AND(ISNUMBER($AC$44),$B$38=1),$AC$44,HLOOKUP(INDIRECT(ADDRESS(2,COLUMN())),OFFSET($BN$2,0,0,ROW()-1,60),ROW()-1,FALSE))</f>
        <v>1250.9000000000001</v>
      </c>
      <c r="AD8">
        <f ca="1">IF(AND(ISNUMBER($AD$44),$B$38=1),$AD$44,HLOOKUP(INDIRECT(ADDRESS(2,COLUMN())),OFFSET($BN$2,0,0,ROW()-1,60),ROW()-1,FALSE))</f>
        <v>1378.9390000000001</v>
      </c>
      <c r="AE8">
        <f ca="1">IF(AND(ISNUMBER($AE$44),$B$38=1),$AE$44,HLOOKUP(INDIRECT(ADDRESS(2,COLUMN())),OFFSET($BN$2,0,0,ROW()-1,60),ROW()-1,FALSE))</f>
        <v>1130.201</v>
      </c>
      <c r="AF8">
        <f ca="1">IF(AND(ISNUMBER($AF$44),$B$38=1),$AF$44,HLOOKUP(INDIRECT(ADDRESS(2,COLUMN())),OFFSET($BN$2,0,0,ROW()-1,60),ROW()-1,FALSE))</f>
        <v>1139.095</v>
      </c>
      <c r="AG8">
        <f ca="1">IF(AND(ISNUMBER($AG$44),$B$38=1),$AG$44,HLOOKUP(INDIRECT(ADDRESS(2,COLUMN())),OFFSET($BN$2,0,0,ROW()-1,60),ROW()-1,FALSE))</f>
        <v>1062.4839999999999</v>
      </c>
      <c r="AH8">
        <f ca="1">IF(AND(ISNUMBER($AH$44),$B$38=1),$AH$44,HLOOKUP(INDIRECT(ADDRESS(2,COLUMN())),OFFSET($BN$2,0,0,ROW()-1,60),ROW()-1,FALSE))</f>
        <v>986.58749999999998</v>
      </c>
      <c r="AI8">
        <f ca="1">IF(AND(ISNUMBER($AI$44),$B$38=1),$AI$44,HLOOKUP(INDIRECT(ADDRESS(2,COLUMN())),OFFSET($BN$2,0,0,ROW()-1,60),ROW()-1,FALSE))</f>
        <v>859.07500000000005</v>
      </c>
      <c r="AJ8">
        <f ca="1">IF(AND(ISNUMBER($AJ$44),$B$38=1),$AJ$44,HLOOKUP(INDIRECT(ADDRESS(2,COLUMN())),OFFSET($BN$2,0,0,ROW()-1,60),ROW()-1,FALSE))</f>
        <v>853.03599999999994</v>
      </c>
      <c r="AK8">
        <f ca="1">IF(AND(ISNUMBER($AK$44),$B$38=1),$AK$44,HLOOKUP(INDIRECT(ADDRESS(2,COLUMN())),OFFSET($BN$2,0,0,ROW()-1,60),ROW()-1,FALSE))</f>
        <v>748.40099999999995</v>
      </c>
      <c r="AL8">
        <f ca="1">IF(AND(ISNUMBER($AL$44),$B$38=1),$AL$44,HLOOKUP(INDIRECT(ADDRESS(2,COLUMN())),OFFSET($BN$2,0,0,ROW()-1,60),ROW()-1,FALSE))</f>
        <v>549.62</v>
      </c>
      <c r="AM8">
        <f ca="1">IF(AND(ISNUMBER($AM$44),$B$38=1),$AM$44,HLOOKUP(INDIRECT(ADDRESS(2,COLUMN())),OFFSET($BN$2,0,0,ROW()-1,60),ROW()-1,FALSE))</f>
        <v>524.63599999999997</v>
      </c>
      <c r="AN8">
        <f ca="1">IF(AND(ISNUMBER($AN$44),$B$38=1),$AN$44,HLOOKUP(INDIRECT(ADDRESS(2,COLUMN())),OFFSET($BN$2,0,0,ROW()-1,60),ROW()-1,FALSE))</f>
        <v>628.28599999999994</v>
      </c>
      <c r="AO8">
        <f ca="1">IF(AND(ISNUMBER($AO$44),$B$38=1),$AO$44,HLOOKUP(INDIRECT(ADDRESS(2,COLUMN())),OFFSET($BN$2,0,0,ROW()-1,60),ROW()-1,FALSE))</f>
        <v>768.06100000000004</v>
      </c>
      <c r="AP8">
        <f ca="1">IF(AND(ISNUMBER($AP$44),$B$38=1),$AP$44,HLOOKUP(INDIRECT(ADDRESS(2,COLUMN())),OFFSET($BN$2,0,0,ROW()-1,60),ROW()-1,FALSE))</f>
        <v>1148.5415</v>
      </c>
      <c r="AQ8">
        <f ca="1">IF(AND(ISNUMBER($AQ$44),$B$38=1),$AQ$44,HLOOKUP(INDIRECT(ADDRESS(2,COLUMN())),OFFSET($BN$2,0,0,ROW()-1,60),ROW()-1,FALSE))</f>
        <v>1267.027</v>
      </c>
      <c r="AR8">
        <f ca="1">IF(AND(ISNUMBER($AR$44),$B$38=1),$AR$44,HLOOKUP(INDIRECT(ADDRESS(2,COLUMN())),OFFSET($BN$2,0,0,ROW()-1,60),ROW()-1,FALSE))</f>
        <v>1269.0840000000001</v>
      </c>
      <c r="AS8">
        <f ca="1">IF(AND(ISNUMBER($AS$44),$B$38=1),$AS$44,HLOOKUP(INDIRECT(ADDRESS(2,COLUMN())),OFFSET($BN$2,0,0,ROW()-1,60),ROW()-1,FALSE))</f>
        <v>1283.221</v>
      </c>
      <c r="AT8">
        <f ca="1">IF(AND(ISNUMBER($AT$44),$B$38=1),$AT$44,HLOOKUP(INDIRECT(ADDRESS(2,COLUMN())),OFFSET($BN$2,0,0,ROW()-1,60),ROW()-1,FALSE))</f>
        <v>1211.0419999999999</v>
      </c>
      <c r="AU8">
        <f ca="1">IF(AND(ISNUMBER($AU$44),$B$38=1),$AU$44,HLOOKUP(INDIRECT(ADDRESS(2,COLUMN())),OFFSET($BN$2,0,0,ROW()-1,60),ROW()-1,FALSE))</f>
        <v>1192.701</v>
      </c>
      <c r="AV8">
        <f ca="1">IF(AND(ISNUMBER($AV$44),$B$38=1),$AV$44,HLOOKUP(INDIRECT(ADDRESS(2,COLUMN())),OFFSET($BN$2,0,0,ROW()-1,60),ROW()-1,FALSE))</f>
        <v>1224.3720000000001</v>
      </c>
      <c r="AW8">
        <f ca="1">IF(AND(ISNUMBER($AW$44),$B$38=1),$AW$44,HLOOKUP(INDIRECT(ADDRESS(2,COLUMN())),OFFSET($BN$2,0,0,ROW()-1,60),ROW()-1,FALSE))</f>
        <v>1165.173</v>
      </c>
      <c r="AX8">
        <f ca="1">IF(AND(ISNUMBER($AX$44),$B$38=1),$AX$44,HLOOKUP(INDIRECT(ADDRESS(2,COLUMN())),OFFSET($BN$2,0,0,ROW()-1,60),ROW()-1,FALSE))</f>
        <v>1163.7650000000001</v>
      </c>
      <c r="AY8">
        <f ca="1">IF(AND(ISNUMBER($AY$44),$B$38=1),$AY$44,HLOOKUP(INDIRECT(ADDRESS(2,COLUMN())),OFFSET($BN$2,0,0,ROW()-1,60),ROW()-1,FALSE))</f>
        <v>1138.6320000000001</v>
      </c>
      <c r="AZ8">
        <f ca="1">IF(AND(ISNUMBER($AZ$44),$B$38=1),$AZ$44,HLOOKUP(INDIRECT(ADDRESS(2,COLUMN())),OFFSET($BN$2,0,0,ROW()-1,60),ROW()-1,FALSE))</f>
        <v>1323.4059999999999</v>
      </c>
      <c r="BA8">
        <f ca="1">IF(AND(ISNUMBER($BA$44),$B$38=1),$BA$44,HLOOKUP(INDIRECT(ADDRESS(2,COLUMN())),OFFSET($BN$2,0,0,ROW()-1,60),ROW()-1,FALSE))</f>
        <v>1207.626</v>
      </c>
      <c r="BB8">
        <f ca="1">IF(AND(ISNUMBER($BB$44),$B$38=1),$BB$44,HLOOKUP(INDIRECT(ADDRESS(2,COLUMN())),OFFSET($BN$2,0,0,ROW()-1,60),ROW()-1,FALSE))</f>
        <v>1170.0425</v>
      </c>
      <c r="BC8">
        <f ca="1">IF(AND(ISNUMBER($BC$44),$B$38=1),$BC$44,HLOOKUP(INDIRECT(ADDRESS(2,COLUMN())),OFFSET($BN$2,0,0,ROW()-1,60),ROW()-1,FALSE))</f>
        <v>1469.374</v>
      </c>
      <c r="BD8">
        <f ca="1">IF(AND(ISNUMBER($BD$44),$B$38=1),$BD$44,HLOOKUP(INDIRECT(ADDRESS(2,COLUMN())),OFFSET($BN$2,0,0,ROW()-1,60),ROW()-1,FALSE))</f>
        <v>1148.2049999999999</v>
      </c>
      <c r="BE8">
        <f ca="1">IF(AND(ISNUMBER($BE$44),$B$38=1),$BE$44,HLOOKUP(INDIRECT(ADDRESS(2,COLUMN())),OFFSET($BN$2,0,0,ROW()-1,60),ROW()-1,FALSE))</f>
        <v>1116.56</v>
      </c>
      <c r="BF8">
        <f ca="1">IF(AND(ISNUMBER($BF$44),$B$38=1),$BF$44,HLOOKUP(INDIRECT(ADDRESS(2,COLUMN())),OFFSET($BN$2,0,0,ROW()-1,60),ROW()-1,FALSE))</f>
        <v>1162.8119999999999</v>
      </c>
      <c r="BG8">
        <f ca="1">IF(AND(ISNUMBER($BG$44),$B$38=1),$BG$44,HLOOKUP(INDIRECT(ADDRESS(2,COLUMN())),OFFSET($BN$2,0,0,ROW()-1,60),ROW()-1,FALSE))</f>
        <v>1050.623</v>
      </c>
      <c r="BH8">
        <f ca="1">IF(AND(ISNUMBER($BH$44),$B$38=1),$BH$44,HLOOKUP(INDIRECT(ADDRESS(2,COLUMN())),OFFSET($BN$2,0,0,ROW()-1,60),ROW()-1,FALSE))</f>
        <v>1084.345</v>
      </c>
      <c r="BI8">
        <f ca="1">IF(AND(ISNUMBER($BI$44),$B$38=1),$BI$44,HLOOKUP(INDIRECT(ADDRESS(2,COLUMN())),OFFSET($BN$2,0,0,ROW()-1,60),ROW()-1,FALSE))</f>
        <v>1019.524</v>
      </c>
      <c r="BJ8">
        <f ca="1">IF(AND(ISNUMBER($BJ$44),$B$38=1),$BJ$44,HLOOKUP(INDIRECT(ADDRESS(2,COLUMN())),OFFSET($BN$2,0,0,ROW()-1,60),ROW()-1,FALSE))</f>
        <v>996.40099999999995</v>
      </c>
      <c r="BK8">
        <f ca="1">IF(AND(ISNUMBER($BK$44),$B$38=1),$BK$44,HLOOKUP(INDIRECT(ADDRESS(2,COLUMN())),OFFSET($BN$2,0,0,ROW()-1,60),ROW()-1,FALSE))</f>
        <v>923.17399999999998</v>
      </c>
      <c r="BL8">
        <f ca="1">IF(AND(ISNUMBER($BL$44),$B$38=1),$BL$44,HLOOKUP(INDIRECT(ADDRESS(2,COLUMN())),OFFSET($BN$2,0,0,ROW()-1,60),ROW()-1,FALSE))</f>
        <v>922.86199999999997</v>
      </c>
      <c r="BM8">
        <f ca="1">IF(AND(ISNUMBER($BM$44),$B$38=1),$BM$44,HLOOKUP(INDIRECT(ADDRESS(2,COLUMN())),OFFSET($BN$2,0,0,ROW()-1,60),ROW()-1,FALSE))</f>
        <v>884.19200000000001</v>
      </c>
      <c r="BN8">
        <f>2520.633165</f>
        <v>2520.6331650000002</v>
      </c>
      <c r="BO8">
        <f>2371.723</f>
        <v>2371.723</v>
      </c>
      <c r="BP8">
        <f>2374.649</f>
        <v>2374.6489999999999</v>
      </c>
      <c r="BQ8">
        <f>2558.607</f>
        <v>2558.607</v>
      </c>
      <c r="BR8">
        <f>2286.914</f>
        <v>2286.9140000000002</v>
      </c>
      <c r="BS8">
        <f>2207.289</f>
        <v>2207.2890000000002</v>
      </c>
      <c r="BT8">
        <f>2339.626</f>
        <v>2339.6260000000002</v>
      </c>
      <c r="BU8">
        <f>2592.923</f>
        <v>2592.9229999999998</v>
      </c>
      <c r="BV8">
        <f>2445.476</f>
        <v>2445.4760000000001</v>
      </c>
      <c r="BW8">
        <f>2066.876</f>
        <v>2066.8760000000002</v>
      </c>
      <c r="BX8">
        <f>2120.67</f>
        <v>2120.67</v>
      </c>
      <c r="BY8">
        <f>2060.068</f>
        <v>2060.0680000000002</v>
      </c>
      <c r="BZ8">
        <f>2607.488</f>
        <v>2607.4879999999998</v>
      </c>
      <c r="CA8">
        <f>2239.395</f>
        <v>2239.395</v>
      </c>
      <c r="CB8">
        <f>3083.492</f>
        <v>3083.4920000000002</v>
      </c>
      <c r="CC8">
        <f>1966.863</f>
        <v>1966.8630000000001</v>
      </c>
      <c r="CD8">
        <f>1799.495</f>
        <v>1799.4949999999999</v>
      </c>
      <c r="CE8">
        <f>1711.047</f>
        <v>1711.047</v>
      </c>
      <c r="CF8">
        <f>1646.935</f>
        <v>1646.9349999999999</v>
      </c>
      <c r="CG8">
        <f>1495.913</f>
        <v>1495.913</v>
      </c>
      <c r="CH8">
        <f>2111.616</f>
        <v>2111.616</v>
      </c>
      <c r="CI8">
        <f>1396.18</f>
        <v>1396.18</v>
      </c>
      <c r="CJ8">
        <f>1355.588</f>
        <v>1355.588</v>
      </c>
      <c r="CK8">
        <f>1250.9</f>
        <v>1250.9000000000001</v>
      </c>
      <c r="CL8">
        <f>1378.939</f>
        <v>1378.9390000000001</v>
      </c>
      <c r="CM8">
        <f>1130.201</f>
        <v>1130.201</v>
      </c>
      <c r="CN8">
        <f>1139.095</f>
        <v>1139.095</v>
      </c>
      <c r="CO8">
        <f>1062.484</f>
        <v>1062.4839999999999</v>
      </c>
      <c r="CP8">
        <f>986.5875</f>
        <v>986.58749999999998</v>
      </c>
      <c r="CQ8">
        <f>859.075</f>
        <v>859.07500000000005</v>
      </c>
      <c r="CR8">
        <f>853.036</f>
        <v>853.03599999999994</v>
      </c>
      <c r="CS8">
        <f>748.401</f>
        <v>748.40099999999995</v>
      </c>
      <c r="CT8">
        <f>549.62</f>
        <v>549.62</v>
      </c>
      <c r="CU8">
        <f>524.636</f>
        <v>524.63599999999997</v>
      </c>
      <c r="CV8">
        <f>628.286</f>
        <v>628.28599999999994</v>
      </c>
      <c r="CW8">
        <f>768.061</f>
        <v>768.06100000000004</v>
      </c>
      <c r="CX8">
        <f>1148.5415</f>
        <v>1148.5415</v>
      </c>
      <c r="CY8">
        <f>1267.027</f>
        <v>1267.027</v>
      </c>
      <c r="CZ8">
        <f>1269.084</f>
        <v>1269.0840000000001</v>
      </c>
      <c r="DA8">
        <f>1283.221</f>
        <v>1283.221</v>
      </c>
      <c r="DB8">
        <f>1211.042</f>
        <v>1211.0419999999999</v>
      </c>
      <c r="DC8">
        <f>1192.701</f>
        <v>1192.701</v>
      </c>
      <c r="DD8">
        <f>1224.372</f>
        <v>1224.3720000000001</v>
      </c>
      <c r="DE8">
        <f>1165.173</f>
        <v>1165.173</v>
      </c>
      <c r="DF8">
        <f>1163.765</f>
        <v>1163.7650000000001</v>
      </c>
      <c r="DG8">
        <f>1138.632</f>
        <v>1138.6320000000001</v>
      </c>
      <c r="DH8">
        <f>1323.406</f>
        <v>1323.4059999999999</v>
      </c>
      <c r="DI8">
        <f>1207.626</f>
        <v>1207.626</v>
      </c>
      <c r="DJ8">
        <f>1170.0425</f>
        <v>1170.0425</v>
      </c>
      <c r="DK8">
        <f>1469.374</f>
        <v>1469.374</v>
      </c>
      <c r="DL8">
        <f>1148.205</f>
        <v>1148.2049999999999</v>
      </c>
      <c r="DM8">
        <f>1116.56</f>
        <v>1116.56</v>
      </c>
      <c r="DN8">
        <f>1162.812</f>
        <v>1162.8119999999999</v>
      </c>
      <c r="DO8">
        <f>1050.623</f>
        <v>1050.623</v>
      </c>
      <c r="DP8">
        <f>1084.345</f>
        <v>1084.345</v>
      </c>
      <c r="DQ8">
        <f>1019.524</f>
        <v>1019.524</v>
      </c>
      <c r="DR8">
        <f>996.401</f>
        <v>996.40099999999995</v>
      </c>
      <c r="DS8">
        <f>923.174</f>
        <v>923.17399999999998</v>
      </c>
      <c r="DT8">
        <f>922.862</f>
        <v>922.86199999999997</v>
      </c>
      <c r="DU8">
        <f>884.192</f>
        <v>884.19200000000001</v>
      </c>
    </row>
    <row r="9" spans="1:125">
      <c r="A9" t="str">
        <f>"购物中心房地产投资信托数据"</f>
        <v>购物中心房地产投资信托数据</v>
      </c>
      <c r="B9" t="str">
        <f>""</f>
        <v/>
      </c>
      <c r="E9" t="str">
        <f>"静态"</f>
        <v>静态</v>
      </c>
      <c r="F9" t="str">
        <f t="shared" ref="F9:AK9" ca="1" si="2">HLOOKUP(INDIRECT(ADDRESS(2,COLUMN())),OFFSET($BN$2,0,0,ROW()-1,60),ROW()-1,FALSE)</f>
        <v/>
      </c>
      <c r="G9" t="str">
        <f t="shared" ca="1" si="2"/>
        <v/>
      </c>
      <c r="H9" t="str">
        <f t="shared" ca="1" si="2"/>
        <v/>
      </c>
      <c r="I9" t="str">
        <f t="shared" ca="1" si="2"/>
        <v/>
      </c>
      <c r="J9" t="str">
        <f t="shared" ca="1" si="2"/>
        <v/>
      </c>
      <c r="K9" t="str">
        <f t="shared" ca="1" si="2"/>
        <v/>
      </c>
      <c r="L9" t="str">
        <f t="shared" ca="1" si="2"/>
        <v/>
      </c>
      <c r="M9" t="str">
        <f t="shared" ca="1" si="2"/>
        <v/>
      </c>
      <c r="N9" t="str">
        <f t="shared" ca="1" si="2"/>
        <v/>
      </c>
      <c r="O9" t="str">
        <f t="shared" ca="1" si="2"/>
        <v/>
      </c>
      <c r="P9" t="str">
        <f t="shared" ca="1" si="2"/>
        <v/>
      </c>
      <c r="Q9" t="str">
        <f t="shared" ca="1" si="2"/>
        <v/>
      </c>
      <c r="R9" t="str">
        <f t="shared" ca="1" si="2"/>
        <v/>
      </c>
      <c r="S9" t="str">
        <f t="shared" ca="1" si="2"/>
        <v/>
      </c>
      <c r="T9" t="str">
        <f t="shared" ca="1" si="2"/>
        <v/>
      </c>
      <c r="U9" t="str">
        <f t="shared" ca="1" si="2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2"/>
        <v/>
      </c>
      <c r="AG9" t="str">
        <f t="shared" ca="1" si="2"/>
        <v/>
      </c>
      <c r="AH9" t="str">
        <f t="shared" ca="1" si="2"/>
        <v/>
      </c>
      <c r="AI9" t="str">
        <f t="shared" ca="1" si="2"/>
        <v/>
      </c>
      <c r="AJ9" t="str">
        <f t="shared" ca="1" si="2"/>
        <v/>
      </c>
      <c r="AK9" t="str">
        <f t="shared" ca="1" si="2"/>
        <v/>
      </c>
      <c r="AL9" t="str">
        <f t="shared" ref="AL9:BM9" ca="1" si="3">HLOOKUP(INDIRECT(ADDRESS(2,COLUMN())),OFFSET($BN$2,0,0,ROW()-1,60),ROW()-1,FALSE)</f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3"/>
        <v/>
      </c>
      <c r="AQ9" t="str">
        <f t="shared" ca="1" si="3"/>
        <v/>
      </c>
      <c r="AR9" t="str">
        <f t="shared" ca="1" si="3"/>
        <v/>
      </c>
      <c r="AS9" t="str">
        <f t="shared" ca="1" si="3"/>
        <v/>
      </c>
      <c r="AT9" t="str">
        <f t="shared" ca="1" si="3"/>
        <v/>
      </c>
      <c r="AU9" t="str">
        <f t="shared" ca="1" si="3"/>
        <v/>
      </c>
      <c r="AV9" t="str">
        <f t="shared" ca="1" si="3"/>
        <v/>
      </c>
      <c r="AW9" t="str">
        <f t="shared" ca="1" si="3"/>
        <v/>
      </c>
      <c r="AX9" t="str">
        <f t="shared" ca="1" si="3"/>
        <v/>
      </c>
      <c r="AY9" t="str">
        <f t="shared" ca="1" si="3"/>
        <v/>
      </c>
      <c r="AZ9" t="str">
        <f t="shared" ca="1" si="3"/>
        <v/>
      </c>
      <c r="BA9" t="str">
        <f t="shared" ca="1" si="3"/>
        <v/>
      </c>
      <c r="BB9" t="str">
        <f t="shared" ca="1" si="3"/>
        <v/>
      </c>
      <c r="BC9" t="str">
        <f t="shared" ca="1" si="3"/>
        <v/>
      </c>
      <c r="BD9" t="str">
        <f t="shared" ca="1" si="3"/>
        <v/>
      </c>
      <c r="BE9" t="str">
        <f t="shared" ca="1" si="3"/>
        <v/>
      </c>
      <c r="BF9" t="str">
        <f t="shared" ca="1" si="3"/>
        <v/>
      </c>
      <c r="BG9" t="str">
        <f t="shared" ca="1" si="3"/>
        <v/>
      </c>
      <c r="BH9" t="str">
        <f t="shared" ca="1" si="3"/>
        <v/>
      </c>
      <c r="BI9" t="str">
        <f t="shared" ca="1" si="3"/>
        <v/>
      </c>
      <c r="BJ9" t="str">
        <f t="shared" ca="1" si="3"/>
        <v/>
      </c>
      <c r="BK9" t="str">
        <f t="shared" ca="1" si="3"/>
        <v/>
      </c>
      <c r="BL9" t="str">
        <f t="shared" ca="1" si="3"/>
        <v/>
      </c>
      <c r="BM9" t="str">
        <f t="shared" ca="1" si="3"/>
        <v/>
      </c>
      <c r="BN9" t="str">
        <f>""</f>
        <v/>
      </c>
      <c r="BO9" t="str">
        <f>""</f>
        <v/>
      </c>
      <c r="BP9" t="str">
        <f>""</f>
        <v/>
      </c>
      <c r="BQ9" t="str">
        <f>""</f>
        <v/>
      </c>
      <c r="BR9" t="str">
        <f>""</f>
        <v/>
      </c>
      <c r="BS9" t="str">
        <f>""</f>
        <v/>
      </c>
      <c r="BT9" t="str">
        <f>""</f>
        <v/>
      </c>
      <c r="BU9" t="str">
        <f>""</f>
        <v/>
      </c>
      <c r="BV9" t="str">
        <f>""</f>
        <v/>
      </c>
      <c r="BW9" t="str">
        <f>""</f>
        <v/>
      </c>
      <c r="BX9" t="str">
        <f>""</f>
        <v/>
      </c>
      <c r="BY9" t="str">
        <f>""</f>
        <v/>
      </c>
      <c r="BZ9" t="str">
        <f>""</f>
        <v/>
      </c>
      <c r="CA9" t="str">
        <f>""</f>
        <v/>
      </c>
      <c r="CB9" t="str">
        <f>""</f>
        <v/>
      </c>
      <c r="CC9" t="str">
        <f>""</f>
        <v/>
      </c>
      <c r="CD9" t="str">
        <f>""</f>
        <v/>
      </c>
      <c r="CE9" t="str">
        <f>""</f>
        <v/>
      </c>
      <c r="CF9" t="str">
        <f>""</f>
        <v/>
      </c>
      <c r="CG9" t="str">
        <f>""</f>
        <v/>
      </c>
      <c r="CH9" t="str">
        <f>""</f>
        <v/>
      </c>
      <c r="CI9" t="str">
        <f>""</f>
        <v/>
      </c>
      <c r="CJ9" t="str">
        <f>""</f>
        <v/>
      </c>
      <c r="CK9" t="str">
        <f>""</f>
        <v/>
      </c>
      <c r="CL9" t="str">
        <f>""</f>
        <v/>
      </c>
      <c r="CM9" t="str">
        <f>""</f>
        <v/>
      </c>
      <c r="CN9" t="str">
        <f>""</f>
        <v/>
      </c>
      <c r="CO9" t="str">
        <f>""</f>
        <v/>
      </c>
      <c r="CP9" t="str">
        <f>""</f>
        <v/>
      </c>
      <c r="CQ9" t="str">
        <f>""</f>
        <v/>
      </c>
      <c r="CR9" t="str">
        <f>""</f>
        <v/>
      </c>
      <c r="CS9" t="str">
        <f>""</f>
        <v/>
      </c>
      <c r="CT9" t="str">
        <f>""</f>
        <v/>
      </c>
      <c r="CU9" t="str">
        <f>""</f>
        <v/>
      </c>
      <c r="CV9" t="str">
        <f>""</f>
        <v/>
      </c>
      <c r="CW9" t="str">
        <f>""</f>
        <v/>
      </c>
      <c r="CX9" t="str">
        <f>""</f>
        <v/>
      </c>
      <c r="CY9" t="str">
        <f>""</f>
        <v/>
      </c>
      <c r="CZ9" t="str">
        <f>""</f>
        <v/>
      </c>
      <c r="DA9" t="str">
        <f>""</f>
        <v/>
      </c>
      <c r="DB9" t="str">
        <f>""</f>
        <v/>
      </c>
      <c r="DC9" t="str">
        <f>""</f>
        <v/>
      </c>
      <c r="DD9" t="str">
        <f>""</f>
        <v/>
      </c>
      <c r="DE9" t="str">
        <f>""</f>
        <v/>
      </c>
      <c r="DF9" t="str">
        <f>""</f>
        <v/>
      </c>
      <c r="DG9" t="str">
        <f>""</f>
        <v/>
      </c>
      <c r="DH9" t="str">
        <f>""</f>
        <v/>
      </c>
      <c r="DI9" t="str">
        <f>""</f>
        <v/>
      </c>
      <c r="DJ9" t="str">
        <f>""</f>
        <v/>
      </c>
      <c r="DK9" t="str">
        <f>""</f>
        <v/>
      </c>
      <c r="DL9" t="str">
        <f>""</f>
        <v/>
      </c>
      <c r="DM9" t="str">
        <f>""</f>
        <v/>
      </c>
      <c r="DN9" t="str">
        <f>""</f>
        <v/>
      </c>
      <c r="DO9" t="str">
        <f>""</f>
        <v/>
      </c>
      <c r="DP9" t="str">
        <f>""</f>
        <v/>
      </c>
      <c r="DQ9" t="str">
        <f>""</f>
        <v/>
      </c>
      <c r="DR9" t="str">
        <f>""</f>
        <v/>
      </c>
      <c r="DS9" t="str">
        <f>""</f>
        <v/>
      </c>
      <c r="DT9" t="str">
        <f>""</f>
        <v/>
      </c>
      <c r="DU9" t="str">
        <f>""</f>
        <v/>
      </c>
    </row>
    <row r="10" spans="1:125">
      <c r="A10" t="str">
        <f>"    购物中心房地产投资信托总营运现金流"</f>
        <v xml:space="preserve">    购物中心房地产投资信托总营运现金流</v>
      </c>
      <c r="B10" t="str">
        <f>"RECFFOSC Index"</f>
        <v>RECFFOSC Index</v>
      </c>
      <c r="C10" t="str">
        <f>"PR005"</f>
        <v>PR005</v>
      </c>
      <c r="D10" t="str">
        <f>"PX_LAST"</f>
        <v>PX_LAST</v>
      </c>
      <c r="E10" t="str">
        <f>"动态"</f>
        <v>动态</v>
      </c>
      <c r="F10">
        <f ca="1">IF(AND(ISNUMBER($F$45),$B$38=1),$F$45,HLOOKUP(INDIRECT(ADDRESS(2,COLUMN())),OFFSET($BN$2,0,0,ROW()-1,60),ROW()-1,FALSE))</f>
        <v>1062.672499</v>
      </c>
      <c r="G10">
        <f ca="1">IF(AND(ISNUMBER($G$45),$B$38=1),$G$45,HLOOKUP(INDIRECT(ADDRESS(2,COLUMN())),OFFSET($BN$2,0,0,ROW()-1,60),ROW()-1,FALSE))</f>
        <v>1026.912</v>
      </c>
      <c r="H10">
        <f ca="1">IF(AND(ISNUMBER($H$45),$B$38=1),$H$45,HLOOKUP(INDIRECT(ADDRESS(2,COLUMN())),OFFSET($BN$2,0,0,ROW()-1,60),ROW()-1,FALSE))</f>
        <v>1117.1179999999999</v>
      </c>
      <c r="I10">
        <f ca="1">IF(AND(ISNUMBER($I$45),$B$38=1),$I$45,HLOOKUP(INDIRECT(ADDRESS(2,COLUMN())),OFFSET($BN$2,0,0,ROW()-1,60),ROW()-1,FALSE))</f>
        <v>884.35699999999997</v>
      </c>
      <c r="J10">
        <f ca="1">IF(AND(ISNUMBER($J$45),$B$38=1),$J$45,HLOOKUP(INDIRECT(ADDRESS(2,COLUMN())),OFFSET($BN$2,0,0,ROW()-1,60),ROW()-1,FALSE))</f>
        <v>1082.1489999999999</v>
      </c>
      <c r="K10">
        <f ca="1">IF(AND(ISNUMBER($K$45),$B$38=1),$K$45,HLOOKUP(INDIRECT(ADDRESS(2,COLUMN())),OFFSET($BN$2,0,0,ROW()-1,60),ROW()-1,FALSE))</f>
        <v>934.73299999999995</v>
      </c>
      <c r="L10">
        <f ca="1">IF(AND(ISNUMBER($L$45),$B$38=1),$L$45,HLOOKUP(INDIRECT(ADDRESS(2,COLUMN())),OFFSET($BN$2,0,0,ROW()-1,60),ROW()-1,FALSE))</f>
        <v>1116.4159999999999</v>
      </c>
      <c r="M10">
        <f ca="1">IF(AND(ISNUMBER($M$45),$B$38=1),$M$45,HLOOKUP(INDIRECT(ADDRESS(2,COLUMN())),OFFSET($BN$2,0,0,ROW()-1,60),ROW()-1,FALSE))</f>
        <v>1071.7249999999999</v>
      </c>
      <c r="N10">
        <f ca="1">IF(AND(ISNUMBER($N$45),$B$38=1),$N$45,HLOOKUP(INDIRECT(ADDRESS(2,COLUMN())),OFFSET($BN$2,0,0,ROW()-1,60),ROW()-1,FALSE))</f>
        <v>1034.954</v>
      </c>
      <c r="O10">
        <f ca="1">IF(AND(ISNUMBER($O$45),$B$38=1),$O$45,HLOOKUP(INDIRECT(ADDRESS(2,COLUMN())),OFFSET($BN$2,0,0,ROW()-1,60),ROW()-1,FALSE))</f>
        <v>1059.2349999999999</v>
      </c>
      <c r="P10">
        <f ca="1">IF(AND(ISNUMBER($P$45),$B$38=1),$P$45,HLOOKUP(INDIRECT(ADDRESS(2,COLUMN())),OFFSET($BN$2,0,0,ROW()-1,60),ROW()-1,FALSE))</f>
        <v>1035.883</v>
      </c>
      <c r="Q10">
        <f ca="1">IF(AND(ISNUMBER($Q$45),$B$38=1),$Q$45,HLOOKUP(INDIRECT(ADDRESS(2,COLUMN())),OFFSET($BN$2,0,0,ROW()-1,60),ROW()-1,FALSE))</f>
        <v>878.553</v>
      </c>
      <c r="R10">
        <f ca="1">IF(AND(ISNUMBER($R$45),$B$38=1),$R$45,HLOOKUP(INDIRECT(ADDRESS(2,COLUMN())),OFFSET($BN$2,0,0,ROW()-1,60),ROW()-1,FALSE))</f>
        <v>876.88599999999997</v>
      </c>
      <c r="S10">
        <f ca="1">IF(AND(ISNUMBER($S$45),$B$38=1),$S$45,HLOOKUP(INDIRECT(ADDRESS(2,COLUMN())),OFFSET($BN$2,0,0,ROW()-1,60),ROW()-1,FALSE))</f>
        <v>975.83199999999999</v>
      </c>
      <c r="T10">
        <f ca="1">IF(AND(ISNUMBER($T$45),$B$38=1),$T$45,HLOOKUP(INDIRECT(ADDRESS(2,COLUMN())),OFFSET($BN$2,0,0,ROW()-1,60),ROW()-1,FALSE))</f>
        <v>913.35199999999998</v>
      </c>
      <c r="U10">
        <f ca="1">IF(AND(ISNUMBER($U$45),$B$38=1),$U$45,HLOOKUP(INDIRECT(ADDRESS(2,COLUMN())),OFFSET($BN$2,0,0,ROW()-1,60),ROW()-1,FALSE))</f>
        <v>898.83500000000004</v>
      </c>
      <c r="V10">
        <f ca="1">IF(AND(ISNUMBER($V$45),$B$38=1),$V$45,HLOOKUP(INDIRECT(ADDRESS(2,COLUMN())),OFFSET($BN$2,0,0,ROW()-1,60),ROW()-1,FALSE))</f>
        <v>871.54200000000003</v>
      </c>
      <c r="W10">
        <f ca="1">IF(AND(ISNUMBER($W$45),$B$38=1),$W$45,HLOOKUP(INDIRECT(ADDRESS(2,COLUMN())),OFFSET($BN$2,0,0,ROW()-1,60),ROW()-1,FALSE))</f>
        <v>779.899</v>
      </c>
      <c r="X10">
        <f ca="1">IF(AND(ISNUMBER($X$45),$B$38=1),$X$45,HLOOKUP(INDIRECT(ADDRESS(2,COLUMN())),OFFSET($BN$2,0,0,ROW()-1,60),ROW()-1,FALSE))</f>
        <v>729.04600000000005</v>
      </c>
      <c r="Y10">
        <f ca="1">IF(AND(ISNUMBER($Y$45),$B$38=1),$Y$45,HLOOKUP(INDIRECT(ADDRESS(2,COLUMN())),OFFSET($BN$2,0,0,ROW()-1,60),ROW()-1,FALSE))</f>
        <v>684.00199999999995</v>
      </c>
      <c r="Z10">
        <f ca="1">IF(AND(ISNUMBER($Z$45),$B$38=1),$Z$45,HLOOKUP(INDIRECT(ADDRESS(2,COLUMN())),OFFSET($BN$2,0,0,ROW()-1,60),ROW()-1,FALSE))</f>
        <v>617.50300000000004</v>
      </c>
      <c r="AA10">
        <f ca="1">IF(AND(ISNUMBER($AA$45),$B$38=1),$AA$45,HLOOKUP(INDIRECT(ADDRESS(2,COLUMN())),OFFSET($BN$2,0,0,ROW()-1,60),ROW()-1,FALSE))</f>
        <v>681.255</v>
      </c>
      <c r="AB10">
        <f ca="1">IF(AND(ISNUMBER($AB$45),$B$38=1),$AB$45,HLOOKUP(INDIRECT(ADDRESS(2,COLUMN())),OFFSET($BN$2,0,0,ROW()-1,60),ROW()-1,FALSE))</f>
        <v>681.89099999999996</v>
      </c>
      <c r="AC10">
        <f ca="1">IF(AND(ISNUMBER($AC$45),$B$38=1),$AC$45,HLOOKUP(INDIRECT(ADDRESS(2,COLUMN())),OFFSET($BN$2,0,0,ROW()-1,60),ROW()-1,FALSE))</f>
        <v>547.85199999999998</v>
      </c>
      <c r="AD10">
        <f ca="1">IF(AND(ISNUMBER($AD$45),$B$38=1),$AD$45,HLOOKUP(INDIRECT(ADDRESS(2,COLUMN())),OFFSET($BN$2,0,0,ROW()-1,60),ROW()-1,FALSE))</f>
        <v>546.03800000000001</v>
      </c>
      <c r="AE10">
        <f ca="1">IF(AND(ISNUMBER($AE$45),$B$38=1),$AE$45,HLOOKUP(INDIRECT(ADDRESS(2,COLUMN())),OFFSET($BN$2,0,0,ROW()-1,60),ROW()-1,FALSE))</f>
        <v>500.77699999999999</v>
      </c>
      <c r="AF10">
        <f ca="1">IF(AND(ISNUMBER($AF$45),$B$38=1),$AF$45,HLOOKUP(INDIRECT(ADDRESS(2,COLUMN())),OFFSET($BN$2,0,0,ROW()-1,60),ROW()-1,FALSE))</f>
        <v>492.96499999999997</v>
      </c>
      <c r="AG10">
        <f ca="1">IF(AND(ISNUMBER($AG$45),$B$38=1),$AG$45,HLOOKUP(INDIRECT(ADDRESS(2,COLUMN())),OFFSET($BN$2,0,0,ROW()-1,60),ROW()-1,FALSE))</f>
        <v>591.25400000000002</v>
      </c>
      <c r="AH10">
        <f ca="1">IF(AND(ISNUMBER($AH$45),$B$38=1),$AH$45,HLOOKUP(INDIRECT(ADDRESS(2,COLUMN())),OFFSET($BN$2,0,0,ROW()-1,60),ROW()-1,FALSE))</f>
        <v>417.97899999999998</v>
      </c>
      <c r="AI10">
        <f ca="1">IF(AND(ISNUMBER($AI$45),$B$38=1),$AI$45,HLOOKUP(INDIRECT(ADDRESS(2,COLUMN())),OFFSET($BN$2,0,0,ROW()-1,60),ROW()-1,FALSE))</f>
        <v>444.71499999999997</v>
      </c>
      <c r="AJ10">
        <f ca="1">IF(AND(ISNUMBER($AJ$45),$B$38=1),$AJ$45,HLOOKUP(INDIRECT(ADDRESS(2,COLUMN())),OFFSET($BN$2,0,0,ROW()-1,60),ROW()-1,FALSE))</f>
        <v>379.62900000000002</v>
      </c>
      <c r="AK10">
        <f ca="1">IF(AND(ISNUMBER($AK$45),$B$38=1),$AK$45,HLOOKUP(INDIRECT(ADDRESS(2,COLUMN())),OFFSET($BN$2,0,0,ROW()-1,60),ROW()-1,FALSE))</f>
        <v>464.02199999999999</v>
      </c>
      <c r="AL10">
        <f ca="1">IF(AND(ISNUMBER($AL$45),$B$38=1),$AL$45,HLOOKUP(INDIRECT(ADDRESS(2,COLUMN())),OFFSET($BN$2,0,0,ROW()-1,60),ROW()-1,FALSE))</f>
        <v>416.464</v>
      </c>
      <c r="AM10">
        <f ca="1">IF(AND(ISNUMBER($AM$45),$B$38=1),$AM$45,HLOOKUP(INDIRECT(ADDRESS(2,COLUMN())),OFFSET($BN$2,0,0,ROW()-1,60),ROW()-1,FALSE))</f>
        <v>271.37400000000002</v>
      </c>
      <c r="AN10">
        <f ca="1">IF(AND(ISNUMBER($AN$45),$B$38=1),$AN$45,HLOOKUP(INDIRECT(ADDRESS(2,COLUMN())),OFFSET($BN$2,0,0,ROW()-1,60),ROW()-1,FALSE))</f>
        <v>93.716999999999999</v>
      </c>
      <c r="AO10">
        <f ca="1">IF(AND(ISNUMBER($AO$45),$B$38=1),$AO$45,HLOOKUP(INDIRECT(ADDRESS(2,COLUMN())),OFFSET($BN$2,0,0,ROW()-1,60),ROW()-1,FALSE))</f>
        <v>647.35299999999995</v>
      </c>
      <c r="AP10">
        <f ca="1">IF(AND(ISNUMBER($AP$45),$B$38=1),$AP$45,HLOOKUP(INDIRECT(ADDRESS(2,COLUMN())),OFFSET($BN$2,0,0,ROW()-1,60),ROW()-1,FALSE))</f>
        <v>206.41399999999999</v>
      </c>
      <c r="AQ10">
        <f ca="1">IF(AND(ISNUMBER($AQ$45),$B$38=1),$AQ$45,HLOOKUP(INDIRECT(ADDRESS(2,COLUMN())),OFFSET($BN$2,0,0,ROW()-1,60),ROW()-1,FALSE))</f>
        <v>589.53099999999995</v>
      </c>
      <c r="AR10">
        <f ca="1">IF(AND(ISNUMBER($AR$45),$B$38=1),$AR$45,HLOOKUP(INDIRECT(ADDRESS(2,COLUMN())),OFFSET($BN$2,0,0,ROW()-1,60),ROW()-1,FALSE))</f>
        <v>602.98599999999999</v>
      </c>
      <c r="AS10">
        <f ca="1">IF(AND(ISNUMBER($AS$45),$B$38=1),$AS$45,HLOOKUP(INDIRECT(ADDRESS(2,COLUMN())),OFFSET($BN$2,0,0,ROW()-1,60),ROW()-1,FALSE))</f>
        <v>607.05600000000004</v>
      </c>
      <c r="AT10">
        <f ca="1">IF(AND(ISNUMBER($AT$45),$B$38=1),$AT$45,HLOOKUP(INDIRECT(ADDRESS(2,COLUMN())),OFFSET($BN$2,0,0,ROW()-1,60),ROW()-1,FALSE))</f>
        <v>585.64449999999999</v>
      </c>
      <c r="AU10">
        <f ca="1">IF(AND(ISNUMBER($AU$45),$B$38=1),$AU$45,HLOOKUP(INDIRECT(ADDRESS(2,COLUMN())),OFFSET($BN$2,0,0,ROW()-1,60),ROW()-1,FALSE))</f>
        <v>590.5</v>
      </c>
      <c r="AV10">
        <f ca="1">IF(AND(ISNUMBER($AV$45),$B$38=1),$AV$45,HLOOKUP(INDIRECT(ADDRESS(2,COLUMN())),OFFSET($BN$2,0,0,ROW()-1,60),ROW()-1,FALSE))</f>
        <v>688.27</v>
      </c>
      <c r="AW10">
        <f ca="1">IF(AND(ISNUMBER($AW$45),$B$38=1),$AW$45,HLOOKUP(INDIRECT(ADDRESS(2,COLUMN())),OFFSET($BN$2,0,0,ROW()-1,60),ROW()-1,FALSE))</f>
        <v>665.64499999999998</v>
      </c>
      <c r="AX10">
        <f ca="1">IF(AND(ISNUMBER($AX$45),$B$38=1),$AX$45,HLOOKUP(INDIRECT(ADDRESS(2,COLUMN())),OFFSET($BN$2,0,0,ROW()-1,60),ROW()-1,FALSE))</f>
        <v>628.13199999999995</v>
      </c>
      <c r="AY10">
        <f ca="1">IF(AND(ISNUMBER($AY$45),$B$38=1),$AY$45,HLOOKUP(INDIRECT(ADDRESS(2,COLUMN())),OFFSET($BN$2,0,0,ROW()-1,60),ROW()-1,FALSE))</f>
        <v>614.16899999999998</v>
      </c>
      <c r="AZ10">
        <f ca="1">IF(AND(ISNUMBER($AZ$45),$B$38=1),$AZ$45,HLOOKUP(INDIRECT(ADDRESS(2,COLUMN())),OFFSET($BN$2,0,0,ROW()-1,60),ROW()-1,FALSE))</f>
        <v>648.78899999999999</v>
      </c>
      <c r="BA10">
        <f ca="1">IF(AND(ISNUMBER($BA$45),$B$38=1),$BA$45,HLOOKUP(INDIRECT(ADDRESS(2,COLUMN())),OFFSET($BN$2,0,0,ROW()-1,60),ROW()-1,FALSE))</f>
        <v>663.03599999999994</v>
      </c>
      <c r="BB10">
        <f ca="1">IF(AND(ISNUMBER($BB$45),$B$38=1),$BB$45,HLOOKUP(INDIRECT(ADDRESS(2,COLUMN())),OFFSET($BN$2,0,0,ROW()-1,60),ROW()-1,FALSE))</f>
        <v>639.56100000000004</v>
      </c>
      <c r="BC10">
        <f ca="1">IF(AND(ISNUMBER($BC$45),$B$38=1),$BC$45,HLOOKUP(INDIRECT(ADDRESS(2,COLUMN())),OFFSET($BN$2,0,0,ROW()-1,60),ROW()-1,FALSE))</f>
        <v>609.19000000000005</v>
      </c>
      <c r="BD10">
        <f ca="1">IF(AND(ISNUMBER($BD$45),$B$38=1),$BD$45,HLOOKUP(INDIRECT(ADDRESS(2,COLUMN())),OFFSET($BN$2,0,0,ROW()-1,60),ROW()-1,FALSE))</f>
        <v>641.35799999999995</v>
      </c>
      <c r="BE10">
        <f ca="1">IF(AND(ISNUMBER($BE$45),$B$38=1),$BE$45,HLOOKUP(INDIRECT(ADDRESS(2,COLUMN())),OFFSET($BN$2,0,0,ROW()-1,60),ROW()-1,FALSE))</f>
        <v>636.79100000000005</v>
      </c>
      <c r="BF10">
        <f ca="1">IF(AND(ISNUMBER($BF$45),$B$38=1),$BF$45,HLOOKUP(INDIRECT(ADDRESS(2,COLUMN())),OFFSET($BN$2,0,0,ROW()-1,60),ROW()-1,FALSE))</f>
        <v>602.41300000000001</v>
      </c>
      <c r="BG10">
        <f ca="1">IF(AND(ISNUMBER($BG$45),$B$38=1),$BG$45,HLOOKUP(INDIRECT(ADDRESS(2,COLUMN())),OFFSET($BN$2,0,0,ROW()-1,60),ROW()-1,FALSE))</f>
        <v>580.24699999999996</v>
      </c>
      <c r="BH10">
        <f ca="1">IF(AND(ISNUMBER($BH$45),$B$38=1),$BH$45,HLOOKUP(INDIRECT(ADDRESS(2,COLUMN())),OFFSET($BN$2,0,0,ROW()-1,60),ROW()-1,FALSE))</f>
        <v>614.74300000000005</v>
      </c>
      <c r="BI10">
        <f ca="1">IF(AND(ISNUMBER($BI$45),$B$38=1),$BI$45,HLOOKUP(INDIRECT(ADDRESS(2,COLUMN())),OFFSET($BN$2,0,0,ROW()-1,60),ROW()-1,FALSE))</f>
        <v>559.971</v>
      </c>
      <c r="BJ10">
        <f ca="1">IF(AND(ISNUMBER($BJ$45),$B$38=1),$BJ$45,HLOOKUP(INDIRECT(ADDRESS(2,COLUMN())),OFFSET($BN$2,0,0,ROW()-1,60),ROW()-1,FALSE))</f>
        <v>460.4135</v>
      </c>
      <c r="BK10">
        <f ca="1">IF(AND(ISNUMBER($BK$45),$B$38=1),$BK$45,HLOOKUP(INDIRECT(ADDRESS(2,COLUMN())),OFFSET($BN$2,0,0,ROW()-1,60),ROW()-1,FALSE))</f>
        <v>534.37400000000002</v>
      </c>
      <c r="BL10">
        <f ca="1">IF(AND(ISNUMBER($BL$45),$B$38=1),$BL$45,HLOOKUP(INDIRECT(ADDRESS(2,COLUMN())),OFFSET($BN$2,0,0,ROW()-1,60),ROW()-1,FALSE))</f>
        <v>501.334</v>
      </c>
      <c r="BM10">
        <f ca="1">IF(AND(ISNUMBER($BM$45),$B$38=1),$BM$45,HLOOKUP(INDIRECT(ADDRESS(2,COLUMN())),OFFSET($BN$2,0,0,ROW()-1,60),ROW()-1,FALSE))</f>
        <v>503.27300000000002</v>
      </c>
      <c r="BN10">
        <f>1062.672499</f>
        <v>1062.672499</v>
      </c>
      <c r="BO10">
        <f>1026.912</f>
        <v>1026.912</v>
      </c>
      <c r="BP10">
        <f>1117.118</f>
        <v>1117.1179999999999</v>
      </c>
      <c r="BQ10">
        <f>884.357</f>
        <v>884.35699999999997</v>
      </c>
      <c r="BR10">
        <f>1082.149</f>
        <v>1082.1489999999999</v>
      </c>
      <c r="BS10">
        <f>934.733</f>
        <v>934.73299999999995</v>
      </c>
      <c r="BT10">
        <f>1116.416</f>
        <v>1116.4159999999999</v>
      </c>
      <c r="BU10">
        <f>1071.725</f>
        <v>1071.7249999999999</v>
      </c>
      <c r="BV10">
        <f>1034.954</f>
        <v>1034.954</v>
      </c>
      <c r="BW10">
        <f>1059.235</f>
        <v>1059.2349999999999</v>
      </c>
      <c r="BX10">
        <f>1035.883</f>
        <v>1035.883</v>
      </c>
      <c r="BY10">
        <f>878.553</f>
        <v>878.553</v>
      </c>
      <c r="BZ10">
        <f>876.886</f>
        <v>876.88599999999997</v>
      </c>
      <c r="CA10">
        <f>975.832</f>
        <v>975.83199999999999</v>
      </c>
      <c r="CB10">
        <f>913.352</f>
        <v>913.35199999999998</v>
      </c>
      <c r="CC10">
        <f>898.835</f>
        <v>898.83500000000004</v>
      </c>
      <c r="CD10">
        <f>871.542</f>
        <v>871.54200000000003</v>
      </c>
      <c r="CE10">
        <f>779.899</f>
        <v>779.899</v>
      </c>
      <c r="CF10">
        <f>729.046</f>
        <v>729.04600000000005</v>
      </c>
      <c r="CG10">
        <f>684.002</f>
        <v>684.00199999999995</v>
      </c>
      <c r="CH10">
        <f>617.503</f>
        <v>617.50300000000004</v>
      </c>
      <c r="CI10">
        <f>681.255</f>
        <v>681.255</v>
      </c>
      <c r="CJ10">
        <f>681.891</f>
        <v>681.89099999999996</v>
      </c>
      <c r="CK10">
        <f>547.852</f>
        <v>547.85199999999998</v>
      </c>
      <c r="CL10">
        <f>546.038</f>
        <v>546.03800000000001</v>
      </c>
      <c r="CM10">
        <f>500.777</f>
        <v>500.77699999999999</v>
      </c>
      <c r="CN10">
        <f>492.965</f>
        <v>492.96499999999997</v>
      </c>
      <c r="CO10">
        <f>591.254</f>
        <v>591.25400000000002</v>
      </c>
      <c r="CP10">
        <f>417.979</f>
        <v>417.97899999999998</v>
      </c>
      <c r="CQ10">
        <f>444.715</f>
        <v>444.71499999999997</v>
      </c>
      <c r="CR10">
        <f>379.629</f>
        <v>379.62900000000002</v>
      </c>
      <c r="CS10">
        <f>464.022</f>
        <v>464.02199999999999</v>
      </c>
      <c r="CT10">
        <f>416.464</f>
        <v>416.464</v>
      </c>
      <c r="CU10">
        <f>271.374</f>
        <v>271.37400000000002</v>
      </c>
      <c r="CV10">
        <f>93.717</f>
        <v>93.716999999999999</v>
      </c>
      <c r="CW10">
        <f>647.353</f>
        <v>647.35299999999995</v>
      </c>
      <c r="CX10">
        <f>206.414</f>
        <v>206.41399999999999</v>
      </c>
      <c r="CY10">
        <f>589.531</f>
        <v>589.53099999999995</v>
      </c>
      <c r="CZ10">
        <f>602.986</f>
        <v>602.98599999999999</v>
      </c>
      <c r="DA10">
        <f>607.056</f>
        <v>607.05600000000004</v>
      </c>
      <c r="DB10">
        <f>585.6445</f>
        <v>585.64449999999999</v>
      </c>
      <c r="DC10">
        <f>590.5</f>
        <v>590.5</v>
      </c>
      <c r="DD10">
        <f>688.27</f>
        <v>688.27</v>
      </c>
      <c r="DE10">
        <f>665.645</f>
        <v>665.64499999999998</v>
      </c>
      <c r="DF10">
        <f>628.132</f>
        <v>628.13199999999995</v>
      </c>
      <c r="DG10">
        <f>614.169</f>
        <v>614.16899999999998</v>
      </c>
      <c r="DH10">
        <f>648.789</f>
        <v>648.78899999999999</v>
      </c>
      <c r="DI10">
        <f>663.036</f>
        <v>663.03599999999994</v>
      </c>
      <c r="DJ10">
        <f>639.561</f>
        <v>639.56100000000004</v>
      </c>
      <c r="DK10">
        <f>609.19</f>
        <v>609.19000000000005</v>
      </c>
      <c r="DL10">
        <f>641.358</f>
        <v>641.35799999999995</v>
      </c>
      <c r="DM10">
        <f>636.791</f>
        <v>636.79100000000005</v>
      </c>
      <c r="DN10">
        <f>602.413</f>
        <v>602.41300000000001</v>
      </c>
      <c r="DO10">
        <f>580.247</f>
        <v>580.24699999999996</v>
      </c>
      <c r="DP10">
        <f>614.743</f>
        <v>614.74300000000005</v>
      </c>
      <c r="DQ10">
        <f>559.971</f>
        <v>559.971</v>
      </c>
      <c r="DR10">
        <f>460.4135</f>
        <v>460.4135</v>
      </c>
      <c r="DS10">
        <f>534.374</f>
        <v>534.37400000000002</v>
      </c>
      <c r="DT10">
        <f>501.334</f>
        <v>501.334</v>
      </c>
      <c r="DU10">
        <f>503.273</f>
        <v>503.27300000000002</v>
      </c>
    </row>
    <row r="11" spans="1:125">
      <c r="A11" t="str">
        <f>"    购物中心房地产投资信托总净营业利润"</f>
        <v xml:space="preserve">    购物中心房地产投资信托总净营业利润</v>
      </c>
      <c r="B11" t="str">
        <f>"RECFNOSC Index"</f>
        <v>RECFNOSC Index</v>
      </c>
      <c r="C11" t="str">
        <f>"PR005"</f>
        <v>PR005</v>
      </c>
      <c r="D11" t="str">
        <f>"PX_LAST"</f>
        <v>PX_LAST</v>
      </c>
      <c r="E11" t="str">
        <f>"动态"</f>
        <v>动态</v>
      </c>
      <c r="F11">
        <f ca="1">IF(AND(ISNUMBER($F$46),$B$38=1),$F$46,HLOOKUP(INDIRECT(ADDRESS(2,COLUMN())),OFFSET($BN$2,0,0,ROW()-1,60),ROW()-1,FALSE))</f>
        <v>1577.667751</v>
      </c>
      <c r="G11">
        <f ca="1">IF(AND(ISNUMBER($G$46),$B$38=1),$G$46,HLOOKUP(INDIRECT(ADDRESS(2,COLUMN())),OFFSET($BN$2,0,0,ROW()-1,60),ROW()-1,FALSE))</f>
        <v>1588.4970000000001</v>
      </c>
      <c r="H11">
        <f ca="1">IF(AND(ISNUMBER($H$46),$B$38=1),$H$46,HLOOKUP(INDIRECT(ADDRESS(2,COLUMN())),OFFSET($BN$2,0,0,ROW()-1,60),ROW()-1,FALSE))</f>
        <v>1583.4780000000001</v>
      </c>
      <c r="I11">
        <f ca="1">IF(AND(ISNUMBER($I$46),$B$38=1),$I$46,HLOOKUP(INDIRECT(ADDRESS(2,COLUMN())),OFFSET($BN$2,0,0,ROW()-1,60),ROW()-1,FALSE))</f>
        <v>1529.442</v>
      </c>
      <c r="J11">
        <f ca="1">IF(AND(ISNUMBER($J$46),$B$38=1),$J$46,HLOOKUP(INDIRECT(ADDRESS(2,COLUMN())),OFFSET($BN$2,0,0,ROW()-1,60),ROW()-1,FALSE))</f>
        <v>1562.5419999999999</v>
      </c>
      <c r="K11">
        <f ca="1">IF(AND(ISNUMBER($K$46),$B$38=1),$K$46,HLOOKUP(INDIRECT(ADDRESS(2,COLUMN())),OFFSET($BN$2,0,0,ROW()-1,60),ROW()-1,FALSE))</f>
        <v>1543.92</v>
      </c>
      <c r="L11">
        <f ca="1">IF(AND(ISNUMBER($L$46),$B$38=1),$L$46,HLOOKUP(INDIRECT(ADDRESS(2,COLUMN())),OFFSET($BN$2,0,0,ROW()-1,60),ROW()-1,FALSE))</f>
        <v>1587.818</v>
      </c>
      <c r="M11">
        <f ca="1">IF(AND(ISNUMBER($M$46),$B$38=1),$M$46,HLOOKUP(INDIRECT(ADDRESS(2,COLUMN())),OFFSET($BN$2,0,0,ROW()-1,60),ROW()-1,FALSE))</f>
        <v>1536.38</v>
      </c>
      <c r="N11">
        <f ca="1">IF(AND(ISNUMBER($N$46),$B$38=1),$N$46,HLOOKUP(INDIRECT(ADDRESS(2,COLUMN())),OFFSET($BN$2,0,0,ROW()-1,60),ROW()-1,FALSE))</f>
        <v>1554.068</v>
      </c>
      <c r="O11">
        <f ca="1">IF(AND(ISNUMBER($O$46),$B$38=1),$O$46,HLOOKUP(INDIRECT(ADDRESS(2,COLUMN())),OFFSET($BN$2,0,0,ROW()-1,60),ROW()-1,FALSE))</f>
        <v>1537.7660000000001</v>
      </c>
      <c r="P11">
        <f ca="1">IF(AND(ISNUMBER($P$46),$B$38=1),$P$46,HLOOKUP(INDIRECT(ADDRESS(2,COLUMN())),OFFSET($BN$2,0,0,ROW()-1,60),ROW()-1,FALSE))</f>
        <v>1550.7049999999999</v>
      </c>
      <c r="Q11">
        <f ca="1">IF(AND(ISNUMBER($Q$46),$B$38=1),$Q$46,HLOOKUP(INDIRECT(ADDRESS(2,COLUMN())),OFFSET($BN$2,0,0,ROW()-1,60),ROW()-1,FALSE))</f>
        <v>1522.6990000000001</v>
      </c>
      <c r="R11">
        <f ca="1">IF(AND(ISNUMBER($R$46),$B$38=1),$R$46,HLOOKUP(INDIRECT(ADDRESS(2,COLUMN())),OFFSET($BN$2,0,0,ROW()-1,60),ROW()-1,FALSE))</f>
        <v>1453.847</v>
      </c>
      <c r="S11">
        <f ca="1">IF(AND(ISNUMBER($S$46),$B$38=1),$S$46,HLOOKUP(INDIRECT(ADDRESS(2,COLUMN())),OFFSET($BN$2,0,0,ROW()-1,60),ROW()-1,FALSE))</f>
        <v>1472.192</v>
      </c>
      <c r="T11">
        <f ca="1">IF(AND(ISNUMBER($T$46),$B$38=1),$T$46,HLOOKUP(INDIRECT(ADDRESS(2,COLUMN())),OFFSET($BN$2,0,0,ROW()-1,60),ROW()-1,FALSE))</f>
        <v>1417.2170000000001</v>
      </c>
      <c r="U11">
        <f ca="1">IF(AND(ISNUMBER($U$46),$B$38=1),$U$46,HLOOKUP(INDIRECT(ADDRESS(2,COLUMN())),OFFSET($BN$2,0,0,ROW()-1,60),ROW()-1,FALSE))</f>
        <v>1396.4829999999999</v>
      </c>
      <c r="V11">
        <f ca="1">IF(AND(ISNUMBER($V$46),$B$38=1),$V$46,HLOOKUP(INDIRECT(ADDRESS(2,COLUMN())),OFFSET($BN$2,0,0,ROW()-1,60),ROW()-1,FALSE))</f>
        <v>1376.7539999999999</v>
      </c>
      <c r="W11">
        <f ca="1">IF(AND(ISNUMBER($W$46),$B$38=1),$W$46,HLOOKUP(INDIRECT(ADDRESS(2,COLUMN())),OFFSET($BN$2,0,0,ROW()-1,60),ROW()-1,FALSE))</f>
        <v>1094.444</v>
      </c>
      <c r="X11">
        <f ca="1">IF(AND(ISNUMBER($X$46),$B$38=1),$X$46,HLOOKUP(INDIRECT(ADDRESS(2,COLUMN())),OFFSET($BN$2,0,0,ROW()-1,60),ROW()-1,FALSE))</f>
        <v>1081.5989999999999</v>
      </c>
      <c r="Y11">
        <f ca="1">IF(AND(ISNUMBER($Y$46),$B$38=1),$Y$46,HLOOKUP(INDIRECT(ADDRESS(2,COLUMN())),OFFSET($BN$2,0,0,ROW()-1,60),ROW()-1,FALSE))</f>
        <v>1063.953</v>
      </c>
      <c r="Z11">
        <f ca="1">IF(AND(ISNUMBER($Z$46),$B$38=1),$Z$46,HLOOKUP(INDIRECT(ADDRESS(2,COLUMN())),OFFSET($BN$2,0,0,ROW()-1,60),ROW()-1,FALSE))</f>
        <v>1038.8599999999999</v>
      </c>
      <c r="AA11">
        <f ca="1">IF(AND(ISNUMBER($AA$46),$B$38=1),$AA$46,HLOOKUP(INDIRECT(ADDRESS(2,COLUMN())),OFFSET($BN$2,0,0,ROW()-1,60),ROW()-1,FALSE))</f>
        <v>1032.0050000000001</v>
      </c>
      <c r="AB11">
        <f ca="1">IF(AND(ISNUMBER($AB$46),$B$38=1),$AB$46,HLOOKUP(INDIRECT(ADDRESS(2,COLUMN())),OFFSET($BN$2,0,0,ROW()-1,60),ROW()-1,FALSE))</f>
        <v>1031.6210000000001</v>
      </c>
      <c r="AC11">
        <f ca="1">IF(AND(ISNUMBER($AC$46),$B$38=1),$AC$46,HLOOKUP(INDIRECT(ADDRESS(2,COLUMN())),OFFSET($BN$2,0,0,ROW()-1,60),ROW()-1,FALSE))</f>
        <v>900.97699999999998</v>
      </c>
      <c r="AD11">
        <f ca="1">IF(AND(ISNUMBER($AD$46),$B$38=1),$AD$46,HLOOKUP(INDIRECT(ADDRESS(2,COLUMN())),OFFSET($BN$2,0,0,ROW()-1,60),ROW()-1,FALSE))</f>
        <v>896.53499999999997</v>
      </c>
      <c r="AE11">
        <f ca="1">IF(AND(ISNUMBER($AE$46),$B$38=1),$AE$46,HLOOKUP(INDIRECT(ADDRESS(2,COLUMN())),OFFSET($BN$2,0,0,ROW()-1,60),ROW()-1,FALSE))</f>
        <v>878.33199999999999</v>
      </c>
      <c r="AF11">
        <f ca="1">IF(AND(ISNUMBER($AF$46),$B$38=1),$AF$46,HLOOKUP(INDIRECT(ADDRESS(2,COLUMN())),OFFSET($BN$2,0,0,ROW()-1,60),ROW()-1,FALSE))</f>
        <v>876.93299999999999</v>
      </c>
      <c r="AG11">
        <f ca="1">IF(AND(ISNUMBER($AG$46),$B$38=1),$AG$46,HLOOKUP(INDIRECT(ADDRESS(2,COLUMN())),OFFSET($BN$2,0,0,ROW()-1,60),ROW()-1,FALSE))</f>
        <v>868.08399999999995</v>
      </c>
      <c r="AH11">
        <f ca="1">IF(AND(ISNUMBER($AH$46),$B$38=1),$AH$46,HLOOKUP(INDIRECT(ADDRESS(2,COLUMN())),OFFSET($BN$2,0,0,ROW()-1,60),ROW()-1,FALSE))</f>
        <v>845.48900000000003</v>
      </c>
      <c r="AI11">
        <f ca="1">IF(AND(ISNUMBER($AI$46),$B$38=1),$AI$46,HLOOKUP(INDIRECT(ADDRESS(2,COLUMN())),OFFSET($BN$2,0,0,ROW()-1,60),ROW()-1,FALSE))</f>
        <v>832.10599999999999</v>
      </c>
      <c r="AJ11">
        <f ca="1">IF(AND(ISNUMBER($AJ$46),$B$38=1),$AJ$46,HLOOKUP(INDIRECT(ADDRESS(2,COLUMN())),OFFSET($BN$2,0,0,ROW()-1,60),ROW()-1,FALSE))</f>
        <v>824.755</v>
      </c>
      <c r="AK11">
        <f ca="1">IF(AND(ISNUMBER($AK$46),$B$38=1),$AK$46,HLOOKUP(INDIRECT(ADDRESS(2,COLUMN())),OFFSET($BN$2,0,0,ROW()-1,60),ROW()-1,FALSE))</f>
        <v>835.76199999999994</v>
      </c>
      <c r="AL11">
        <f ca="1">IF(AND(ISNUMBER($AL$46),$B$38=1),$AL$46,HLOOKUP(INDIRECT(ADDRESS(2,COLUMN())),OFFSET($BN$2,0,0,ROW()-1,60),ROW()-1,FALSE))</f>
        <v>832.01099999999997</v>
      </c>
      <c r="AM11">
        <f ca="1">IF(AND(ISNUMBER($AM$46),$B$38=1),$AM$46,HLOOKUP(INDIRECT(ADDRESS(2,COLUMN())),OFFSET($BN$2,0,0,ROW()-1,60),ROW()-1,FALSE))</f>
        <v>818.52099999999996</v>
      </c>
      <c r="AN11">
        <f ca="1">IF(AND(ISNUMBER($AN$46),$B$38=1),$AN$46,HLOOKUP(INDIRECT(ADDRESS(2,COLUMN())),OFFSET($BN$2,0,0,ROW()-1,60),ROW()-1,FALSE))</f>
        <v>803.43799999999999</v>
      </c>
      <c r="AO11">
        <f ca="1">IF(AND(ISNUMBER($AO$46),$B$38=1),$AO$46,HLOOKUP(INDIRECT(ADDRESS(2,COLUMN())),OFFSET($BN$2,0,0,ROW()-1,60),ROW()-1,FALSE))</f>
        <v>825.53499999999997</v>
      </c>
      <c r="AP11">
        <f ca="1">IF(AND(ISNUMBER($AP$46),$B$38=1),$AP$46,HLOOKUP(INDIRECT(ADDRESS(2,COLUMN())),OFFSET($BN$2,0,0,ROW()-1,60),ROW()-1,FALSE))</f>
        <v>821.26400000000001</v>
      </c>
      <c r="AQ11">
        <f ca="1">IF(AND(ISNUMBER($AQ$46),$B$38=1),$AQ$46,HLOOKUP(INDIRECT(ADDRESS(2,COLUMN())),OFFSET($BN$2,0,0,ROW()-1,60),ROW()-1,FALSE))</f>
        <v>820.95899999999995</v>
      </c>
      <c r="AR11">
        <f ca="1">IF(AND(ISNUMBER($AR$46),$B$38=1),$AR$46,HLOOKUP(INDIRECT(ADDRESS(2,COLUMN())),OFFSET($BN$2,0,0,ROW()-1,60),ROW()-1,FALSE))</f>
        <v>842.55700000000002</v>
      </c>
      <c r="AS11">
        <f ca="1">IF(AND(ISNUMBER($AS$46),$B$38=1),$AS$46,HLOOKUP(INDIRECT(ADDRESS(2,COLUMN())),OFFSET($BN$2,0,0,ROW()-1,60),ROW()-1,FALSE))</f>
        <v>820.83399999999995</v>
      </c>
      <c r="AT11">
        <f ca="1">IF(AND(ISNUMBER($AT$46),$B$38=1),$AT$46,HLOOKUP(INDIRECT(ADDRESS(2,COLUMN())),OFFSET($BN$2,0,0,ROW()-1,60),ROW()-1,FALSE))</f>
        <v>795.02700000000004</v>
      </c>
      <c r="AU11">
        <f ca="1">IF(AND(ISNUMBER($AU$46),$B$38=1),$AU$46,HLOOKUP(INDIRECT(ADDRESS(2,COLUMN())),OFFSET($BN$2,0,0,ROW()-1,60),ROW()-1,FALSE))</f>
        <v>805.10400000000004</v>
      </c>
      <c r="AV11">
        <f ca="1">IF(AND(ISNUMBER($AV$46),$B$38=1),$AV$46,HLOOKUP(INDIRECT(ADDRESS(2,COLUMN())),OFFSET($BN$2,0,0,ROW()-1,60),ROW()-1,FALSE))</f>
        <v>812.97900000000004</v>
      </c>
      <c r="AW11">
        <f ca="1">IF(AND(ISNUMBER($AW$46),$B$38=1),$AW$46,HLOOKUP(INDIRECT(ADDRESS(2,COLUMN())),OFFSET($BN$2,0,0,ROW()-1,60),ROW()-1,FALSE))</f>
        <v>778.87099999999998</v>
      </c>
      <c r="AX11">
        <f ca="1">IF(AND(ISNUMBER($AX$46),$B$38=1),$AX$46,HLOOKUP(INDIRECT(ADDRESS(2,COLUMN())),OFFSET($BN$2,0,0,ROW()-1,60),ROW()-1,FALSE))</f>
        <v>838.37</v>
      </c>
      <c r="AY11">
        <f ca="1">IF(AND(ISNUMBER($AY$46),$B$38=1),$AY$46,HLOOKUP(INDIRECT(ADDRESS(2,COLUMN())),OFFSET($BN$2,0,0,ROW()-1,60),ROW()-1,FALSE))</f>
        <v>819.97699999999998</v>
      </c>
      <c r="AZ11">
        <f ca="1">IF(AND(ISNUMBER($AZ$46),$B$38=1),$AZ$46,HLOOKUP(INDIRECT(ADDRESS(2,COLUMN())),OFFSET($BN$2,0,0,ROW()-1,60),ROW()-1,FALSE))</f>
        <v>928.48900000000003</v>
      </c>
      <c r="BA11">
        <f ca="1">IF(AND(ISNUMBER($BA$46),$B$38=1),$BA$46,HLOOKUP(INDIRECT(ADDRESS(2,COLUMN())),OFFSET($BN$2,0,0,ROW()-1,60),ROW()-1,FALSE))</f>
        <v>928.57</v>
      </c>
      <c r="BB11">
        <f ca="1">IF(AND(ISNUMBER($BB$46),$B$38=1),$BB$46,HLOOKUP(INDIRECT(ADDRESS(2,COLUMN())),OFFSET($BN$2,0,0,ROW()-1,60),ROW()-1,FALSE))</f>
        <v>908.02800000000002</v>
      </c>
      <c r="BC11">
        <f ca="1">IF(AND(ISNUMBER($BC$46),$B$38=1),$BC$46,HLOOKUP(INDIRECT(ADDRESS(2,COLUMN())),OFFSET($BN$2,0,0,ROW()-1,60),ROW()-1,FALSE))</f>
        <v>873.81100000000004</v>
      </c>
      <c r="BD11">
        <f ca="1">IF(AND(ISNUMBER($BD$46),$B$38=1),$BD$46,HLOOKUP(INDIRECT(ADDRESS(2,COLUMN())),OFFSET($BN$2,0,0,ROW()-1,60),ROW()-1,FALSE))</f>
        <v>877.51800000000003</v>
      </c>
      <c r="BE11">
        <f ca="1">IF(AND(ISNUMBER($BE$46),$B$38=1),$BE$46,HLOOKUP(INDIRECT(ADDRESS(2,COLUMN())),OFFSET($BN$2,0,0,ROW()-1,60),ROW()-1,FALSE))</f>
        <v>872.66600000000005</v>
      </c>
      <c r="BF11">
        <f ca="1">IF(AND(ISNUMBER($BF$46),$B$38=1),$BF$46,HLOOKUP(INDIRECT(ADDRESS(2,COLUMN())),OFFSET($BN$2,0,0,ROW()-1,60),ROW()-1,FALSE))</f>
        <v>865.69650000000001</v>
      </c>
      <c r="BG11">
        <f ca="1">IF(AND(ISNUMBER($BG$46),$B$38=1),$BG$46,HLOOKUP(INDIRECT(ADDRESS(2,COLUMN())),OFFSET($BN$2,0,0,ROW()-1,60),ROW()-1,FALSE))</f>
        <v>873.68</v>
      </c>
      <c r="BH11">
        <f ca="1">IF(AND(ISNUMBER($BH$46),$B$38=1),$BH$46,HLOOKUP(INDIRECT(ADDRESS(2,COLUMN())),OFFSET($BN$2,0,0,ROW()-1,60),ROW()-1,FALSE))</f>
        <v>882.74099999999999</v>
      </c>
      <c r="BI11">
        <f ca="1">IF(AND(ISNUMBER($BI$46),$B$38=1),$BI$46,HLOOKUP(INDIRECT(ADDRESS(2,COLUMN())),OFFSET($BN$2,0,0,ROW()-1,60),ROW()-1,FALSE))</f>
        <v>849.72900000000004</v>
      </c>
      <c r="BJ11">
        <f ca="1">IF(AND(ISNUMBER($BJ$46),$B$38=1),$BJ$46,HLOOKUP(INDIRECT(ADDRESS(2,COLUMN())),OFFSET($BN$2,0,0,ROW()-1,60),ROW()-1,FALSE))</f>
        <v>812.29250000000002</v>
      </c>
      <c r="BK11">
        <f ca="1">IF(AND(ISNUMBER($BK$46),$B$38=1),$BK$46,HLOOKUP(INDIRECT(ADDRESS(2,COLUMN())),OFFSET($BN$2,0,0,ROW()-1,60),ROW()-1,FALSE))</f>
        <v>782.505</v>
      </c>
      <c r="BL11">
        <f ca="1">IF(AND(ISNUMBER($BL$46),$B$38=1),$BL$46,HLOOKUP(INDIRECT(ADDRESS(2,COLUMN())),OFFSET($BN$2,0,0,ROW()-1,60),ROW()-1,FALSE))</f>
        <v>785.71299999999997</v>
      </c>
      <c r="BM11">
        <f ca="1">IF(AND(ISNUMBER($BM$46),$B$38=1),$BM$46,HLOOKUP(INDIRECT(ADDRESS(2,COLUMN())),OFFSET($BN$2,0,0,ROW()-1,60),ROW()-1,FALSE))</f>
        <v>753.48199999999997</v>
      </c>
      <c r="BN11">
        <f>1577.667751</f>
        <v>1577.667751</v>
      </c>
      <c r="BO11">
        <f>1588.497</f>
        <v>1588.4970000000001</v>
      </c>
      <c r="BP11">
        <f>1583.478</f>
        <v>1583.4780000000001</v>
      </c>
      <c r="BQ11">
        <f>1529.442</f>
        <v>1529.442</v>
      </c>
      <c r="BR11">
        <f>1562.542</f>
        <v>1562.5419999999999</v>
      </c>
      <c r="BS11">
        <f>1543.92</f>
        <v>1543.92</v>
      </c>
      <c r="BT11">
        <f>1587.818</f>
        <v>1587.818</v>
      </c>
      <c r="BU11">
        <f>1536.38</f>
        <v>1536.38</v>
      </c>
      <c r="BV11">
        <f>1554.068</f>
        <v>1554.068</v>
      </c>
      <c r="BW11">
        <f>1537.766</f>
        <v>1537.7660000000001</v>
      </c>
      <c r="BX11">
        <f>1550.705</f>
        <v>1550.7049999999999</v>
      </c>
      <c r="BY11">
        <f>1522.699</f>
        <v>1522.6990000000001</v>
      </c>
      <c r="BZ11">
        <f>1453.847</f>
        <v>1453.847</v>
      </c>
      <c r="CA11">
        <f>1472.192</f>
        <v>1472.192</v>
      </c>
      <c r="CB11">
        <f>1417.217</f>
        <v>1417.2170000000001</v>
      </c>
      <c r="CC11">
        <f>1396.483</f>
        <v>1396.4829999999999</v>
      </c>
      <c r="CD11">
        <f>1376.754</f>
        <v>1376.7539999999999</v>
      </c>
      <c r="CE11">
        <f>1094.444</f>
        <v>1094.444</v>
      </c>
      <c r="CF11">
        <f>1081.599</f>
        <v>1081.5989999999999</v>
      </c>
      <c r="CG11">
        <f>1063.953</f>
        <v>1063.953</v>
      </c>
      <c r="CH11">
        <f>1038.86</f>
        <v>1038.8599999999999</v>
      </c>
      <c r="CI11">
        <f>1032.005</f>
        <v>1032.0050000000001</v>
      </c>
      <c r="CJ11">
        <f>1031.621</f>
        <v>1031.6210000000001</v>
      </c>
      <c r="CK11">
        <f>900.977</f>
        <v>900.97699999999998</v>
      </c>
      <c r="CL11">
        <f>896.535</f>
        <v>896.53499999999997</v>
      </c>
      <c r="CM11">
        <f>878.332</f>
        <v>878.33199999999999</v>
      </c>
      <c r="CN11">
        <f>876.933</f>
        <v>876.93299999999999</v>
      </c>
      <c r="CO11">
        <f>868.084</f>
        <v>868.08399999999995</v>
      </c>
      <c r="CP11">
        <f>845.489</f>
        <v>845.48900000000003</v>
      </c>
      <c r="CQ11">
        <f>832.106</f>
        <v>832.10599999999999</v>
      </c>
      <c r="CR11">
        <f>824.755</f>
        <v>824.755</v>
      </c>
      <c r="CS11">
        <f>835.762</f>
        <v>835.76199999999994</v>
      </c>
      <c r="CT11">
        <f>832.011</f>
        <v>832.01099999999997</v>
      </c>
      <c r="CU11">
        <f>818.521</f>
        <v>818.52099999999996</v>
      </c>
      <c r="CV11">
        <f>803.438</f>
        <v>803.43799999999999</v>
      </c>
      <c r="CW11">
        <f>825.535</f>
        <v>825.53499999999997</v>
      </c>
      <c r="CX11">
        <f>821.264</f>
        <v>821.26400000000001</v>
      </c>
      <c r="CY11">
        <f>820.959</f>
        <v>820.95899999999995</v>
      </c>
      <c r="CZ11">
        <f>842.557</f>
        <v>842.55700000000002</v>
      </c>
      <c r="DA11">
        <f>820.834</f>
        <v>820.83399999999995</v>
      </c>
      <c r="DB11">
        <f>795.027</f>
        <v>795.02700000000004</v>
      </c>
      <c r="DC11">
        <f>805.104</f>
        <v>805.10400000000004</v>
      </c>
      <c r="DD11">
        <f>812.979</f>
        <v>812.97900000000004</v>
      </c>
      <c r="DE11">
        <f>778.871</f>
        <v>778.87099999999998</v>
      </c>
      <c r="DF11">
        <f>838.37</f>
        <v>838.37</v>
      </c>
      <c r="DG11">
        <f>819.977</f>
        <v>819.97699999999998</v>
      </c>
      <c r="DH11">
        <f>928.489</f>
        <v>928.48900000000003</v>
      </c>
      <c r="DI11">
        <f>928.57</f>
        <v>928.57</v>
      </c>
      <c r="DJ11">
        <f>908.028</f>
        <v>908.02800000000002</v>
      </c>
      <c r="DK11">
        <f>873.811</f>
        <v>873.81100000000004</v>
      </c>
      <c r="DL11">
        <f>877.518</f>
        <v>877.51800000000003</v>
      </c>
      <c r="DM11">
        <f>872.666</f>
        <v>872.66600000000005</v>
      </c>
      <c r="DN11">
        <f>865.6965</f>
        <v>865.69650000000001</v>
      </c>
      <c r="DO11">
        <f>873.68</f>
        <v>873.68</v>
      </c>
      <c r="DP11">
        <f>882.741</f>
        <v>882.74099999999999</v>
      </c>
      <c r="DQ11">
        <f>849.729</f>
        <v>849.72900000000004</v>
      </c>
      <c r="DR11">
        <f>812.2925</f>
        <v>812.29250000000002</v>
      </c>
      <c r="DS11">
        <f>782.505</f>
        <v>782.505</v>
      </c>
      <c r="DT11">
        <f>785.713</f>
        <v>785.71299999999997</v>
      </c>
      <c r="DU11">
        <f>753.482</f>
        <v>753.48199999999997</v>
      </c>
    </row>
    <row r="12" spans="1:125">
      <c r="A12" t="str">
        <f>"    购物中心房地产投资信托同店净营业利润增长"</f>
        <v xml:space="preserve">    购物中心房地产投资信托同店净营业利润增长</v>
      </c>
      <c r="B12" t="str">
        <f>"RECFSSSC Index"</f>
        <v>RECFSSSC Index</v>
      </c>
      <c r="C12" t="str">
        <f>"PR005"</f>
        <v>PR005</v>
      </c>
      <c r="D12" t="str">
        <f>"PX_LAST"</f>
        <v>PX_LAST</v>
      </c>
      <c r="E12" t="str">
        <f>"动态"</f>
        <v>动态</v>
      </c>
      <c r="F12">
        <f ca="1">IF(AND(ISNUMBER($F$47),$B$38=1),$F$47,HLOOKUP(INDIRECT(ADDRESS(2,COLUMN())),OFFSET($BN$2,0,0,ROW()-1,60),ROW()-1,FALSE))</f>
        <v>1.9495590410000001</v>
      </c>
      <c r="G12">
        <f ca="1">IF(AND(ISNUMBER($G$47),$B$38=1),$G$47,HLOOKUP(INDIRECT(ADDRESS(2,COLUMN())),OFFSET($BN$2,0,0,ROW()-1,60),ROW()-1,FALSE))</f>
        <v>2.1703271040000001</v>
      </c>
      <c r="H12">
        <f ca="1">IF(AND(ISNUMBER($H$47),$B$38=1),$H$47,HLOOKUP(INDIRECT(ADDRESS(2,COLUMN())),OFFSET($BN$2,0,0,ROW()-1,60),ROW()-1,FALSE))</f>
        <v>1.3124411220000001</v>
      </c>
      <c r="I12">
        <f ca="1">IF(AND(ISNUMBER($I$47),$B$38=1),$I$47,HLOOKUP(INDIRECT(ADDRESS(2,COLUMN())),OFFSET($BN$2,0,0,ROW()-1,60),ROW()-1,FALSE))</f>
        <v>2.2725923309999998</v>
      </c>
      <c r="J12">
        <f ca="1">IF(AND(ISNUMBER($J$47),$B$38=1),$J$47,HLOOKUP(INDIRECT(ADDRESS(2,COLUMN())),OFFSET($BN$2,0,0,ROW()-1,60),ROW()-1,FALSE))</f>
        <v>2.510907547</v>
      </c>
      <c r="K12">
        <f ca="1">IF(AND(ISNUMBER($K$47),$B$38=1),$K$47,HLOOKUP(INDIRECT(ADDRESS(2,COLUMN())),OFFSET($BN$2,0,0,ROW()-1,60),ROW()-1,FALSE))</f>
        <v>2.7205614140000001</v>
      </c>
      <c r="L12">
        <f ca="1">IF(AND(ISNUMBER($L$47),$B$38=1),$L$47,HLOOKUP(INDIRECT(ADDRESS(2,COLUMN())),OFFSET($BN$2,0,0,ROW()-1,60),ROW()-1,FALSE))</f>
        <v>3.3186341389999998</v>
      </c>
      <c r="M12">
        <f ca="1">IF(AND(ISNUMBER($M$47),$B$38=1),$M$47,HLOOKUP(INDIRECT(ADDRESS(2,COLUMN())),OFFSET($BN$2,0,0,ROW()-1,60),ROW()-1,FALSE))</f>
        <v>3.0609345920000002</v>
      </c>
      <c r="N12">
        <f ca="1">IF(AND(ISNUMBER($N$47),$B$38=1),$N$47,HLOOKUP(INDIRECT(ADDRESS(2,COLUMN())),OFFSET($BN$2,0,0,ROW()-1,60),ROW()-1,FALSE))</f>
        <v>3.0564384449999999</v>
      </c>
      <c r="O12">
        <f ca="1">IF(AND(ISNUMBER($O$47),$B$38=1),$O$47,HLOOKUP(INDIRECT(ADDRESS(2,COLUMN())),OFFSET($BN$2,0,0,ROW()-1,60),ROW()-1,FALSE))</f>
        <v>3.0518973150000002</v>
      </c>
      <c r="P12">
        <f ca="1">IF(AND(ISNUMBER($P$47),$B$38=1),$P$47,HLOOKUP(INDIRECT(ADDRESS(2,COLUMN())),OFFSET($BN$2,0,0,ROW()-1,60),ROW()-1,FALSE))</f>
        <v>3.310111306</v>
      </c>
      <c r="Q12">
        <f ca="1">IF(AND(ISNUMBER($Q$47),$B$38=1),$Q$47,HLOOKUP(INDIRECT(ADDRESS(2,COLUMN())),OFFSET($BN$2,0,0,ROW()-1,60),ROW()-1,FALSE))</f>
        <v>3.243395923</v>
      </c>
      <c r="R12">
        <f ca="1">IF(AND(ISNUMBER($R$47),$B$38=1),$R$47,HLOOKUP(INDIRECT(ADDRESS(2,COLUMN())),OFFSET($BN$2,0,0,ROW()-1,60),ROW()-1,FALSE))</f>
        <v>3.2379506849999999</v>
      </c>
      <c r="S12">
        <f ca="1">IF(AND(ISNUMBER($S$47),$B$38=1),$S$47,HLOOKUP(INDIRECT(ADDRESS(2,COLUMN())),OFFSET($BN$2,0,0,ROW()-1,60),ROW()-1,FALSE))</f>
        <v>3.1812348890000002</v>
      </c>
      <c r="T12">
        <f ca="1">IF(AND(ISNUMBER($T$47),$B$38=1),$T$47,HLOOKUP(INDIRECT(ADDRESS(2,COLUMN())),OFFSET($BN$2,0,0,ROW()-1,60),ROW()-1,FALSE))</f>
        <v>3.3121266980000001</v>
      </c>
      <c r="U12">
        <f ca="1">IF(AND(ISNUMBER($U$47),$B$38=1),$U$47,HLOOKUP(INDIRECT(ADDRESS(2,COLUMN())),OFFSET($BN$2,0,0,ROW()-1,60),ROW()-1,FALSE))</f>
        <v>2.9586672379999999</v>
      </c>
      <c r="V12">
        <f ca="1">IF(AND(ISNUMBER($V$47),$B$38=1),$V$47,HLOOKUP(INDIRECT(ADDRESS(2,COLUMN())),OFFSET($BN$2,0,0,ROW()-1,60),ROW()-1,FALSE))</f>
        <v>3.4716781069999998</v>
      </c>
      <c r="W12">
        <f ca="1">IF(AND(ISNUMBER($W$47),$B$38=1),$W$47,HLOOKUP(INDIRECT(ADDRESS(2,COLUMN())),OFFSET($BN$2,0,0,ROW()-1,60),ROW()-1,FALSE))</f>
        <v>3.4146116289999999</v>
      </c>
      <c r="X12">
        <f ca="1">IF(AND(ISNUMBER($X$47),$B$38=1),$X$47,HLOOKUP(INDIRECT(ADDRESS(2,COLUMN())),OFFSET($BN$2,0,0,ROW()-1,60),ROW()-1,FALSE))</f>
        <v>3.6250220679999998</v>
      </c>
      <c r="Y12">
        <f ca="1">IF(AND(ISNUMBER($Y$47),$B$38=1),$Y$47,HLOOKUP(INDIRECT(ADDRESS(2,COLUMN())),OFFSET($BN$2,0,0,ROW()-1,60),ROW()-1,FALSE))</f>
        <v>3.4888504899999999</v>
      </c>
      <c r="Z12">
        <f ca="1">IF(AND(ISNUMBER($Z$47),$B$38=1),$Z$47,HLOOKUP(INDIRECT(ADDRESS(2,COLUMN())),OFFSET($BN$2,0,0,ROW()-1,60),ROW()-1,FALSE))</f>
        <v>3.2198732809999999</v>
      </c>
      <c r="AA12">
        <f ca="1">IF(AND(ISNUMBER($AA$47),$B$38=1),$AA$47,HLOOKUP(INDIRECT(ADDRESS(2,COLUMN())),OFFSET($BN$2,0,0,ROW()-1,60),ROW()-1,FALSE))</f>
        <v>3.0400402560000002</v>
      </c>
      <c r="AB12">
        <f ca="1">IF(AND(ISNUMBER($AB$47),$B$38=1),$AB$47,HLOOKUP(INDIRECT(ADDRESS(2,COLUMN())),OFFSET($BN$2,0,0,ROW()-1,60),ROW()-1,FALSE))</f>
        <v>2.8729517960000002</v>
      </c>
      <c r="AC12">
        <f ca="1">IF(AND(ISNUMBER($AC$47),$B$38=1),$AC$47,HLOOKUP(INDIRECT(ADDRESS(2,COLUMN())),OFFSET($BN$2,0,0,ROW()-1,60),ROW()-1,FALSE))</f>
        <v>2.8847575139999999</v>
      </c>
      <c r="AD12">
        <f ca="1">IF(AND(ISNUMBER($AD$47),$B$38=1),$AD$47,HLOOKUP(INDIRECT(ADDRESS(2,COLUMN())),OFFSET($BN$2,0,0,ROW()-1,60),ROW()-1,FALSE))</f>
        <v>2.0807095609999999</v>
      </c>
      <c r="AE12">
        <f ca="1">IF(AND(ISNUMBER($AE$47),$B$38=1),$AE$47,HLOOKUP(INDIRECT(ADDRESS(2,COLUMN())),OFFSET($BN$2,0,0,ROW()-1,60),ROW()-1,FALSE))</f>
        <v>2.4223469739999999</v>
      </c>
      <c r="AF12">
        <f ca="1">IF(AND(ISNUMBER($AF$47),$B$38=1),$AF$47,HLOOKUP(INDIRECT(ADDRESS(2,COLUMN())),OFFSET($BN$2,0,0,ROW()-1,60),ROW()-1,FALSE))</f>
        <v>2.2197013700000001</v>
      </c>
      <c r="AG12">
        <f ca="1">IF(AND(ISNUMBER($AG$47),$B$38=1),$AG$47,HLOOKUP(INDIRECT(ADDRESS(2,COLUMN())),OFFSET($BN$2,0,0,ROW()-1,60),ROW()-1,FALSE))</f>
        <v>1.2067644360000001</v>
      </c>
      <c r="AH12">
        <f ca="1">IF(AND(ISNUMBER($AH$47),$B$38=1),$AH$47,HLOOKUP(INDIRECT(ADDRESS(2,COLUMN())),OFFSET($BN$2,0,0,ROW()-1,60),ROW()-1,FALSE))</f>
        <v>1.5138833599999999</v>
      </c>
      <c r="AI12">
        <f ca="1">IF(AND(ISNUMBER($AI$47),$B$38=1),$AI$47,HLOOKUP(INDIRECT(ADDRESS(2,COLUMN())),OFFSET($BN$2,0,0,ROW()-1,60),ROW()-1,FALSE))</f>
        <v>-3.3555748000000003E-2</v>
      </c>
      <c r="AJ12">
        <f ca="1">IF(AND(ISNUMBER($AJ$47),$B$38=1),$AJ$47,HLOOKUP(INDIRECT(ADDRESS(2,COLUMN())),OFFSET($BN$2,0,0,ROW()-1,60),ROW()-1,FALSE))</f>
        <v>0.77072688</v>
      </c>
      <c r="AK12">
        <f ca="1">IF(AND(ISNUMBER($AK$47),$B$38=1),$AK$47,HLOOKUP(INDIRECT(ADDRESS(2,COLUMN())),OFFSET($BN$2,0,0,ROW()-1,60),ROW()-1,FALSE))</f>
        <v>-2.6346541569999999</v>
      </c>
      <c r="AL12">
        <f ca="1">IF(AND(ISNUMBER($AL$47),$B$38=1),$AL$47,HLOOKUP(INDIRECT(ADDRESS(2,COLUMN())),OFFSET($BN$2,0,0,ROW()-1,60),ROW()-1,FALSE))</f>
        <v>-3.190921806</v>
      </c>
      <c r="AM12">
        <f ca="1">IF(AND(ISNUMBER($AM$47),$B$38=1),$AM$47,HLOOKUP(INDIRECT(ADDRESS(2,COLUMN())),OFFSET($BN$2,0,0,ROW()-1,60),ROW()-1,FALSE))</f>
        <v>-4.1766297330000004</v>
      </c>
      <c r="AN12">
        <f ca="1">IF(AND(ISNUMBER($AN$47),$B$38=1),$AN$47,HLOOKUP(INDIRECT(ADDRESS(2,COLUMN())),OFFSET($BN$2,0,0,ROW()-1,60),ROW()-1,FALSE))</f>
        <v>-5.9347808290000001</v>
      </c>
      <c r="AO12">
        <f ca="1">IF(AND(ISNUMBER($AO$47),$B$38=1),$AO$47,HLOOKUP(INDIRECT(ADDRESS(2,COLUMN())),OFFSET($BN$2,0,0,ROW()-1,60),ROW()-1,FALSE))</f>
        <v>-2.2889856210000001</v>
      </c>
      <c r="AP12">
        <f ca="1">IF(AND(ISNUMBER($AP$47),$B$38=1),$AP$47,HLOOKUP(INDIRECT(ADDRESS(2,COLUMN())),OFFSET($BN$2,0,0,ROW()-1,60),ROW()-1,FALSE))</f>
        <v>-1.876377795</v>
      </c>
      <c r="AQ12">
        <f ca="1">IF(AND(ISNUMBER($AQ$47),$B$38=1),$AQ$47,HLOOKUP(INDIRECT(ADDRESS(2,COLUMN())),OFFSET($BN$2,0,0,ROW()-1,60),ROW()-1,FALSE))</f>
        <v>0.49652900300000002</v>
      </c>
      <c r="AR12">
        <f ca="1">IF(AND(ISNUMBER($AR$47),$B$38=1),$AR$47,HLOOKUP(INDIRECT(ADDRESS(2,COLUMN())),OFFSET($BN$2,0,0,ROW()-1,60),ROW()-1,FALSE))</f>
        <v>-0.26510386699999999</v>
      </c>
      <c r="AS12">
        <f ca="1">IF(AND(ISNUMBER($AS$47),$B$38=1),$AS$47,HLOOKUP(INDIRECT(ADDRESS(2,COLUMN())),OFFSET($BN$2,0,0,ROW()-1,60),ROW()-1,FALSE))</f>
        <v>1.5044988180000001</v>
      </c>
      <c r="AT12">
        <f ca="1">IF(AND(ISNUMBER($AT$47),$B$38=1),$AT$47,HLOOKUP(INDIRECT(ADDRESS(2,COLUMN())),OFFSET($BN$2,0,0,ROW()-1,60),ROW()-1,FALSE))</f>
        <v>2.9489370629999998</v>
      </c>
      <c r="AU12">
        <f ca="1">IF(AND(ISNUMBER($AU$47),$B$38=1),$AU$47,HLOOKUP(INDIRECT(ADDRESS(2,COLUMN())),OFFSET($BN$2,0,0,ROW()-1,60),ROW()-1,FALSE))</f>
        <v>1.992868021</v>
      </c>
      <c r="AV12">
        <f ca="1">IF(AND(ISNUMBER($AV$47),$B$38=1),$AV$47,HLOOKUP(INDIRECT(ADDRESS(2,COLUMN())),OFFSET($BN$2,0,0,ROW()-1,60),ROW()-1,FALSE))</f>
        <v>1.8493860040000001</v>
      </c>
      <c r="AW12">
        <f ca="1">IF(AND(ISNUMBER($AW$47),$B$38=1),$AW$47,HLOOKUP(INDIRECT(ADDRESS(2,COLUMN())),OFFSET($BN$2,0,0,ROW()-1,60),ROW()-1,FALSE))</f>
        <v>2.3993587299999999</v>
      </c>
      <c r="AX12">
        <f ca="1">IF(AND(ISNUMBER($AX$47),$B$38=1),$AX$47,HLOOKUP(INDIRECT(ADDRESS(2,COLUMN())),OFFSET($BN$2,0,0,ROW()-1,60),ROW()-1,FALSE))</f>
        <v>2.0712587220000001</v>
      </c>
      <c r="AY12">
        <f ca="1">IF(AND(ISNUMBER($AY$47),$B$38=1),$AY$47,HLOOKUP(INDIRECT(ADDRESS(2,COLUMN())),OFFSET($BN$2,0,0,ROW()-1,60),ROW()-1,FALSE))</f>
        <v>3.4613518230000002</v>
      </c>
      <c r="AZ12">
        <f ca="1">IF(AND(ISNUMBER($AZ$47),$B$38=1),$AZ$47,HLOOKUP(INDIRECT(ADDRESS(2,COLUMN())),OFFSET($BN$2,0,0,ROW()-1,60),ROW()-1,FALSE))</f>
        <v>1.4530914770000001</v>
      </c>
      <c r="BA12">
        <f ca="1">IF(AND(ISNUMBER($BA$47),$B$38=1),$BA$47,HLOOKUP(INDIRECT(ADDRESS(2,COLUMN())),OFFSET($BN$2,0,0,ROW()-1,60),ROW()-1,FALSE))</f>
        <v>2.2409797239999998</v>
      </c>
      <c r="BB12">
        <f ca="1">IF(AND(ISNUMBER($BB$47),$B$38=1),$BB$47,HLOOKUP(INDIRECT(ADDRESS(2,COLUMN())),OFFSET($BN$2,0,0,ROW()-1,60),ROW()-1,FALSE))</f>
        <v>2.0681945220000002</v>
      </c>
      <c r="BC12">
        <f ca="1">IF(AND(ISNUMBER($BC$47),$B$38=1),$BC$47,HLOOKUP(INDIRECT(ADDRESS(2,COLUMN())),OFFSET($BN$2,0,0,ROW()-1,60),ROW()-1,FALSE))</f>
        <v>2.325042759</v>
      </c>
      <c r="BD12">
        <f ca="1">IF(AND(ISNUMBER($BD$47),$B$38=1),$BD$47,HLOOKUP(INDIRECT(ADDRESS(2,COLUMN())),OFFSET($BN$2,0,0,ROW()-1,60),ROW()-1,FALSE))</f>
        <v>4.9093577530000001</v>
      </c>
      <c r="BE12">
        <f ca="1">IF(AND(ISNUMBER($BE$47),$B$38=1),$BE$47,HLOOKUP(INDIRECT(ADDRESS(2,COLUMN())),OFFSET($BN$2,0,0,ROW()-1,60),ROW()-1,FALSE))</f>
        <v>2.7043158979999999</v>
      </c>
      <c r="BF12">
        <f ca="1">IF(AND(ISNUMBER($BF$47),$B$38=1),$BF$47,HLOOKUP(INDIRECT(ADDRESS(2,COLUMN())),OFFSET($BN$2,0,0,ROW()-1,60),ROW()-1,FALSE))</f>
        <v>4.0274661949999997</v>
      </c>
      <c r="BG12">
        <f ca="1">IF(AND(ISNUMBER($BG$47),$B$38=1),$BG$47,HLOOKUP(INDIRECT(ADDRESS(2,COLUMN())),OFFSET($BN$2,0,0,ROW()-1,60),ROW()-1,FALSE))</f>
        <v>2.762317275</v>
      </c>
      <c r="BH12">
        <f ca="1">IF(AND(ISNUMBER($BH$47),$B$38=1),$BH$47,HLOOKUP(INDIRECT(ADDRESS(2,COLUMN())),OFFSET($BN$2,0,0,ROW()-1,60),ROW()-1,FALSE))</f>
        <v>3.931455814</v>
      </c>
      <c r="BI12">
        <f ca="1">IF(AND(ISNUMBER($BI$47),$B$38=1),$BI$47,HLOOKUP(INDIRECT(ADDRESS(2,COLUMN())),OFFSET($BN$2,0,0,ROW()-1,60),ROW()-1,FALSE))</f>
        <v>2.4355218179999998</v>
      </c>
      <c r="BJ12">
        <f ca="1">IF(AND(ISNUMBER($BJ$47),$B$38=1),$BJ$47,HLOOKUP(INDIRECT(ADDRESS(2,COLUMN())),OFFSET($BN$2,0,0,ROW()-1,60),ROW()-1,FALSE))</f>
        <v>1.0862043100000001</v>
      </c>
      <c r="BK12">
        <f ca="1">IF(AND(ISNUMBER($BK$47),$B$38=1),$BK$47,HLOOKUP(INDIRECT(ADDRESS(2,COLUMN())),OFFSET($BN$2,0,0,ROW()-1,60),ROW()-1,FALSE))</f>
        <v>0.76519733300000004</v>
      </c>
      <c r="BL12">
        <f ca="1">IF(AND(ISNUMBER($BL$47),$B$38=1),$BL$47,HLOOKUP(INDIRECT(ADDRESS(2,COLUMN())),OFFSET($BN$2,0,0,ROW()-1,60),ROW()-1,FALSE))</f>
        <v>-1.5904553109999999</v>
      </c>
      <c r="BM12">
        <f ca="1">IF(AND(ISNUMBER($BM$47),$B$38=1),$BM$47,HLOOKUP(INDIRECT(ADDRESS(2,COLUMN())),OFFSET($BN$2,0,0,ROW()-1,60),ROW()-1,FALSE))</f>
        <v>-0.89093292499999999</v>
      </c>
      <c r="BN12">
        <f>1.949559041</f>
        <v>1.9495590410000001</v>
      </c>
      <c r="BO12">
        <f>2.170327104</f>
        <v>2.1703271040000001</v>
      </c>
      <c r="BP12">
        <f>1.312441122</f>
        <v>1.3124411220000001</v>
      </c>
      <c r="BQ12">
        <f>2.272592331</f>
        <v>2.2725923309999998</v>
      </c>
      <c r="BR12">
        <f>2.510907547</f>
        <v>2.510907547</v>
      </c>
      <c r="BS12">
        <f>2.720561414</f>
        <v>2.7205614140000001</v>
      </c>
      <c r="BT12">
        <f>3.318634139</f>
        <v>3.3186341389999998</v>
      </c>
      <c r="BU12">
        <f>3.060934592</f>
        <v>3.0609345920000002</v>
      </c>
      <c r="BV12">
        <f>3.056438445</f>
        <v>3.0564384449999999</v>
      </c>
      <c r="BW12">
        <f>3.051897315</f>
        <v>3.0518973150000002</v>
      </c>
      <c r="BX12">
        <f>3.310111306</f>
        <v>3.310111306</v>
      </c>
      <c r="BY12">
        <f>3.243395923</f>
        <v>3.243395923</v>
      </c>
      <c r="BZ12">
        <f>3.237950685</f>
        <v>3.2379506849999999</v>
      </c>
      <c r="CA12">
        <f>3.181234889</f>
        <v>3.1812348890000002</v>
      </c>
      <c r="CB12">
        <f>3.312126698</f>
        <v>3.3121266980000001</v>
      </c>
      <c r="CC12">
        <f>2.958667238</f>
        <v>2.9586672379999999</v>
      </c>
      <c r="CD12">
        <f>3.471678107</f>
        <v>3.4716781069999998</v>
      </c>
      <c r="CE12">
        <f>3.414611629</f>
        <v>3.4146116289999999</v>
      </c>
      <c r="CF12">
        <f>3.625022068</f>
        <v>3.6250220679999998</v>
      </c>
      <c r="CG12">
        <f>3.48885049</f>
        <v>3.4888504899999999</v>
      </c>
      <c r="CH12">
        <f>3.219873281</f>
        <v>3.2198732809999999</v>
      </c>
      <c r="CI12">
        <f>3.040040256</f>
        <v>3.0400402560000002</v>
      </c>
      <c r="CJ12">
        <f>2.872951796</f>
        <v>2.8729517960000002</v>
      </c>
      <c r="CK12">
        <f>2.884757514</f>
        <v>2.8847575139999999</v>
      </c>
      <c r="CL12">
        <f>2.080709561</f>
        <v>2.0807095609999999</v>
      </c>
      <c r="CM12">
        <f>2.422346974</f>
        <v>2.4223469739999999</v>
      </c>
      <c r="CN12">
        <f>2.21970137</f>
        <v>2.2197013700000001</v>
      </c>
      <c r="CO12">
        <f>1.206764436</f>
        <v>1.2067644360000001</v>
      </c>
      <c r="CP12">
        <f>1.51388336</f>
        <v>1.5138833599999999</v>
      </c>
      <c r="CQ12">
        <f>-0.033555748</f>
        <v>-3.3555748000000003E-2</v>
      </c>
      <c r="CR12">
        <f>0.77072688</f>
        <v>0.77072688</v>
      </c>
      <c r="CS12">
        <f>-2.634654157</f>
        <v>-2.6346541569999999</v>
      </c>
      <c r="CT12">
        <f>-3.190921806</f>
        <v>-3.190921806</v>
      </c>
      <c r="CU12">
        <f>-4.176629733</f>
        <v>-4.1766297330000004</v>
      </c>
      <c r="CV12">
        <f>-5.934780829</f>
        <v>-5.9347808290000001</v>
      </c>
      <c r="CW12">
        <f>-2.288985621</f>
        <v>-2.2889856210000001</v>
      </c>
      <c r="CX12">
        <f>-1.876377795</f>
        <v>-1.876377795</v>
      </c>
      <c r="CY12">
        <f>0.496529003</f>
        <v>0.49652900300000002</v>
      </c>
      <c r="CZ12">
        <f>-0.265103867</f>
        <v>-0.26510386699999999</v>
      </c>
      <c r="DA12">
        <f>1.504498818</f>
        <v>1.5044988180000001</v>
      </c>
      <c r="DB12">
        <f>2.948937063</f>
        <v>2.9489370629999998</v>
      </c>
      <c r="DC12">
        <f>1.992868021</f>
        <v>1.992868021</v>
      </c>
      <c r="DD12">
        <f>1.849386004</f>
        <v>1.8493860040000001</v>
      </c>
      <c r="DE12">
        <f>2.39935873</f>
        <v>2.3993587299999999</v>
      </c>
      <c r="DF12">
        <f>2.071258722</f>
        <v>2.0712587220000001</v>
      </c>
      <c r="DG12">
        <f>3.461351823</f>
        <v>3.4613518230000002</v>
      </c>
      <c r="DH12">
        <f>1.453091477</f>
        <v>1.4530914770000001</v>
      </c>
      <c r="DI12">
        <f>2.240979724</f>
        <v>2.2409797239999998</v>
      </c>
      <c r="DJ12">
        <f>2.068194522</f>
        <v>2.0681945220000002</v>
      </c>
      <c r="DK12">
        <f>2.325042759</f>
        <v>2.325042759</v>
      </c>
      <c r="DL12">
        <f>4.909357753</f>
        <v>4.9093577530000001</v>
      </c>
      <c r="DM12">
        <f>2.704315898</f>
        <v>2.7043158979999999</v>
      </c>
      <c r="DN12">
        <f>4.027466195</f>
        <v>4.0274661949999997</v>
      </c>
      <c r="DO12">
        <f>2.762317275</f>
        <v>2.762317275</v>
      </c>
      <c r="DP12">
        <f>3.931455814</f>
        <v>3.931455814</v>
      </c>
      <c r="DQ12">
        <f>2.435521818</f>
        <v>2.4355218179999998</v>
      </c>
      <c r="DR12">
        <f>1.08620431</f>
        <v>1.0862043100000001</v>
      </c>
      <c r="DS12">
        <f>0.765197333</f>
        <v>0.76519733300000004</v>
      </c>
      <c r="DT12">
        <f>-1.590455311</f>
        <v>-1.5904553109999999</v>
      </c>
      <c r="DU12">
        <f>-0.890932925</f>
        <v>-0.89093292499999999</v>
      </c>
    </row>
    <row r="13" spans="1:125">
      <c r="A13" t="str">
        <f>"    购物中心房地产投资信托总股利支付"</f>
        <v xml:space="preserve">    购物中心房地产投资信托总股利支付</v>
      </c>
      <c r="B13" t="str">
        <f>"RECFTDSC Index"</f>
        <v>RECFTDSC Index</v>
      </c>
      <c r="C13" t="str">
        <f>"PR005"</f>
        <v>PR005</v>
      </c>
      <c r="D13" t="str">
        <f>"PX_LAST"</f>
        <v>PX_LAST</v>
      </c>
      <c r="E13" t="str">
        <f>"动态"</f>
        <v>动态</v>
      </c>
      <c r="F13">
        <f ca="1">IF(AND(ISNUMBER($F$48),$B$38=1),$F$48,HLOOKUP(INDIRECT(ADDRESS(2,COLUMN())),OFFSET($BN$2,0,0,ROW()-1,60),ROW()-1,FALSE))</f>
        <v>753.92453850000004</v>
      </c>
      <c r="G13">
        <f ca="1">IF(AND(ISNUMBER($G$48),$B$38=1),$G$48,HLOOKUP(INDIRECT(ADDRESS(2,COLUMN())),OFFSET($BN$2,0,0,ROW()-1,60),ROW()-1,FALSE))</f>
        <v>747.44</v>
      </c>
      <c r="H13">
        <f ca="1">IF(AND(ISNUMBER($H$48),$B$38=1),$H$48,HLOOKUP(INDIRECT(ADDRESS(2,COLUMN())),OFFSET($BN$2,0,0,ROW()-1,60),ROW()-1,FALSE))</f>
        <v>753.59199999999998</v>
      </c>
      <c r="I13">
        <f ca="1">IF(AND(ISNUMBER($I$48),$B$38=1),$I$48,HLOOKUP(INDIRECT(ADDRESS(2,COLUMN())),OFFSET($BN$2,0,0,ROW()-1,60),ROW()-1,FALSE))</f>
        <v>729.51400000000001</v>
      </c>
      <c r="J13">
        <f ca="1">IF(AND(ISNUMBER($J$48),$B$38=1),$J$48,HLOOKUP(INDIRECT(ADDRESS(2,COLUMN())),OFFSET($BN$2,0,0,ROW()-1,60),ROW()-1,FALSE))</f>
        <v>746.70299999999997</v>
      </c>
      <c r="K13">
        <f ca="1">IF(AND(ISNUMBER($K$48),$B$38=1),$K$48,HLOOKUP(INDIRECT(ADDRESS(2,COLUMN())),OFFSET($BN$2,0,0,ROW()-1,60),ROW()-1,FALSE))</f>
        <v>705.96900000000005</v>
      </c>
      <c r="L13">
        <f ca="1">IF(AND(ISNUMBER($L$48),$B$38=1),$L$48,HLOOKUP(INDIRECT(ADDRESS(2,COLUMN())),OFFSET($BN$2,0,0,ROW()-1,60),ROW()-1,FALSE))</f>
        <v>736.29200000000003</v>
      </c>
      <c r="M13">
        <f ca="1">IF(AND(ISNUMBER($M$48),$B$38=1),$M$48,HLOOKUP(INDIRECT(ADDRESS(2,COLUMN())),OFFSET($BN$2,0,0,ROW()-1,60),ROW()-1,FALSE))</f>
        <v>773.27700000000004</v>
      </c>
      <c r="N13">
        <f ca="1">IF(AND(ISNUMBER($N$48),$B$38=1),$N$48,HLOOKUP(INDIRECT(ADDRESS(2,COLUMN())),OFFSET($BN$2,0,0,ROW()-1,60),ROW()-1,FALSE))</f>
        <v>674.80700000000002</v>
      </c>
      <c r="O13">
        <f ca="1">IF(AND(ISNUMBER($O$48),$B$38=1),$O$48,HLOOKUP(INDIRECT(ADDRESS(2,COLUMN())),OFFSET($BN$2,0,0,ROW()-1,60),ROW()-1,FALSE))</f>
        <v>685.77</v>
      </c>
      <c r="P13">
        <f ca="1">IF(AND(ISNUMBER($P$48),$B$38=1),$P$48,HLOOKUP(INDIRECT(ADDRESS(2,COLUMN())),OFFSET($BN$2,0,0,ROW()-1,60),ROW()-1,FALSE))</f>
        <v>714.99400000000003</v>
      </c>
      <c r="Q13">
        <f ca="1">IF(AND(ISNUMBER($Q$48),$B$38=1),$Q$48,HLOOKUP(INDIRECT(ADDRESS(2,COLUMN())),OFFSET($BN$2,0,0,ROW()-1,60),ROW()-1,FALSE))</f>
        <v>749.37099999999998</v>
      </c>
      <c r="R13">
        <f ca="1">IF(AND(ISNUMBER($R$48),$B$38=1),$R$48,HLOOKUP(INDIRECT(ADDRESS(2,COLUMN())),OFFSET($BN$2,0,0,ROW()-1,60),ROW()-1,FALSE))</f>
        <v>679.88099999999997</v>
      </c>
      <c r="S13">
        <f ca="1">IF(AND(ISNUMBER($S$48),$B$38=1),$S$48,HLOOKUP(INDIRECT(ADDRESS(2,COLUMN())),OFFSET($BN$2,0,0,ROW()-1,60),ROW()-1,FALSE))</f>
        <v>781.84500000000003</v>
      </c>
      <c r="T13">
        <f ca="1">IF(AND(ISNUMBER($T$48),$B$38=1),$T$48,HLOOKUP(INDIRECT(ADDRESS(2,COLUMN())),OFFSET($BN$2,0,0,ROW()-1,60),ROW()-1,FALSE))</f>
        <v>634.29600000000005</v>
      </c>
      <c r="U13">
        <f ca="1">IF(AND(ISNUMBER($U$48),$B$38=1),$U$48,HLOOKUP(INDIRECT(ADDRESS(2,COLUMN())),OFFSET($BN$2,0,0,ROW()-1,60),ROW()-1,FALSE))</f>
        <v>628.80799999999999</v>
      </c>
      <c r="V13">
        <f ca="1">IF(AND(ISNUMBER($V$48),$B$38=1),$V$48,HLOOKUP(INDIRECT(ADDRESS(2,COLUMN())),OFFSET($BN$2,0,0,ROW()-1,60),ROW()-1,FALSE))</f>
        <v>617.625</v>
      </c>
      <c r="W13">
        <f ca="1">IF(AND(ISNUMBER($W$48),$B$38=1),$W$48,HLOOKUP(INDIRECT(ADDRESS(2,COLUMN())),OFFSET($BN$2,0,0,ROW()-1,60),ROW()-1,FALSE))</f>
        <v>532.97900000000004</v>
      </c>
      <c r="X13">
        <f ca="1">IF(AND(ISNUMBER($X$48),$B$38=1),$X$48,HLOOKUP(INDIRECT(ADDRESS(2,COLUMN())),OFFSET($BN$2,0,0,ROW()-1,60),ROW()-1,FALSE))</f>
        <v>529.00800000000004</v>
      </c>
      <c r="Y13">
        <f ca="1">IF(AND(ISNUMBER($Y$48),$B$38=1),$Y$48,HLOOKUP(INDIRECT(ADDRESS(2,COLUMN())),OFFSET($BN$2,0,0,ROW()-1,60),ROW()-1,FALSE))</f>
        <v>494.56099999999998</v>
      </c>
      <c r="Z13">
        <f ca="1">IF(AND(ISNUMBER($Z$48),$B$38=1),$Z$48,HLOOKUP(INDIRECT(ADDRESS(2,COLUMN())),OFFSET($BN$2,0,0,ROW()-1,60),ROW()-1,FALSE))</f>
        <v>1223.83</v>
      </c>
      <c r="AA13">
        <f ca="1">IF(AND(ISNUMBER($AA$48),$B$38=1),$AA$48,HLOOKUP(INDIRECT(ADDRESS(2,COLUMN())),OFFSET($BN$2,0,0,ROW()-1,60),ROW()-1,FALSE))</f>
        <v>503.04700000000003</v>
      </c>
      <c r="AB13">
        <f ca="1">IF(AND(ISNUMBER($AB$48),$B$38=1),$AB$48,HLOOKUP(INDIRECT(ADDRESS(2,COLUMN())),OFFSET($BN$2,0,0,ROW()-1,60),ROW()-1,FALSE))</f>
        <v>508.846</v>
      </c>
      <c r="AC13">
        <f ca="1">IF(AND(ISNUMBER($AC$48),$B$38=1),$AC$48,HLOOKUP(INDIRECT(ADDRESS(2,COLUMN())),OFFSET($BN$2,0,0,ROW()-1,60),ROW()-1,FALSE))</f>
        <v>423.125</v>
      </c>
      <c r="AD13">
        <f ca="1">IF(AND(ISNUMBER($AD$48),$B$38=1),$AD$48,HLOOKUP(INDIRECT(ADDRESS(2,COLUMN())),OFFSET($BN$2,0,0,ROW()-1,60),ROW()-1,FALSE))</f>
        <v>405.55500000000001</v>
      </c>
      <c r="AE13">
        <f ca="1">IF(AND(ISNUMBER($AE$48),$B$38=1),$AE$48,HLOOKUP(INDIRECT(ADDRESS(2,COLUMN())),OFFSET($BN$2,0,0,ROW()-1,60),ROW()-1,FALSE))</f>
        <v>390.70100000000002</v>
      </c>
      <c r="AF13">
        <f ca="1">IF(AND(ISNUMBER($AF$48),$B$38=1),$AF$48,HLOOKUP(INDIRECT(ADDRESS(2,COLUMN())),OFFSET($BN$2,0,0,ROW()-1,60),ROW()-1,FALSE))</f>
        <v>383.48</v>
      </c>
      <c r="AG13">
        <f ca="1">IF(AND(ISNUMBER($AG$48),$B$38=1),$AG$48,HLOOKUP(INDIRECT(ADDRESS(2,COLUMN())),OFFSET($BN$2,0,0,ROW()-1,60),ROW()-1,FALSE))</f>
        <v>372.88099999999997</v>
      </c>
      <c r="AH13">
        <f ca="1">IF(AND(ISNUMBER($AH$48),$B$38=1),$AH$48,HLOOKUP(INDIRECT(ADDRESS(2,COLUMN())),OFFSET($BN$2,0,0,ROW()-1,60),ROW()-1,FALSE))</f>
        <v>350.20850000000002</v>
      </c>
      <c r="AI13">
        <f ca="1">IF(AND(ISNUMBER($AI$48),$B$38=1),$AI$48,HLOOKUP(INDIRECT(ADDRESS(2,COLUMN())),OFFSET($BN$2,0,0,ROW()-1,60),ROW()-1,FALSE))</f>
        <v>339.52499999999998</v>
      </c>
      <c r="AJ13">
        <f ca="1">IF(AND(ISNUMBER($AJ$48),$B$38=1),$AJ$48,HLOOKUP(INDIRECT(ADDRESS(2,COLUMN())),OFFSET($BN$2,0,0,ROW()-1,60),ROW()-1,FALSE))</f>
        <v>339.09500000000003</v>
      </c>
      <c r="AK13">
        <f ca="1">IF(AND(ISNUMBER($AK$48),$B$38=1),$AK$48,HLOOKUP(INDIRECT(ADDRESS(2,COLUMN())),OFFSET($BN$2,0,0,ROW()-1,60),ROW()-1,FALSE))</f>
        <v>325.02999999999997</v>
      </c>
      <c r="AL13">
        <f ca="1">IF(AND(ISNUMBER($AL$48),$B$38=1),$AL$48,HLOOKUP(INDIRECT(ADDRESS(2,COLUMN())),OFFSET($BN$2,0,0,ROW()-1,60),ROW()-1,FALSE))</f>
        <v>274.45499999999998</v>
      </c>
      <c r="AM13">
        <f ca="1">IF(AND(ISNUMBER($AM$48),$B$38=1),$AM$48,HLOOKUP(INDIRECT(ADDRESS(2,COLUMN())),OFFSET($BN$2,0,0,ROW()-1,60),ROW()-1,FALSE))</f>
        <v>272.64400000000001</v>
      </c>
      <c r="AN13">
        <f ca="1">IF(AND(ISNUMBER($AN$48),$B$38=1),$AN$48,HLOOKUP(INDIRECT(ADDRESS(2,COLUMN())),OFFSET($BN$2,0,0,ROW()-1,60),ROW()-1,FALSE))</f>
        <v>372.27499999999998</v>
      </c>
      <c r="AO13">
        <f ca="1">IF(AND(ISNUMBER($AO$48),$B$38=1),$AO$48,HLOOKUP(INDIRECT(ADDRESS(2,COLUMN())),OFFSET($BN$2,0,0,ROW()-1,60),ROW()-1,FALSE))</f>
        <v>406.51400000000001</v>
      </c>
      <c r="AP13">
        <f ca="1">IF(AND(ISNUMBER($AP$48),$B$38=1),$AP$48,HLOOKUP(INDIRECT(ADDRESS(2,COLUMN())),OFFSET($BN$2,0,0,ROW()-1,60),ROW()-1,FALSE))</f>
        <v>529.38800000000003</v>
      </c>
      <c r="AQ13">
        <f ca="1">IF(AND(ISNUMBER($AQ$48),$B$38=1),$AQ$48,HLOOKUP(INDIRECT(ADDRESS(2,COLUMN())),OFFSET($BN$2,0,0,ROW()-1,60),ROW()-1,FALSE))</f>
        <v>483.79899999999998</v>
      </c>
      <c r="AR13">
        <f ca="1">IF(AND(ISNUMBER($AR$48),$B$38=1),$AR$48,HLOOKUP(INDIRECT(ADDRESS(2,COLUMN())),OFFSET($BN$2,0,0,ROW()-1,60),ROW()-1,FALSE))</f>
        <v>487.351</v>
      </c>
      <c r="AS13">
        <f ca="1">IF(AND(ISNUMBER($AS$48),$B$38=1),$AS$48,HLOOKUP(INDIRECT(ADDRESS(2,COLUMN())),OFFSET($BN$2,0,0,ROW()-1,60),ROW()-1,FALSE))</f>
        <v>473.89600000000002</v>
      </c>
      <c r="AT13">
        <f ca="1">IF(AND(ISNUMBER($AT$48),$B$38=1),$AT$48,HLOOKUP(INDIRECT(ADDRESS(2,COLUMN())),OFFSET($BN$2,0,0,ROW()-1,60),ROW()-1,FALSE))</f>
        <v>461.32850000000002</v>
      </c>
      <c r="AU13">
        <f ca="1">IF(AND(ISNUMBER($AU$48),$B$38=1),$AU$48,HLOOKUP(INDIRECT(ADDRESS(2,COLUMN())),OFFSET($BN$2,0,0,ROW()-1,60),ROW()-1,FALSE))</f>
        <v>461.34199999999998</v>
      </c>
      <c r="AV13">
        <f ca="1">IF(AND(ISNUMBER($AV$48),$B$38=1),$AV$48,HLOOKUP(INDIRECT(ADDRESS(2,COLUMN())),OFFSET($BN$2,0,0,ROW()-1,60),ROW()-1,FALSE))</f>
        <v>453.61700000000002</v>
      </c>
      <c r="AW13">
        <f ca="1">IF(AND(ISNUMBER($AW$48),$B$38=1),$AW$48,HLOOKUP(INDIRECT(ADDRESS(2,COLUMN())),OFFSET($BN$2,0,0,ROW()-1,60),ROW()-1,FALSE))</f>
        <v>455.37799999999999</v>
      </c>
      <c r="AX13">
        <f ca="1">IF(AND(ISNUMBER($AX$48),$B$38=1),$AX$48,HLOOKUP(INDIRECT(ADDRESS(2,COLUMN())),OFFSET($BN$2,0,0,ROW()-1,60),ROW()-1,FALSE))</f>
        <v>454.98599999999999</v>
      </c>
      <c r="AY13">
        <f ca="1">IF(AND(ISNUMBER($AY$48),$B$38=1),$AY$48,HLOOKUP(INDIRECT(ADDRESS(2,COLUMN())),OFFSET($BN$2,0,0,ROW()-1,60),ROW()-1,FALSE))</f>
        <v>429.84100000000001</v>
      </c>
      <c r="AZ13">
        <f ca="1">IF(AND(ISNUMBER($AZ$48),$B$38=1),$AZ$48,HLOOKUP(INDIRECT(ADDRESS(2,COLUMN())),OFFSET($BN$2,0,0,ROW()-1,60),ROW()-1,FALSE))</f>
        <v>560.84699999999998</v>
      </c>
      <c r="BA13">
        <f ca="1">IF(AND(ISNUMBER($BA$48),$B$38=1),$BA$48,HLOOKUP(INDIRECT(ADDRESS(2,COLUMN())),OFFSET($BN$2,0,0,ROW()-1,60),ROW()-1,FALSE))</f>
        <v>519.322</v>
      </c>
      <c r="BB13">
        <f ca="1">IF(AND(ISNUMBER($BB$48),$B$38=1),$BB$48,HLOOKUP(INDIRECT(ADDRESS(2,COLUMN())),OFFSET($BN$2,0,0,ROW()-1,60),ROW()-1,FALSE))</f>
        <v>497.34949999999998</v>
      </c>
      <c r="BC13">
        <f ca="1">IF(AND(ISNUMBER($BC$48),$B$38=1),$BC$48,HLOOKUP(INDIRECT(ADDRESS(2,COLUMN())),OFFSET($BN$2,0,0,ROW()-1,60),ROW()-1,FALSE))</f>
        <v>785.87099999999998</v>
      </c>
      <c r="BD13">
        <f ca="1">IF(AND(ISNUMBER($BD$48),$B$38=1),$BD$48,HLOOKUP(INDIRECT(ADDRESS(2,COLUMN())),OFFSET($BN$2,0,0,ROW()-1,60),ROW()-1,FALSE))</f>
        <v>464.49599999999998</v>
      </c>
      <c r="BE13">
        <f ca="1">IF(AND(ISNUMBER($BE$48),$B$38=1),$BE$48,HLOOKUP(INDIRECT(ADDRESS(2,COLUMN())),OFFSET($BN$2,0,0,ROW()-1,60),ROW()-1,FALSE))</f>
        <v>454.13600000000002</v>
      </c>
      <c r="BF13">
        <f ca="1">IF(AND(ISNUMBER($BF$48),$B$38=1),$BF$48,HLOOKUP(INDIRECT(ADDRESS(2,COLUMN())),OFFSET($BN$2,0,0,ROW()-1,60),ROW()-1,FALSE))</f>
        <v>451.53</v>
      </c>
      <c r="BG13">
        <f ca="1">IF(AND(ISNUMBER($BG$48),$B$38=1),$BG$48,HLOOKUP(INDIRECT(ADDRESS(2,COLUMN())),OFFSET($BN$2,0,0,ROW()-1,60),ROW()-1,FALSE))</f>
        <v>441.113</v>
      </c>
      <c r="BH13">
        <f ca="1">IF(AND(ISNUMBER($BH$48),$B$38=1),$BH$48,HLOOKUP(INDIRECT(ADDRESS(2,COLUMN())),OFFSET($BN$2,0,0,ROW()-1,60),ROW()-1,FALSE))</f>
        <v>442.61</v>
      </c>
      <c r="BI13">
        <f ca="1">IF(AND(ISNUMBER($BI$48),$B$38=1),$BI$48,HLOOKUP(INDIRECT(ADDRESS(2,COLUMN())),OFFSET($BN$2,0,0,ROW()-1,60),ROW()-1,FALSE))</f>
        <v>412.27699999999999</v>
      </c>
      <c r="BJ13">
        <f ca="1">IF(AND(ISNUMBER($BJ$48),$B$38=1),$BJ$48,HLOOKUP(INDIRECT(ADDRESS(2,COLUMN())),OFFSET($BN$2,0,0,ROW()-1,60),ROW()-1,FALSE))</f>
        <v>427.5745</v>
      </c>
      <c r="BK13">
        <f ca="1">IF(AND(ISNUMBER($BK$48),$B$38=1),$BK$48,HLOOKUP(INDIRECT(ADDRESS(2,COLUMN())),OFFSET($BN$2,0,0,ROW()-1,60),ROW()-1,FALSE))</f>
        <v>399.95600000000002</v>
      </c>
      <c r="BL13">
        <f ca="1">IF(AND(ISNUMBER($BL$48),$B$38=1),$BL$48,HLOOKUP(INDIRECT(ADDRESS(2,COLUMN())),OFFSET($BN$2,0,0,ROW()-1,60),ROW()-1,FALSE))</f>
        <v>409.483</v>
      </c>
      <c r="BM13">
        <f ca="1">IF(AND(ISNUMBER($BM$48),$B$38=1),$BM$48,HLOOKUP(INDIRECT(ADDRESS(2,COLUMN())),OFFSET($BN$2,0,0,ROW()-1,60),ROW()-1,FALSE))</f>
        <v>364.721</v>
      </c>
      <c r="BN13">
        <f>753.9245385</f>
        <v>753.92453850000004</v>
      </c>
      <c r="BO13">
        <f>747.44</f>
        <v>747.44</v>
      </c>
      <c r="BP13">
        <f>753.592</f>
        <v>753.59199999999998</v>
      </c>
      <c r="BQ13">
        <f>729.514</f>
        <v>729.51400000000001</v>
      </c>
      <c r="BR13">
        <f>746.703</f>
        <v>746.70299999999997</v>
      </c>
      <c r="BS13">
        <f>705.969</f>
        <v>705.96900000000005</v>
      </c>
      <c r="BT13">
        <f>736.292</f>
        <v>736.29200000000003</v>
      </c>
      <c r="BU13">
        <f>773.277</f>
        <v>773.27700000000004</v>
      </c>
      <c r="BV13">
        <f>674.807</f>
        <v>674.80700000000002</v>
      </c>
      <c r="BW13">
        <f>685.77</f>
        <v>685.77</v>
      </c>
      <c r="BX13">
        <f>714.994</f>
        <v>714.99400000000003</v>
      </c>
      <c r="BY13">
        <f>749.371</f>
        <v>749.37099999999998</v>
      </c>
      <c r="BZ13">
        <f>679.881</f>
        <v>679.88099999999997</v>
      </c>
      <c r="CA13">
        <f>781.845</f>
        <v>781.84500000000003</v>
      </c>
      <c r="CB13">
        <f>634.296</f>
        <v>634.29600000000005</v>
      </c>
      <c r="CC13">
        <f>628.808</f>
        <v>628.80799999999999</v>
      </c>
      <c r="CD13">
        <f>617.625</f>
        <v>617.625</v>
      </c>
      <c r="CE13">
        <f>532.979</f>
        <v>532.97900000000004</v>
      </c>
      <c r="CF13">
        <f>529.008</f>
        <v>529.00800000000004</v>
      </c>
      <c r="CG13">
        <f>494.561</f>
        <v>494.56099999999998</v>
      </c>
      <c r="CH13">
        <f>1223.83</f>
        <v>1223.83</v>
      </c>
      <c r="CI13">
        <f>503.047</f>
        <v>503.04700000000003</v>
      </c>
      <c r="CJ13">
        <f>508.846</f>
        <v>508.846</v>
      </c>
      <c r="CK13">
        <f>423.125</f>
        <v>423.125</v>
      </c>
      <c r="CL13">
        <f>405.555</f>
        <v>405.55500000000001</v>
      </c>
      <c r="CM13">
        <f>390.701</f>
        <v>390.70100000000002</v>
      </c>
      <c r="CN13">
        <f>383.48</f>
        <v>383.48</v>
      </c>
      <c r="CO13">
        <f>372.881</f>
        <v>372.88099999999997</v>
      </c>
      <c r="CP13">
        <f>350.2085</f>
        <v>350.20850000000002</v>
      </c>
      <c r="CQ13">
        <f>339.525</f>
        <v>339.52499999999998</v>
      </c>
      <c r="CR13">
        <f>339.095</f>
        <v>339.09500000000003</v>
      </c>
      <c r="CS13">
        <f>325.03</f>
        <v>325.02999999999997</v>
      </c>
      <c r="CT13">
        <f>274.455</f>
        <v>274.45499999999998</v>
      </c>
      <c r="CU13">
        <f>272.644</f>
        <v>272.64400000000001</v>
      </c>
      <c r="CV13">
        <f>372.275</f>
        <v>372.27499999999998</v>
      </c>
      <c r="CW13">
        <f>406.514</f>
        <v>406.51400000000001</v>
      </c>
      <c r="CX13">
        <f>529.388</f>
        <v>529.38800000000003</v>
      </c>
      <c r="CY13">
        <f>483.799</f>
        <v>483.79899999999998</v>
      </c>
      <c r="CZ13">
        <f>487.351</f>
        <v>487.351</v>
      </c>
      <c r="DA13">
        <f>473.896</f>
        <v>473.89600000000002</v>
      </c>
      <c r="DB13">
        <f>461.3285</f>
        <v>461.32850000000002</v>
      </c>
      <c r="DC13">
        <f>461.342</f>
        <v>461.34199999999998</v>
      </c>
      <c r="DD13">
        <f>453.617</f>
        <v>453.61700000000002</v>
      </c>
      <c r="DE13">
        <f>455.378</f>
        <v>455.37799999999999</v>
      </c>
      <c r="DF13">
        <f>454.986</f>
        <v>454.98599999999999</v>
      </c>
      <c r="DG13">
        <f>429.841</f>
        <v>429.84100000000001</v>
      </c>
      <c r="DH13">
        <f>560.847</f>
        <v>560.84699999999998</v>
      </c>
      <c r="DI13">
        <f>519.322</f>
        <v>519.322</v>
      </c>
      <c r="DJ13">
        <f>497.3495</f>
        <v>497.34949999999998</v>
      </c>
      <c r="DK13">
        <f>785.871</f>
        <v>785.87099999999998</v>
      </c>
      <c r="DL13">
        <f>464.496</f>
        <v>464.49599999999998</v>
      </c>
      <c r="DM13">
        <f>454.136</f>
        <v>454.13600000000002</v>
      </c>
      <c r="DN13">
        <f>451.53</f>
        <v>451.53</v>
      </c>
      <c r="DO13">
        <f>441.113</f>
        <v>441.113</v>
      </c>
      <c r="DP13">
        <f>442.61</f>
        <v>442.61</v>
      </c>
      <c r="DQ13">
        <f>412.277</f>
        <v>412.27699999999999</v>
      </c>
      <c r="DR13">
        <f>427.5745</f>
        <v>427.5745</v>
      </c>
      <c r="DS13">
        <f>399.956</f>
        <v>399.95600000000002</v>
      </c>
      <c r="DT13">
        <f>409.483</f>
        <v>409.483</v>
      </c>
      <c r="DU13">
        <f>364.721</f>
        <v>364.721</v>
      </c>
    </row>
    <row r="14" spans="1:125">
      <c r="A14" t="str">
        <f>"地区购物商城房地产投资信托数据"</f>
        <v>地区购物商城房地产投资信托数据</v>
      </c>
      <c r="B14" t="str">
        <f>""</f>
        <v/>
      </c>
      <c r="E14" t="str">
        <f>"静态"</f>
        <v>静态</v>
      </c>
      <c r="F14" t="str">
        <f t="shared" ref="F14:AK14" ca="1" si="4">HLOOKUP(INDIRECT(ADDRESS(2,COLUMN())),OFFSET($BN$2,0,0,ROW()-1,60),ROW()-1,FALSE)</f>
        <v/>
      </c>
      <c r="G14" t="str">
        <f t="shared" ca="1" si="4"/>
        <v/>
      </c>
      <c r="H14" t="str">
        <f t="shared" ca="1" si="4"/>
        <v/>
      </c>
      <c r="I14" t="str">
        <f t="shared" ca="1" si="4"/>
        <v/>
      </c>
      <c r="J14" t="str">
        <f t="shared" ca="1" si="4"/>
        <v/>
      </c>
      <c r="K14" t="str">
        <f t="shared" ca="1" si="4"/>
        <v/>
      </c>
      <c r="L14" t="str">
        <f t="shared" ca="1" si="4"/>
        <v/>
      </c>
      <c r="M14" t="str">
        <f t="shared" ca="1" si="4"/>
        <v/>
      </c>
      <c r="N14" t="str">
        <f t="shared" ca="1" si="4"/>
        <v/>
      </c>
      <c r="O14" t="str">
        <f t="shared" ca="1" si="4"/>
        <v/>
      </c>
      <c r="P14" t="str">
        <f t="shared" ca="1" si="4"/>
        <v/>
      </c>
      <c r="Q14" t="str">
        <f t="shared" ca="1" si="4"/>
        <v/>
      </c>
      <c r="R14" t="str">
        <f t="shared" ca="1" si="4"/>
        <v/>
      </c>
      <c r="S14" t="str">
        <f t="shared" ca="1" si="4"/>
        <v/>
      </c>
      <c r="T14" t="str">
        <f t="shared" ca="1" si="4"/>
        <v/>
      </c>
      <c r="U14" t="str">
        <f t="shared" ca="1" si="4"/>
        <v/>
      </c>
      <c r="V14" t="str">
        <f t="shared" ca="1" si="4"/>
        <v/>
      </c>
      <c r="W14" t="str">
        <f t="shared" ca="1" si="4"/>
        <v/>
      </c>
      <c r="X14" t="str">
        <f t="shared" ca="1" si="4"/>
        <v/>
      </c>
      <c r="Y14" t="str">
        <f t="shared" ca="1" si="4"/>
        <v/>
      </c>
      <c r="Z14" t="str">
        <f t="shared" ca="1" si="4"/>
        <v/>
      </c>
      <c r="AA14" t="str">
        <f t="shared" ca="1" si="4"/>
        <v/>
      </c>
      <c r="AB14" t="str">
        <f t="shared" ca="1" si="4"/>
        <v/>
      </c>
      <c r="AC14" t="str">
        <f t="shared" ca="1" si="4"/>
        <v/>
      </c>
      <c r="AD14" t="str">
        <f t="shared" ca="1" si="4"/>
        <v/>
      </c>
      <c r="AE14" t="str">
        <f t="shared" ca="1" si="4"/>
        <v/>
      </c>
      <c r="AF14" t="str">
        <f t="shared" ca="1" si="4"/>
        <v/>
      </c>
      <c r="AG14" t="str">
        <f t="shared" ca="1" si="4"/>
        <v/>
      </c>
      <c r="AH14" t="str">
        <f t="shared" ca="1" si="4"/>
        <v/>
      </c>
      <c r="AI14" t="str">
        <f t="shared" ca="1" si="4"/>
        <v/>
      </c>
      <c r="AJ14" t="str">
        <f t="shared" ca="1" si="4"/>
        <v/>
      </c>
      <c r="AK14" t="str">
        <f t="shared" ca="1" si="4"/>
        <v/>
      </c>
      <c r="AL14" t="str">
        <f t="shared" ref="AL14:BM14" ca="1" si="5">HLOOKUP(INDIRECT(ADDRESS(2,COLUMN())),OFFSET($BN$2,0,0,ROW()-1,60),ROW()-1,FALSE)</f>
        <v/>
      </c>
      <c r="AM14" t="str">
        <f t="shared" ca="1" si="5"/>
        <v/>
      </c>
      <c r="AN14" t="str">
        <f t="shared" ca="1" si="5"/>
        <v/>
      </c>
      <c r="AO14" t="str">
        <f t="shared" ca="1" si="5"/>
        <v/>
      </c>
      <c r="AP14" t="str">
        <f t="shared" ca="1" si="5"/>
        <v/>
      </c>
      <c r="AQ14" t="str">
        <f t="shared" ca="1" si="5"/>
        <v/>
      </c>
      <c r="AR14" t="str">
        <f t="shared" ca="1" si="5"/>
        <v/>
      </c>
      <c r="AS14" t="str">
        <f t="shared" ca="1" si="5"/>
        <v/>
      </c>
      <c r="AT14" t="str">
        <f t="shared" ca="1" si="5"/>
        <v/>
      </c>
      <c r="AU14" t="str">
        <f t="shared" ca="1" si="5"/>
        <v/>
      </c>
      <c r="AV14" t="str">
        <f t="shared" ca="1" si="5"/>
        <v/>
      </c>
      <c r="AW14" t="str">
        <f t="shared" ca="1" si="5"/>
        <v/>
      </c>
      <c r="AX14" t="str">
        <f t="shared" ca="1" si="5"/>
        <v/>
      </c>
      <c r="AY14" t="str">
        <f t="shared" ca="1" si="5"/>
        <v/>
      </c>
      <c r="AZ14" t="str">
        <f t="shared" ca="1" si="5"/>
        <v/>
      </c>
      <c r="BA14" t="str">
        <f t="shared" ca="1" si="5"/>
        <v/>
      </c>
      <c r="BB14" t="str">
        <f t="shared" ca="1" si="5"/>
        <v/>
      </c>
      <c r="BC14" t="str">
        <f t="shared" ca="1" si="5"/>
        <v/>
      </c>
      <c r="BD14" t="str">
        <f t="shared" ca="1" si="5"/>
        <v/>
      </c>
      <c r="BE14" t="str">
        <f t="shared" ca="1" si="5"/>
        <v/>
      </c>
      <c r="BF14" t="str">
        <f t="shared" ca="1" si="5"/>
        <v/>
      </c>
      <c r="BG14" t="str">
        <f t="shared" ca="1" si="5"/>
        <v/>
      </c>
      <c r="BH14" t="str">
        <f t="shared" ca="1" si="5"/>
        <v/>
      </c>
      <c r="BI14" t="str">
        <f t="shared" ca="1" si="5"/>
        <v/>
      </c>
      <c r="BJ14" t="str">
        <f t="shared" ca="1" si="5"/>
        <v/>
      </c>
      <c r="BK14" t="str">
        <f t="shared" ca="1" si="5"/>
        <v/>
      </c>
      <c r="BL14" t="str">
        <f t="shared" ca="1" si="5"/>
        <v/>
      </c>
      <c r="BM14" t="str">
        <f t="shared" ca="1" si="5"/>
        <v/>
      </c>
      <c r="BN14" t="str">
        <f>""</f>
        <v/>
      </c>
      <c r="BO14" t="str">
        <f>""</f>
        <v/>
      </c>
      <c r="BP14" t="str">
        <f>""</f>
        <v/>
      </c>
      <c r="BQ14" t="str">
        <f>""</f>
        <v/>
      </c>
      <c r="BR14" t="str">
        <f>""</f>
        <v/>
      </c>
      <c r="BS14" t="str">
        <f>""</f>
        <v/>
      </c>
      <c r="BT14" t="str">
        <f>""</f>
        <v/>
      </c>
      <c r="BU14" t="str">
        <f>""</f>
        <v/>
      </c>
      <c r="BV14" t="str">
        <f>""</f>
        <v/>
      </c>
      <c r="BW14" t="str">
        <f>""</f>
        <v/>
      </c>
      <c r="BX14" t="str">
        <f>""</f>
        <v/>
      </c>
      <c r="BY14" t="str">
        <f>""</f>
        <v/>
      </c>
      <c r="BZ14" t="str">
        <f>""</f>
        <v/>
      </c>
      <c r="CA14" t="str">
        <f>""</f>
        <v/>
      </c>
      <c r="CB14" t="str">
        <f>""</f>
        <v/>
      </c>
      <c r="CC14" t="str">
        <f>""</f>
        <v/>
      </c>
      <c r="CD14" t="str">
        <f>""</f>
        <v/>
      </c>
      <c r="CE14" t="str">
        <f>""</f>
        <v/>
      </c>
      <c r="CF14" t="str">
        <f>""</f>
        <v/>
      </c>
      <c r="CG14" t="str">
        <f>""</f>
        <v/>
      </c>
      <c r="CH14" t="str">
        <f>""</f>
        <v/>
      </c>
      <c r="CI14" t="str">
        <f>""</f>
        <v/>
      </c>
      <c r="CJ14" t="str">
        <f>""</f>
        <v/>
      </c>
      <c r="CK14" t="str">
        <f>""</f>
        <v/>
      </c>
      <c r="CL14" t="str">
        <f>""</f>
        <v/>
      </c>
      <c r="CM14" t="str">
        <f>""</f>
        <v/>
      </c>
      <c r="CN14" t="str">
        <f>""</f>
        <v/>
      </c>
      <c r="CO14" t="str">
        <f>""</f>
        <v/>
      </c>
      <c r="CP14" t="str">
        <f>""</f>
        <v/>
      </c>
      <c r="CQ14" t="str">
        <f>""</f>
        <v/>
      </c>
      <c r="CR14" t="str">
        <f>""</f>
        <v/>
      </c>
      <c r="CS14" t="str">
        <f>""</f>
        <v/>
      </c>
      <c r="CT14" t="str">
        <f>""</f>
        <v/>
      </c>
      <c r="CU14" t="str">
        <f>""</f>
        <v/>
      </c>
      <c r="CV14" t="str">
        <f>""</f>
        <v/>
      </c>
      <c r="CW14" t="str">
        <f>""</f>
        <v/>
      </c>
      <c r="CX14" t="str">
        <f>""</f>
        <v/>
      </c>
      <c r="CY14" t="str">
        <f>""</f>
        <v/>
      </c>
      <c r="CZ14" t="str">
        <f>""</f>
        <v/>
      </c>
      <c r="DA14" t="str">
        <f>""</f>
        <v/>
      </c>
      <c r="DB14" t="str">
        <f>""</f>
        <v/>
      </c>
      <c r="DC14" t="str">
        <f>""</f>
        <v/>
      </c>
      <c r="DD14" t="str">
        <f>""</f>
        <v/>
      </c>
      <c r="DE14" t="str">
        <f>""</f>
        <v/>
      </c>
      <c r="DF14" t="str">
        <f>""</f>
        <v/>
      </c>
      <c r="DG14" t="str">
        <f>""</f>
        <v/>
      </c>
      <c r="DH14" t="str">
        <f>""</f>
        <v/>
      </c>
      <c r="DI14" t="str">
        <f>""</f>
        <v/>
      </c>
      <c r="DJ14" t="str">
        <f>""</f>
        <v/>
      </c>
      <c r="DK14" t="str">
        <f>""</f>
        <v/>
      </c>
      <c r="DL14" t="str">
        <f>""</f>
        <v/>
      </c>
      <c r="DM14" t="str">
        <f>""</f>
        <v/>
      </c>
      <c r="DN14" t="str">
        <f>""</f>
        <v/>
      </c>
      <c r="DO14" t="str">
        <f>""</f>
        <v/>
      </c>
      <c r="DP14" t="str">
        <f>""</f>
        <v/>
      </c>
      <c r="DQ14" t="str">
        <f>""</f>
        <v/>
      </c>
      <c r="DR14" t="str">
        <f>""</f>
        <v/>
      </c>
      <c r="DS14" t="str">
        <f>""</f>
        <v/>
      </c>
      <c r="DT14" t="str">
        <f>""</f>
        <v/>
      </c>
      <c r="DU14" t="str">
        <f>""</f>
        <v/>
      </c>
    </row>
    <row r="15" spans="1:125">
      <c r="A15" t="str">
        <f>"    购物商城房地产投资信托总营运现金流"</f>
        <v xml:space="preserve">    购物商城房地产投资信托总营运现金流</v>
      </c>
      <c r="B15" t="str">
        <f>"RECFFORM Index"</f>
        <v>RECFFORM Index</v>
      </c>
      <c r="C15" t="str">
        <f>"PR005"</f>
        <v>PR005</v>
      </c>
      <c r="D15" t="str">
        <f>"PX_LAST"</f>
        <v>PX_LAST</v>
      </c>
      <c r="E15" t="str">
        <f>"动态"</f>
        <v>动态</v>
      </c>
      <c r="F15">
        <f ca="1">IF(AND(ISNUMBER($F$49),$B$38=1),$F$49,HLOOKUP(INDIRECT(ADDRESS(2,COLUMN())),OFFSET($BN$2,0,0,ROW()-1,60),ROW()-1,FALSE))</f>
        <v>2015.3764369999999</v>
      </c>
      <c r="G15">
        <f ca="1">IF(AND(ISNUMBER($G$49),$B$38=1),$G$49,HLOOKUP(INDIRECT(ADDRESS(2,COLUMN())),OFFSET($BN$2,0,0,ROW()-1,60),ROW()-1,FALSE))</f>
        <v>1799.7650000000001</v>
      </c>
      <c r="H15">
        <f ca="1">IF(AND(ISNUMBER($H$49),$B$38=1),$H$49,HLOOKUP(INDIRECT(ADDRESS(2,COLUMN())),OFFSET($BN$2,0,0,ROW()-1,60),ROW()-1,FALSE))</f>
        <v>1723.614</v>
      </c>
      <c r="I15">
        <f ca="1">IF(AND(ISNUMBER($I$49),$B$38=1),$I$49,HLOOKUP(INDIRECT(ADDRESS(2,COLUMN())),OFFSET($BN$2,0,0,ROW()-1,60),ROW()-1,FALSE))</f>
        <v>1739.2070000000001</v>
      </c>
      <c r="J15">
        <f ca="1">IF(AND(ISNUMBER($J$49),$B$38=1),$J$49,HLOOKUP(INDIRECT(ADDRESS(2,COLUMN())),OFFSET($BN$2,0,0,ROW()-1,60),ROW()-1,FALSE))</f>
        <v>1916.98</v>
      </c>
      <c r="K15">
        <f ca="1">IF(AND(ISNUMBER($K$49),$B$38=1),$K$49,HLOOKUP(INDIRECT(ADDRESS(2,COLUMN())),OFFSET($BN$2,0,0,ROW()-1,60),ROW()-1,FALSE))</f>
        <v>1777.952</v>
      </c>
      <c r="L15">
        <f ca="1">IF(AND(ISNUMBER($L$49),$B$38=1),$L$49,HLOOKUP(INDIRECT(ADDRESS(2,COLUMN())),OFFSET($BN$2,0,0,ROW()-1,60),ROW()-1,FALSE))</f>
        <v>1796.1</v>
      </c>
      <c r="M15">
        <f ca="1">IF(AND(ISNUMBER($M$49),$B$38=1),$M$49,HLOOKUP(INDIRECT(ADDRESS(2,COLUMN())),OFFSET($BN$2,0,0,ROW()-1,60),ROW()-1,FALSE))</f>
        <v>1781.6969999999999</v>
      </c>
      <c r="N15">
        <f ca="1">IF(AND(ISNUMBER($N$49),$B$38=1),$N$49,HLOOKUP(INDIRECT(ADDRESS(2,COLUMN())),OFFSET($BN$2,0,0,ROW()-1,60),ROW()-1,FALSE))</f>
        <v>1835.7539999999999</v>
      </c>
      <c r="O15">
        <f ca="1">IF(AND(ISNUMBER($O$49),$B$38=1),$O$49,HLOOKUP(INDIRECT(ADDRESS(2,COLUMN())),OFFSET($BN$2,0,0,ROW()-1,60),ROW()-1,FALSE))</f>
        <v>1729.2149999999999</v>
      </c>
      <c r="P15">
        <f ca="1">IF(AND(ISNUMBER($P$49),$B$38=1),$P$49,HLOOKUP(INDIRECT(ADDRESS(2,COLUMN())),OFFSET($BN$2,0,0,ROW()-1,60),ROW()-1,FALSE))</f>
        <v>1716.654</v>
      </c>
      <c r="Q15">
        <f ca="1">IF(AND(ISNUMBER($Q$49),$B$38=1),$Q$49,HLOOKUP(INDIRECT(ADDRESS(2,COLUMN())),OFFSET($BN$2,0,0,ROW()-1,60),ROW()-1,FALSE))</f>
        <v>1518.8</v>
      </c>
      <c r="R15">
        <f ca="1">IF(AND(ISNUMBER($R$49),$B$38=1),$R$49,HLOOKUP(INDIRECT(ADDRESS(2,COLUMN())),OFFSET($BN$2,0,0,ROW()-1,60),ROW()-1,FALSE))</f>
        <v>1823.0930000000001</v>
      </c>
      <c r="S15">
        <f ca="1">IF(AND(ISNUMBER($S$49),$B$38=1),$S$49,HLOOKUP(INDIRECT(ADDRESS(2,COLUMN())),OFFSET($BN$2,0,0,ROW()-1,60),ROW()-1,FALSE))</f>
        <v>1460.346</v>
      </c>
      <c r="T15">
        <f ca="1">IF(AND(ISNUMBER($T$49),$B$38=1),$T$49,HLOOKUP(INDIRECT(ADDRESS(2,COLUMN())),OFFSET($BN$2,0,0,ROW()-1,60),ROW()-1,FALSE))</f>
        <v>1455.752</v>
      </c>
      <c r="U15">
        <f ca="1">IF(AND(ISNUMBER($U$49),$B$38=1),$U$49,HLOOKUP(INDIRECT(ADDRESS(2,COLUMN())),OFFSET($BN$2,0,0,ROW()-1,60),ROW()-1,FALSE))</f>
        <v>1592.8389999999999</v>
      </c>
      <c r="V15">
        <f ca="1">IF(AND(ISNUMBER($V$49),$B$38=1),$V$49,HLOOKUP(INDIRECT(ADDRESS(2,COLUMN())),OFFSET($BN$2,0,0,ROW()-1,60),ROW()-1,FALSE))</f>
        <v>1636.769</v>
      </c>
      <c r="W15">
        <f ca="1">IF(AND(ISNUMBER($W$49),$B$38=1),$W$49,HLOOKUP(INDIRECT(ADDRESS(2,COLUMN())),OFFSET($BN$2,0,0,ROW()-1,60),ROW()-1,FALSE))</f>
        <v>1431.13</v>
      </c>
      <c r="X15">
        <f ca="1">IF(AND(ISNUMBER($X$49),$B$38=1),$X$49,HLOOKUP(INDIRECT(ADDRESS(2,COLUMN())),OFFSET($BN$2,0,0,ROW()-1,60),ROW()-1,FALSE))</f>
        <v>1331.1479999999999</v>
      </c>
      <c r="Y15">
        <f ca="1">IF(AND(ISNUMBER($Y$49),$B$38=1),$Y$49,HLOOKUP(INDIRECT(ADDRESS(2,COLUMN())),OFFSET($BN$2,0,0,ROW()-1,60),ROW()-1,FALSE))</f>
        <v>1295.2940000000001</v>
      </c>
      <c r="Z15">
        <f ca="1">IF(AND(ISNUMBER($Z$49),$B$38=1),$Z$49,HLOOKUP(INDIRECT(ADDRESS(2,COLUMN())),OFFSET($BN$2,0,0,ROW()-1,60),ROW()-1,FALSE))</f>
        <v>1481.19</v>
      </c>
      <c r="AA15">
        <f ca="1">IF(AND(ISNUMBER($AA$49),$B$38=1),$AA$49,HLOOKUP(INDIRECT(ADDRESS(2,COLUMN())),OFFSET($BN$2,0,0,ROW()-1,60),ROW()-1,FALSE))</f>
        <v>1138.5070000000001</v>
      </c>
      <c r="AB15">
        <f ca="1">IF(AND(ISNUMBER($AB$49),$B$38=1),$AB$49,HLOOKUP(INDIRECT(ADDRESS(2,COLUMN())),OFFSET($BN$2,0,0,ROW()-1,60),ROW()-1,FALSE))</f>
        <v>1200.019</v>
      </c>
      <c r="AC15">
        <f ca="1">IF(AND(ISNUMBER($AC$49),$B$38=1),$AC$49,HLOOKUP(INDIRECT(ADDRESS(2,COLUMN())),OFFSET($BN$2,0,0,ROW()-1,60),ROW()-1,FALSE))</f>
        <v>998.13699999999994</v>
      </c>
      <c r="AD15">
        <f ca="1">IF(AND(ISNUMBER($AD$49),$B$38=1),$AD$49,HLOOKUP(INDIRECT(ADDRESS(2,COLUMN())),OFFSET($BN$2,0,0,ROW()-1,60),ROW()-1,FALSE))</f>
        <v>1115.04</v>
      </c>
      <c r="AE15">
        <f ca="1">IF(AND(ISNUMBER($AE$49),$B$38=1),$AE$49,HLOOKUP(INDIRECT(ADDRESS(2,COLUMN())),OFFSET($BN$2,0,0,ROW()-1,60),ROW()-1,FALSE))</f>
        <v>1424.7170000000001</v>
      </c>
      <c r="AF15">
        <f ca="1">IF(AND(ISNUMBER($AF$49),$B$38=1),$AF$49,HLOOKUP(INDIRECT(ADDRESS(2,COLUMN())),OFFSET($BN$2,0,0,ROW()-1,60),ROW()-1,FALSE))</f>
        <v>932.94100000000003</v>
      </c>
      <c r="AG15">
        <f ca="1">IF(AND(ISNUMBER($AG$49),$B$38=1),$AG$49,HLOOKUP(INDIRECT(ADDRESS(2,COLUMN())),OFFSET($BN$2,0,0,ROW()-1,60),ROW()-1,FALSE))</f>
        <v>1143.6289999999999</v>
      </c>
      <c r="AH15">
        <f ca="1">IF(AND(ISNUMBER($AH$49),$B$38=1),$AH$49,HLOOKUP(INDIRECT(ADDRESS(2,COLUMN())),OFFSET($BN$2,0,0,ROW()-1,60),ROW()-1,FALSE))</f>
        <v>1205.81</v>
      </c>
      <c r="AI15">
        <f ca="1">IF(AND(ISNUMBER($AI$49),$B$38=1),$AI$49,HLOOKUP(INDIRECT(ADDRESS(2,COLUMN())),OFFSET($BN$2,0,0,ROW()-1,60),ROW()-1,FALSE))</f>
        <v>569.32799999999997</v>
      </c>
      <c r="AJ15">
        <f ca="1">IF(AND(ISNUMBER($AJ$49),$B$38=1),$AJ$49,HLOOKUP(INDIRECT(ADDRESS(2,COLUMN())),OFFSET($BN$2,0,0,ROW()-1,60),ROW()-1,FALSE))</f>
        <v>698.01499999999999</v>
      </c>
      <c r="AK15">
        <f ca="1">IF(AND(ISNUMBER($AK$49),$B$38=1),$AK$49,HLOOKUP(INDIRECT(ADDRESS(2,COLUMN())),OFFSET($BN$2,0,0,ROW()-1,60),ROW()-1,FALSE))</f>
        <v>566.09100000000001</v>
      </c>
      <c r="AL15">
        <f ca="1">IF(AND(ISNUMBER($AL$49),$B$38=1),$AL$49,HLOOKUP(INDIRECT(ADDRESS(2,COLUMN())),OFFSET($BN$2,0,0,ROW()-1,60),ROW()-1,FALSE))</f>
        <v>792.846</v>
      </c>
      <c r="AM15">
        <f ca="1">IF(AND(ISNUMBER($AM$49),$B$38=1),$AM$49,HLOOKUP(INDIRECT(ADDRESS(2,COLUMN())),OFFSET($BN$2,0,0,ROW()-1,60),ROW()-1,FALSE))</f>
        <v>636.16700000000003</v>
      </c>
      <c r="AN15">
        <f ca="1">IF(AND(ISNUMBER($AN$49),$B$38=1),$AN$49,HLOOKUP(INDIRECT(ADDRESS(2,COLUMN())),OFFSET($BN$2,0,0,ROW()-1,60),ROW()-1,FALSE))</f>
        <v>560.29300000000001</v>
      </c>
      <c r="AO15">
        <f ca="1">IF(AND(ISNUMBER($AO$49),$B$38=1),$AO$49,HLOOKUP(INDIRECT(ADDRESS(2,COLUMN())),OFFSET($BN$2,0,0,ROW()-1,60),ROW()-1,FALSE))</f>
        <v>753.91</v>
      </c>
      <c r="AP15">
        <f ca="1">IF(AND(ISNUMBER($AP$49),$B$38=1),$AP$49,HLOOKUP(INDIRECT(ADDRESS(2,COLUMN())),OFFSET($BN$2,0,0,ROW()-1,60),ROW()-1,FALSE))</f>
        <v>838.52099999999996</v>
      </c>
      <c r="AQ15">
        <f ca="1">IF(AND(ISNUMBER($AQ$49),$B$38=1),$AQ$49,HLOOKUP(INDIRECT(ADDRESS(2,COLUMN())),OFFSET($BN$2,0,0,ROW()-1,60),ROW()-1,FALSE))</f>
        <v>926.56399999999996</v>
      </c>
      <c r="AR15">
        <f ca="1">IF(AND(ISNUMBER($AR$49),$B$38=1),$AR$49,HLOOKUP(INDIRECT(ADDRESS(2,COLUMN())),OFFSET($BN$2,0,0,ROW()-1,60),ROW()-1,FALSE))</f>
        <v>848.88300000000004</v>
      </c>
      <c r="AS15">
        <f ca="1">IF(AND(ISNUMBER($AS$49),$B$38=1),$AS$49,HLOOKUP(INDIRECT(ADDRESS(2,COLUMN())),OFFSET($BN$2,0,0,ROW()-1,60),ROW()-1,FALSE))</f>
        <v>911.29100000000005</v>
      </c>
      <c r="AT15">
        <f ca="1">IF(AND(ISNUMBER($AT$49),$B$38=1),$AT$49,HLOOKUP(INDIRECT(ADDRESS(2,COLUMN())),OFFSET($BN$2,0,0,ROW()-1,60),ROW()-1,FALSE))</f>
        <v>975.90599999999995</v>
      </c>
      <c r="AU15">
        <f ca="1">IF(AND(ISNUMBER($AU$49),$B$38=1),$AU$49,HLOOKUP(INDIRECT(ADDRESS(2,COLUMN())),OFFSET($BN$2,0,0,ROW()-1,60),ROW()-1,FALSE))</f>
        <v>931.09799999999996</v>
      </c>
      <c r="AV15">
        <f ca="1">IF(AND(ISNUMBER($AV$49),$B$38=1),$AV$49,HLOOKUP(INDIRECT(ADDRESS(2,COLUMN())),OFFSET($BN$2,0,0,ROW()-1,60),ROW()-1,FALSE))</f>
        <v>855.18899999999996</v>
      </c>
      <c r="AW15">
        <f ca="1">IF(AND(ISNUMBER($AW$49),$B$38=1),$AW$49,HLOOKUP(INDIRECT(ADDRESS(2,COLUMN())),OFFSET($BN$2,0,0,ROW()-1,60),ROW()-1,FALSE))</f>
        <v>1151.5619999999999</v>
      </c>
      <c r="AX15">
        <f ca="1">IF(AND(ISNUMBER($AX$49),$B$38=1),$AX$49,HLOOKUP(INDIRECT(ADDRESS(2,COLUMN())),OFFSET($BN$2,0,0,ROW()-1,60),ROW()-1,FALSE))</f>
        <v>1007.1015</v>
      </c>
      <c r="AY15">
        <f ca="1">IF(AND(ISNUMBER($AY$49),$B$38=1),$AY$49,HLOOKUP(INDIRECT(ADDRESS(2,COLUMN())),OFFSET($BN$2,0,0,ROW()-1,60),ROW()-1,FALSE))</f>
        <v>826.63099999999997</v>
      </c>
      <c r="AZ15">
        <f ca="1">IF(AND(ISNUMBER($AZ$49),$B$38=1),$AZ$49,HLOOKUP(INDIRECT(ADDRESS(2,COLUMN())),OFFSET($BN$2,0,0,ROW()-1,60),ROW()-1,FALSE))</f>
        <v>752.88900000000001</v>
      </c>
      <c r="BA15">
        <f ca="1">IF(AND(ISNUMBER($BA$49),$B$38=1),$BA$49,HLOOKUP(INDIRECT(ADDRESS(2,COLUMN())),OFFSET($BN$2,0,0,ROW()-1,60),ROW()-1,FALSE))</f>
        <v>862.15700000000004</v>
      </c>
      <c r="BB15">
        <f ca="1">IF(AND(ISNUMBER($BB$49),$B$38=1),$BB$49,HLOOKUP(INDIRECT(ADDRESS(2,COLUMN())),OFFSET($BN$2,0,0,ROW()-1,60),ROW()-1,FALSE))</f>
        <v>1003.9640000000001</v>
      </c>
      <c r="BC15">
        <f ca="1">IF(AND(ISNUMBER($BC$49),$B$38=1),$BC$49,HLOOKUP(INDIRECT(ADDRESS(2,COLUMN())),OFFSET($BN$2,0,0,ROW()-1,60),ROW()-1,FALSE))</f>
        <v>862.68799999999999</v>
      </c>
      <c r="BD15">
        <f ca="1">IF(AND(ISNUMBER($BD$49),$B$38=1),$BD$49,HLOOKUP(INDIRECT(ADDRESS(2,COLUMN())),OFFSET($BN$2,0,0,ROW()-1,60),ROW()-1,FALSE))</f>
        <v>868.55799999999999</v>
      </c>
      <c r="BE15">
        <f ca="1">IF(AND(ISNUMBER($BE$49),$B$38=1),$BE$49,HLOOKUP(INDIRECT(ADDRESS(2,COLUMN())),OFFSET($BN$2,0,0,ROW()-1,60),ROW()-1,FALSE))</f>
        <v>856.28</v>
      </c>
      <c r="BF15">
        <f ca="1">IF(AND(ISNUMBER($BF$49),$B$38=1),$BF$49,HLOOKUP(INDIRECT(ADDRESS(2,COLUMN())),OFFSET($BN$2,0,0,ROW()-1,60),ROW()-1,FALSE))</f>
        <v>1017.893</v>
      </c>
      <c r="BG15">
        <f ca="1">IF(AND(ISNUMBER($BG$49),$B$38=1),$BG$49,HLOOKUP(INDIRECT(ADDRESS(2,COLUMN())),OFFSET($BN$2,0,0,ROW()-1,60),ROW()-1,FALSE))</f>
        <v>792.04499999999996</v>
      </c>
      <c r="BH15">
        <f ca="1">IF(AND(ISNUMBER($BH$49),$B$38=1),$BH$49,HLOOKUP(INDIRECT(ADDRESS(2,COLUMN())),OFFSET($BN$2,0,0,ROW()-1,60),ROW()-1,FALSE))</f>
        <v>817.52099999999996</v>
      </c>
      <c r="BI15">
        <f ca="1">IF(AND(ISNUMBER($BI$49),$B$38=1),$BI$49,HLOOKUP(INDIRECT(ADDRESS(2,COLUMN())),OFFSET($BN$2,0,0,ROW()-1,60),ROW()-1,FALSE))</f>
        <v>789.47900000000004</v>
      </c>
      <c r="BJ15">
        <f ca="1">IF(AND(ISNUMBER($BJ$49),$B$38=1),$BJ$49,HLOOKUP(INDIRECT(ADDRESS(2,COLUMN())),OFFSET($BN$2,0,0,ROW()-1,60),ROW()-1,FALSE))</f>
        <v>903.96849999999995</v>
      </c>
      <c r="BK15">
        <f ca="1">IF(AND(ISNUMBER($BK$49),$B$38=1),$BK$49,HLOOKUP(INDIRECT(ADDRESS(2,COLUMN())),OFFSET($BN$2,0,0,ROW()-1,60),ROW()-1,FALSE))</f>
        <v>730.39499999999998</v>
      </c>
      <c r="BL15">
        <f ca="1">IF(AND(ISNUMBER($BL$49),$B$38=1),$BL$49,HLOOKUP(INDIRECT(ADDRESS(2,COLUMN())),OFFSET($BN$2,0,0,ROW()-1,60),ROW()-1,FALSE))</f>
        <v>704.37300000000005</v>
      </c>
      <c r="BM15">
        <f ca="1">IF(AND(ISNUMBER($BM$49),$B$38=1),$BM$49,HLOOKUP(INDIRECT(ADDRESS(2,COLUMN())),OFFSET($BN$2,0,0,ROW()-1,60),ROW()-1,FALSE))</f>
        <v>667.85900000000004</v>
      </c>
      <c r="BN15">
        <f>2015.376437</f>
        <v>2015.3764369999999</v>
      </c>
      <c r="BO15">
        <f>1799.765</f>
        <v>1799.7650000000001</v>
      </c>
      <c r="BP15">
        <f>1723.614</f>
        <v>1723.614</v>
      </c>
      <c r="BQ15">
        <f>1739.207</f>
        <v>1739.2070000000001</v>
      </c>
      <c r="BR15">
        <f>1916.98</f>
        <v>1916.98</v>
      </c>
      <c r="BS15">
        <f>1777.952</f>
        <v>1777.952</v>
      </c>
      <c r="BT15">
        <f>1796.1</f>
        <v>1796.1</v>
      </c>
      <c r="BU15">
        <f>1781.697</f>
        <v>1781.6969999999999</v>
      </c>
      <c r="BV15">
        <f>1835.754</f>
        <v>1835.7539999999999</v>
      </c>
      <c r="BW15">
        <f>1729.215</f>
        <v>1729.2149999999999</v>
      </c>
      <c r="BX15">
        <f>1716.654</f>
        <v>1716.654</v>
      </c>
      <c r="BY15">
        <f>1518.8</f>
        <v>1518.8</v>
      </c>
      <c r="BZ15">
        <f>1823.093</f>
        <v>1823.0930000000001</v>
      </c>
      <c r="CA15">
        <f>1460.346</f>
        <v>1460.346</v>
      </c>
      <c r="CB15">
        <f>1455.752</f>
        <v>1455.752</v>
      </c>
      <c r="CC15">
        <f>1592.839</f>
        <v>1592.8389999999999</v>
      </c>
      <c r="CD15">
        <f>1636.769</f>
        <v>1636.769</v>
      </c>
      <c r="CE15">
        <f>1431.13</f>
        <v>1431.13</v>
      </c>
      <c r="CF15">
        <f>1331.148</f>
        <v>1331.1479999999999</v>
      </c>
      <c r="CG15">
        <f>1295.294</f>
        <v>1295.2940000000001</v>
      </c>
      <c r="CH15">
        <f>1481.19</f>
        <v>1481.19</v>
      </c>
      <c r="CI15">
        <f>1138.507</f>
        <v>1138.5070000000001</v>
      </c>
      <c r="CJ15">
        <f>1200.019</f>
        <v>1200.019</v>
      </c>
      <c r="CK15">
        <f>998.137</f>
        <v>998.13699999999994</v>
      </c>
      <c r="CL15">
        <f>1115.04</f>
        <v>1115.04</v>
      </c>
      <c r="CM15">
        <f>1424.717</f>
        <v>1424.7170000000001</v>
      </c>
      <c r="CN15">
        <f>932.941</f>
        <v>932.94100000000003</v>
      </c>
      <c r="CO15">
        <f>1143.629</f>
        <v>1143.6289999999999</v>
      </c>
      <c r="CP15">
        <f>1205.81</f>
        <v>1205.81</v>
      </c>
      <c r="CQ15">
        <f>569.328</f>
        <v>569.32799999999997</v>
      </c>
      <c r="CR15">
        <f>698.015</f>
        <v>698.01499999999999</v>
      </c>
      <c r="CS15">
        <f>566.091</f>
        <v>566.09100000000001</v>
      </c>
      <c r="CT15">
        <f>792.846</f>
        <v>792.846</v>
      </c>
      <c r="CU15">
        <f>636.167</f>
        <v>636.16700000000003</v>
      </c>
      <c r="CV15">
        <f>560.293</f>
        <v>560.29300000000001</v>
      </c>
      <c r="CW15">
        <f>753.91</f>
        <v>753.91</v>
      </c>
      <c r="CX15">
        <f>838.521</f>
        <v>838.52099999999996</v>
      </c>
      <c r="CY15">
        <f>926.564</f>
        <v>926.56399999999996</v>
      </c>
      <c r="CZ15">
        <f>848.883</f>
        <v>848.88300000000004</v>
      </c>
      <c r="DA15">
        <f>911.291</f>
        <v>911.29100000000005</v>
      </c>
      <c r="DB15">
        <f>975.906</f>
        <v>975.90599999999995</v>
      </c>
      <c r="DC15">
        <f>931.098</f>
        <v>931.09799999999996</v>
      </c>
      <c r="DD15">
        <f>855.189</f>
        <v>855.18899999999996</v>
      </c>
      <c r="DE15">
        <f>1151.562</f>
        <v>1151.5619999999999</v>
      </c>
      <c r="DF15">
        <f>1007.1015</f>
        <v>1007.1015</v>
      </c>
      <c r="DG15">
        <f>826.631</f>
        <v>826.63099999999997</v>
      </c>
      <c r="DH15">
        <f>752.889</f>
        <v>752.88900000000001</v>
      </c>
      <c r="DI15">
        <f>862.157</f>
        <v>862.15700000000004</v>
      </c>
      <c r="DJ15">
        <f>1003.964</f>
        <v>1003.9640000000001</v>
      </c>
      <c r="DK15">
        <f>862.688</f>
        <v>862.68799999999999</v>
      </c>
      <c r="DL15">
        <f>868.558</f>
        <v>868.55799999999999</v>
      </c>
      <c r="DM15">
        <f>856.28</f>
        <v>856.28</v>
      </c>
      <c r="DN15">
        <f>1017.893</f>
        <v>1017.893</v>
      </c>
      <c r="DO15">
        <f>792.045</f>
        <v>792.04499999999996</v>
      </c>
      <c r="DP15">
        <f>817.521</f>
        <v>817.52099999999996</v>
      </c>
      <c r="DQ15">
        <f>789.479</f>
        <v>789.47900000000004</v>
      </c>
      <c r="DR15">
        <f>903.9685</f>
        <v>903.96849999999995</v>
      </c>
      <c r="DS15">
        <f>730.395</f>
        <v>730.39499999999998</v>
      </c>
      <c r="DT15">
        <f>704.373</f>
        <v>704.37300000000005</v>
      </c>
      <c r="DU15">
        <f>667.859</f>
        <v>667.85900000000004</v>
      </c>
    </row>
    <row r="16" spans="1:125">
      <c r="A16" t="str">
        <f>"    购物商城房地产投资信托净营业利润"</f>
        <v xml:space="preserve">    购物商城房地产投资信托净营业利润</v>
      </c>
      <c r="B16" t="str">
        <f>"RECFNORM Index"</f>
        <v>RECFNORM Index</v>
      </c>
      <c r="C16" t="str">
        <f>"PR005"</f>
        <v>PR005</v>
      </c>
      <c r="D16" t="str">
        <f>"PX_LAST"</f>
        <v>PX_LAST</v>
      </c>
      <c r="E16" t="str">
        <f>"动态"</f>
        <v>动态</v>
      </c>
      <c r="F16">
        <f ca="1">IF(AND(ISNUMBER($F$50),$B$38=1),$F$50,HLOOKUP(INDIRECT(ADDRESS(2,COLUMN())),OFFSET($BN$2,0,0,ROW()-1,60),ROW()-1,FALSE))</f>
        <v>2046.757333</v>
      </c>
      <c r="G16">
        <f ca="1">IF(AND(ISNUMBER($G$50),$B$38=1),$G$50,HLOOKUP(INDIRECT(ADDRESS(2,COLUMN())),OFFSET($BN$2,0,0,ROW()-1,60),ROW()-1,FALSE))</f>
        <v>1921.25</v>
      </c>
      <c r="H16">
        <f ca="1">IF(AND(ISNUMBER($H$50),$B$38=1),$H$50,HLOOKUP(INDIRECT(ADDRESS(2,COLUMN())),OFFSET($BN$2,0,0,ROW()-1,60),ROW()-1,FALSE))</f>
        <v>1933.9849999999999</v>
      </c>
      <c r="I16">
        <f ca="1">IF(AND(ISNUMBER($I$50),$B$38=1),$I$50,HLOOKUP(INDIRECT(ADDRESS(2,COLUMN())),OFFSET($BN$2,0,0,ROW()-1,60),ROW()-1,FALSE))</f>
        <v>1925.1369999999999</v>
      </c>
      <c r="J16">
        <f ca="1">IF(AND(ISNUMBER($J$50),$B$38=1),$J$50,HLOOKUP(INDIRECT(ADDRESS(2,COLUMN())),OFFSET($BN$2,0,0,ROW()-1,60),ROW()-1,FALSE))</f>
        <v>2091.4290000000001</v>
      </c>
      <c r="K16">
        <f ca="1">IF(AND(ISNUMBER($K$50),$B$38=1),$K$50,HLOOKUP(INDIRECT(ADDRESS(2,COLUMN())),OFFSET($BN$2,0,0,ROW()-1,60),ROW()-1,FALSE))</f>
        <v>1943.9190000000001</v>
      </c>
      <c r="L16">
        <f ca="1">IF(AND(ISNUMBER($L$50),$B$38=1),$L$50,HLOOKUP(INDIRECT(ADDRESS(2,COLUMN())),OFFSET($BN$2,0,0,ROW()-1,60),ROW()-1,FALSE))</f>
        <v>1942.0719999999999</v>
      </c>
      <c r="M16">
        <f ca="1">IF(AND(ISNUMBER($M$50),$B$38=1),$M$50,HLOOKUP(INDIRECT(ADDRESS(2,COLUMN())),OFFSET($BN$2,0,0,ROW()-1,60),ROW()-1,FALSE))</f>
        <v>2001.19</v>
      </c>
      <c r="N16">
        <f ca="1">IF(AND(ISNUMBER($N$50),$B$38=1),$N$50,HLOOKUP(INDIRECT(ADDRESS(2,COLUMN())),OFFSET($BN$2,0,0,ROW()-1,60),ROW()-1,FALSE))</f>
        <v>2187.4940000000001</v>
      </c>
      <c r="O16">
        <f ca="1">IF(AND(ISNUMBER($O$50),$B$38=1),$O$50,HLOOKUP(INDIRECT(ADDRESS(2,COLUMN())),OFFSET($BN$2,0,0,ROW()-1,60),ROW()-1,FALSE))</f>
        <v>2019.4839999999999</v>
      </c>
      <c r="P16">
        <f ca="1">IF(AND(ISNUMBER($P$50),$B$38=1),$P$50,HLOOKUP(INDIRECT(ADDRESS(2,COLUMN())),OFFSET($BN$2,0,0,ROW()-1,60),ROW()-1,FALSE))</f>
        <v>1995.625</v>
      </c>
      <c r="Q16">
        <f ca="1">IF(AND(ISNUMBER($Q$50),$B$38=1),$Q$50,HLOOKUP(INDIRECT(ADDRESS(2,COLUMN())),OFFSET($BN$2,0,0,ROW()-1,60),ROW()-1,FALSE))</f>
        <v>1976.327</v>
      </c>
      <c r="R16">
        <f ca="1">IF(AND(ISNUMBER($R$50),$B$38=1),$R$50,HLOOKUP(INDIRECT(ADDRESS(2,COLUMN())),OFFSET($BN$2,0,0,ROW()-1,60),ROW()-1,FALSE))</f>
        <v>2117.201</v>
      </c>
      <c r="S16">
        <f ca="1">IF(AND(ISNUMBER($S$50),$B$38=1),$S$50,HLOOKUP(INDIRECT(ADDRESS(2,COLUMN())),OFFSET($BN$2,0,0,ROW()-1,60),ROW()-1,FALSE))</f>
        <v>2016.076</v>
      </c>
      <c r="T16">
        <f ca="1">IF(AND(ISNUMBER($T$50),$B$38=1),$T$50,HLOOKUP(INDIRECT(ADDRESS(2,COLUMN())),OFFSET($BN$2,0,0,ROW()-1,60),ROW()-1,FALSE))</f>
        <v>1962.0830000000001</v>
      </c>
      <c r="U16">
        <f ca="1">IF(AND(ISNUMBER($U$50),$B$38=1),$U$50,HLOOKUP(INDIRECT(ADDRESS(2,COLUMN())),OFFSET($BN$2,0,0,ROW()-1,60),ROW()-1,FALSE))</f>
        <v>1934.7750000000001</v>
      </c>
      <c r="V16">
        <f ca="1">IF(AND(ISNUMBER($V$50),$B$38=1),$V$50,HLOOKUP(INDIRECT(ADDRESS(2,COLUMN())),OFFSET($BN$2,0,0,ROW()-1,60),ROW()-1,FALSE))</f>
        <v>2120.5659999999998</v>
      </c>
      <c r="W16">
        <f ca="1">IF(AND(ISNUMBER($W$50),$B$38=1),$W$50,HLOOKUP(INDIRECT(ADDRESS(2,COLUMN())),OFFSET($BN$2,0,0,ROW()-1,60),ROW()-1,FALSE))</f>
        <v>1906.0519999999999</v>
      </c>
      <c r="X16">
        <f ca="1">IF(AND(ISNUMBER($X$50),$B$38=1),$X$50,HLOOKUP(INDIRECT(ADDRESS(2,COLUMN())),OFFSET($BN$2,0,0,ROW()-1,60),ROW()-1,FALSE))</f>
        <v>1877.5239999999999</v>
      </c>
      <c r="Y16">
        <f ca="1">IF(AND(ISNUMBER($Y$50),$B$38=1),$Y$50,HLOOKUP(INDIRECT(ADDRESS(2,COLUMN())),OFFSET($BN$2,0,0,ROW()-1,60),ROW()-1,FALSE))</f>
        <v>1879.999</v>
      </c>
      <c r="Z16">
        <f ca="1">IF(AND(ISNUMBER($Z$50),$B$38=1),$Z$50,HLOOKUP(INDIRECT(ADDRESS(2,COLUMN())),OFFSET($BN$2,0,0,ROW()-1,60),ROW()-1,FALSE))</f>
        <v>2017.722</v>
      </c>
      <c r="AA16">
        <f ca="1">IF(AND(ISNUMBER($AA$50),$B$38=1),$AA$50,HLOOKUP(INDIRECT(ADDRESS(2,COLUMN())),OFFSET($BN$2,0,0,ROW()-1,60),ROW()-1,FALSE))</f>
        <v>1812.63</v>
      </c>
      <c r="AB16">
        <f ca="1">IF(AND(ISNUMBER($AB$50),$B$38=1),$AB$50,HLOOKUP(INDIRECT(ADDRESS(2,COLUMN())),OFFSET($BN$2,0,0,ROW()-1,60),ROW()-1,FALSE))</f>
        <v>1751.7260000000001</v>
      </c>
      <c r="AC16">
        <f ca="1">IF(AND(ISNUMBER($AC$50),$B$38=1),$AC$50,HLOOKUP(INDIRECT(ADDRESS(2,COLUMN())),OFFSET($BN$2,0,0,ROW()-1,60),ROW()-1,FALSE))</f>
        <v>1704.6089999999999</v>
      </c>
      <c r="AD16">
        <f ca="1">IF(AND(ISNUMBER($AD$50),$B$38=1),$AD$50,HLOOKUP(INDIRECT(ADDRESS(2,COLUMN())),OFFSET($BN$2,0,0,ROW()-1,60),ROW()-1,FALSE))</f>
        <v>1759.201</v>
      </c>
      <c r="AE16">
        <f ca="1">IF(AND(ISNUMBER($AE$50),$B$38=1),$AE$50,HLOOKUP(INDIRECT(ADDRESS(2,COLUMN())),OFFSET($BN$2,0,0,ROW()-1,60),ROW()-1,FALSE))</f>
        <v>1646.8589999999999</v>
      </c>
      <c r="AF16">
        <f ca="1">IF(AND(ISNUMBER($AF$50),$B$38=1),$AF$50,HLOOKUP(INDIRECT(ADDRESS(2,COLUMN())),OFFSET($BN$2,0,0,ROW()-1,60),ROW()-1,FALSE))</f>
        <v>1588.87</v>
      </c>
      <c r="AG16">
        <f ca="1">IF(AND(ISNUMBER($AG$50),$B$38=1),$AG$50,HLOOKUP(INDIRECT(ADDRESS(2,COLUMN())),OFFSET($BN$2,0,0,ROW()-1,60),ROW()-1,FALSE))</f>
        <v>1602.847</v>
      </c>
      <c r="AH16">
        <f ca="1">IF(AND(ISNUMBER($AH$50),$B$38=1),$AH$50,HLOOKUP(INDIRECT(ADDRESS(2,COLUMN())),OFFSET($BN$2,0,0,ROW()-1,60),ROW()-1,FALSE))</f>
        <v>1763.14</v>
      </c>
      <c r="AI16">
        <f ca="1">IF(AND(ISNUMBER($AI$50),$B$38=1),$AI$50,HLOOKUP(INDIRECT(ADDRESS(2,COLUMN())),OFFSET($BN$2,0,0,ROW()-1,60),ROW()-1,FALSE))</f>
        <v>1125.396</v>
      </c>
      <c r="AJ16">
        <f ca="1">IF(AND(ISNUMBER($AJ$50),$B$38=1),$AJ$50,HLOOKUP(INDIRECT(ADDRESS(2,COLUMN())),OFFSET($BN$2,0,0,ROW()-1,60),ROW()-1,FALSE))</f>
        <v>1091.4939999999999</v>
      </c>
      <c r="AK16">
        <f ca="1">IF(AND(ISNUMBER($AK$50),$B$38=1),$AK$50,HLOOKUP(INDIRECT(ADDRESS(2,COLUMN())),OFFSET($BN$2,0,0,ROW()-1,60),ROW()-1,FALSE))</f>
        <v>1083.6500000000001</v>
      </c>
      <c r="AL16">
        <f ca="1">IF(AND(ISNUMBER($AL$50),$B$38=1),$AL$50,HLOOKUP(INDIRECT(ADDRESS(2,COLUMN())),OFFSET($BN$2,0,0,ROW()-1,60),ROW()-1,FALSE))</f>
        <v>1216.2190000000001</v>
      </c>
      <c r="AM16">
        <f ca="1">IF(AND(ISNUMBER($AM$50),$B$38=1),$AM$50,HLOOKUP(INDIRECT(ADDRESS(2,COLUMN())),OFFSET($BN$2,0,0,ROW()-1,60),ROW()-1,FALSE))</f>
        <v>1097.9870000000001</v>
      </c>
      <c r="AN16">
        <f ca="1">IF(AND(ISNUMBER($AN$50),$B$38=1),$AN$50,HLOOKUP(INDIRECT(ADDRESS(2,COLUMN())),OFFSET($BN$2,0,0,ROW()-1,60),ROW()-1,FALSE))</f>
        <v>1096.8720000000001</v>
      </c>
      <c r="AO16">
        <f ca="1">IF(AND(ISNUMBER($AO$50),$B$38=1),$AO$50,HLOOKUP(INDIRECT(ADDRESS(2,COLUMN())),OFFSET($BN$2,0,0,ROW()-1,60),ROW()-1,FALSE))</f>
        <v>1101.992</v>
      </c>
      <c r="AP16">
        <f ca="1">IF(AND(ISNUMBER($AP$50),$B$38=1),$AP$50,HLOOKUP(INDIRECT(ADDRESS(2,COLUMN())),OFFSET($BN$2,0,0,ROW()-1,60),ROW()-1,FALSE))</f>
        <v>1252.5840000000001</v>
      </c>
      <c r="AQ16">
        <f ca="1">IF(AND(ISNUMBER($AQ$50),$B$38=1),$AQ$50,HLOOKUP(INDIRECT(ADDRESS(2,COLUMN())),OFFSET($BN$2,0,0,ROW()-1,60),ROW()-1,FALSE))</f>
        <v>1609.0540000000001</v>
      </c>
      <c r="AR16">
        <f ca="1">IF(AND(ISNUMBER($AR$50),$B$38=1),$AR$50,HLOOKUP(INDIRECT(ADDRESS(2,COLUMN())),OFFSET($BN$2,0,0,ROW()-1,60),ROW()-1,FALSE))</f>
        <v>1603.59</v>
      </c>
      <c r="AS16">
        <f ca="1">IF(AND(ISNUMBER($AS$50),$B$38=1),$AS$50,HLOOKUP(INDIRECT(ADDRESS(2,COLUMN())),OFFSET($BN$2,0,0,ROW()-1,60),ROW()-1,FALSE))</f>
        <v>1590.557</v>
      </c>
      <c r="AT16">
        <f ca="1">IF(AND(ISNUMBER($AT$50),$B$38=1),$AT$50,HLOOKUP(INDIRECT(ADDRESS(2,COLUMN())),OFFSET($BN$2,0,0,ROW()-1,60),ROW()-1,FALSE))</f>
        <v>1565.9190000000001</v>
      </c>
      <c r="AU16">
        <f ca="1">IF(AND(ISNUMBER($AU$50),$B$38=1),$AU$50,HLOOKUP(INDIRECT(ADDRESS(2,COLUMN())),OFFSET($BN$2,0,0,ROW()-1,60),ROW()-1,FALSE))</f>
        <v>1604.221</v>
      </c>
      <c r="AV16">
        <f ca="1">IF(AND(ISNUMBER($AV$50),$B$38=1),$AV$50,HLOOKUP(INDIRECT(ADDRESS(2,COLUMN())),OFFSET($BN$2,0,0,ROW()-1,60),ROW()-1,FALSE))</f>
        <v>1484.7249999999999</v>
      </c>
      <c r="AW16">
        <f ca="1">IF(AND(ISNUMBER($AW$50),$B$38=1),$AW$50,HLOOKUP(INDIRECT(ADDRESS(2,COLUMN())),OFFSET($BN$2,0,0,ROW()-1,60),ROW()-1,FALSE))</f>
        <v>1452.6130000000001</v>
      </c>
      <c r="AX16">
        <f ca="1">IF(AND(ISNUMBER($AX$50),$B$38=1),$AX$50,HLOOKUP(INDIRECT(ADDRESS(2,COLUMN())),OFFSET($BN$2,0,0,ROW()-1,60),ROW()-1,FALSE))</f>
        <v>1704.325</v>
      </c>
      <c r="AY16">
        <f ca="1">IF(AND(ISNUMBER($AY$50),$B$38=1),$AY$50,HLOOKUP(INDIRECT(ADDRESS(2,COLUMN())),OFFSET($BN$2,0,0,ROW()-1,60),ROW()-1,FALSE))</f>
        <v>1446.125</v>
      </c>
      <c r="AZ16">
        <f ca="1">IF(AND(ISNUMBER($AZ$50),$B$38=1),$AZ$50,HLOOKUP(INDIRECT(ADDRESS(2,COLUMN())),OFFSET($BN$2,0,0,ROW()-1,60),ROW()-1,FALSE))</f>
        <v>1419.2539999999999</v>
      </c>
      <c r="BA16">
        <f ca="1">IF(AND(ISNUMBER($BA$50),$B$38=1),$BA$50,HLOOKUP(INDIRECT(ADDRESS(2,COLUMN())),OFFSET($BN$2,0,0,ROW()-1,60),ROW()-1,FALSE))</f>
        <v>1474.8969999999999</v>
      </c>
      <c r="BB16">
        <f ca="1">IF(AND(ISNUMBER($BB$50),$B$38=1),$BB$50,HLOOKUP(INDIRECT(ADDRESS(2,COLUMN())),OFFSET($BN$2,0,0,ROW()-1,60),ROW()-1,FALSE))</f>
        <v>1607.86</v>
      </c>
      <c r="BC16">
        <f ca="1">IF(AND(ISNUMBER($BC$50),$B$38=1),$BC$50,HLOOKUP(INDIRECT(ADDRESS(2,COLUMN())),OFFSET($BN$2,0,0,ROW()-1,60),ROW()-1,FALSE))</f>
        <v>1497.114</v>
      </c>
      <c r="BD16">
        <f ca="1">IF(AND(ISNUMBER($BD$50),$B$38=1),$BD$50,HLOOKUP(INDIRECT(ADDRESS(2,COLUMN())),OFFSET($BN$2,0,0,ROW()-1,60),ROW()-1,FALSE))</f>
        <v>1450.8920000000001</v>
      </c>
      <c r="BE16">
        <f ca="1">IF(AND(ISNUMBER($BE$50),$B$38=1),$BE$50,HLOOKUP(INDIRECT(ADDRESS(2,COLUMN())),OFFSET($BN$2,0,0,ROW()-1,60),ROW()-1,FALSE))</f>
        <v>1421.8209999999999</v>
      </c>
      <c r="BF16">
        <f ca="1">IF(AND(ISNUMBER($BF$50),$B$38=1),$BF$50,HLOOKUP(INDIRECT(ADDRESS(2,COLUMN())),OFFSET($BN$2,0,0,ROW()-1,60),ROW()-1,FALSE))</f>
        <v>1515.731</v>
      </c>
      <c r="BG16">
        <f ca="1">IF(AND(ISNUMBER($BG$50),$B$38=1),$BG$50,HLOOKUP(INDIRECT(ADDRESS(2,COLUMN())),OFFSET($BN$2,0,0,ROW()-1,60),ROW()-1,FALSE))</f>
        <v>1221.55</v>
      </c>
      <c r="BH16">
        <f ca="1">IF(AND(ISNUMBER($BH$50),$B$38=1),$BH$50,HLOOKUP(INDIRECT(ADDRESS(2,COLUMN())),OFFSET($BN$2,0,0,ROW()-1,60),ROW()-1,FALSE))</f>
        <v>1179.53</v>
      </c>
      <c r="BI16">
        <f ca="1">IF(AND(ISNUMBER($BI$50),$B$38=1),$BI$50,HLOOKUP(INDIRECT(ADDRESS(2,COLUMN())),OFFSET($BN$2,0,0,ROW()-1,60),ROW()-1,FALSE))</f>
        <v>1164.8420000000001</v>
      </c>
      <c r="BJ16">
        <f ca="1">IF(AND(ISNUMBER($BJ$50),$B$38=1),$BJ$50,HLOOKUP(INDIRECT(ADDRESS(2,COLUMN())),OFFSET($BN$2,0,0,ROW()-1,60),ROW()-1,FALSE))</f>
        <v>1194.4815000000001</v>
      </c>
      <c r="BK16">
        <f ca="1">IF(AND(ISNUMBER($BK$50),$B$38=1),$BK$50,HLOOKUP(INDIRECT(ADDRESS(2,COLUMN())),OFFSET($BN$2,0,0,ROW()-1,60),ROW()-1,FALSE))</f>
        <v>1073.0440000000001</v>
      </c>
      <c r="BL16">
        <f ca="1">IF(AND(ISNUMBER($BL$50),$B$38=1),$BL$50,HLOOKUP(INDIRECT(ADDRESS(2,COLUMN())),OFFSET($BN$2,0,0,ROW()-1,60),ROW()-1,FALSE))</f>
        <v>1013.769</v>
      </c>
      <c r="BM16">
        <f ca="1">IF(AND(ISNUMBER($BM$50),$B$38=1),$BM$50,HLOOKUP(INDIRECT(ADDRESS(2,COLUMN())),OFFSET($BN$2,0,0,ROW()-1,60),ROW()-1,FALSE))</f>
        <v>983.98900000000003</v>
      </c>
      <c r="BN16">
        <f>2046.757333</f>
        <v>2046.757333</v>
      </c>
      <c r="BO16">
        <f>1921.25</f>
        <v>1921.25</v>
      </c>
      <c r="BP16">
        <f>1933.985</f>
        <v>1933.9849999999999</v>
      </c>
      <c r="BQ16">
        <f>1925.137</f>
        <v>1925.1369999999999</v>
      </c>
      <c r="BR16">
        <f>2091.429</f>
        <v>2091.4290000000001</v>
      </c>
      <c r="BS16">
        <f>1943.919</f>
        <v>1943.9190000000001</v>
      </c>
      <c r="BT16">
        <f>1942.072</f>
        <v>1942.0719999999999</v>
      </c>
      <c r="BU16">
        <f>2001.19</f>
        <v>2001.19</v>
      </c>
      <c r="BV16">
        <f>2187.494</f>
        <v>2187.4940000000001</v>
      </c>
      <c r="BW16">
        <f>2019.484</f>
        <v>2019.4839999999999</v>
      </c>
      <c r="BX16">
        <f>1995.625</f>
        <v>1995.625</v>
      </c>
      <c r="BY16">
        <f>1976.327</f>
        <v>1976.327</v>
      </c>
      <c r="BZ16">
        <f>2117.201</f>
        <v>2117.201</v>
      </c>
      <c r="CA16">
        <f>2016.076</f>
        <v>2016.076</v>
      </c>
      <c r="CB16">
        <f>1962.083</f>
        <v>1962.0830000000001</v>
      </c>
      <c r="CC16">
        <f>1934.775</f>
        <v>1934.7750000000001</v>
      </c>
      <c r="CD16">
        <f>2120.566</f>
        <v>2120.5659999999998</v>
      </c>
      <c r="CE16">
        <f>1906.052</f>
        <v>1906.0519999999999</v>
      </c>
      <c r="CF16">
        <f>1877.524</f>
        <v>1877.5239999999999</v>
      </c>
      <c r="CG16">
        <f>1879.999</f>
        <v>1879.999</v>
      </c>
      <c r="CH16">
        <f>2017.722</f>
        <v>2017.722</v>
      </c>
      <c r="CI16">
        <f>1812.63</f>
        <v>1812.63</v>
      </c>
      <c r="CJ16">
        <f>1751.726</f>
        <v>1751.7260000000001</v>
      </c>
      <c r="CK16">
        <f>1704.609</f>
        <v>1704.6089999999999</v>
      </c>
      <c r="CL16">
        <f>1759.201</f>
        <v>1759.201</v>
      </c>
      <c r="CM16">
        <f>1646.859</f>
        <v>1646.8589999999999</v>
      </c>
      <c r="CN16">
        <f>1588.87</f>
        <v>1588.87</v>
      </c>
      <c r="CO16">
        <f>1602.847</f>
        <v>1602.847</v>
      </c>
      <c r="CP16">
        <f>1763.14</f>
        <v>1763.14</v>
      </c>
      <c r="CQ16">
        <f>1125.396</f>
        <v>1125.396</v>
      </c>
      <c r="CR16">
        <f>1091.494</f>
        <v>1091.4939999999999</v>
      </c>
      <c r="CS16">
        <f>1083.65</f>
        <v>1083.6500000000001</v>
      </c>
      <c r="CT16">
        <f>1216.219</f>
        <v>1216.2190000000001</v>
      </c>
      <c r="CU16">
        <f>1097.987</f>
        <v>1097.9870000000001</v>
      </c>
      <c r="CV16">
        <f>1096.872</f>
        <v>1096.8720000000001</v>
      </c>
      <c r="CW16">
        <f>1101.992</f>
        <v>1101.992</v>
      </c>
      <c r="CX16">
        <f>1252.584</f>
        <v>1252.5840000000001</v>
      </c>
      <c r="CY16">
        <f>1609.054</f>
        <v>1609.0540000000001</v>
      </c>
      <c r="CZ16">
        <f>1603.59</f>
        <v>1603.59</v>
      </c>
      <c r="DA16">
        <f>1590.557</f>
        <v>1590.557</v>
      </c>
      <c r="DB16">
        <f>1565.919</f>
        <v>1565.9190000000001</v>
      </c>
      <c r="DC16">
        <f>1604.221</f>
        <v>1604.221</v>
      </c>
      <c r="DD16">
        <f>1484.725</f>
        <v>1484.7249999999999</v>
      </c>
      <c r="DE16">
        <f>1452.613</f>
        <v>1452.6130000000001</v>
      </c>
      <c r="DF16">
        <f>1704.325</f>
        <v>1704.325</v>
      </c>
      <c r="DG16">
        <f>1446.125</f>
        <v>1446.125</v>
      </c>
      <c r="DH16">
        <f>1419.254</f>
        <v>1419.2539999999999</v>
      </c>
      <c r="DI16">
        <f>1474.897</f>
        <v>1474.8969999999999</v>
      </c>
      <c r="DJ16">
        <f>1607.86</f>
        <v>1607.86</v>
      </c>
      <c r="DK16">
        <f>1497.114</f>
        <v>1497.114</v>
      </c>
      <c r="DL16">
        <f>1450.892</f>
        <v>1450.8920000000001</v>
      </c>
      <c r="DM16">
        <f>1421.821</f>
        <v>1421.8209999999999</v>
      </c>
      <c r="DN16">
        <f>1515.731</f>
        <v>1515.731</v>
      </c>
      <c r="DO16">
        <f>1221.55</f>
        <v>1221.55</v>
      </c>
      <c r="DP16">
        <f>1179.53</f>
        <v>1179.53</v>
      </c>
      <c r="DQ16">
        <f>1164.842</f>
        <v>1164.8420000000001</v>
      </c>
      <c r="DR16">
        <f>1194.4815</f>
        <v>1194.4815000000001</v>
      </c>
      <c r="DS16">
        <f>1073.044</f>
        <v>1073.0440000000001</v>
      </c>
      <c r="DT16">
        <f>1013.769</f>
        <v>1013.769</v>
      </c>
      <c r="DU16">
        <f>983.989</f>
        <v>983.98900000000003</v>
      </c>
    </row>
    <row r="17" spans="1:125">
      <c r="A17" t="str">
        <f>"    购物商城房地产投资信托同店净营业利润增长"</f>
        <v xml:space="preserve">    购物商城房地产投资信托同店净营业利润增长</v>
      </c>
      <c r="B17" t="str">
        <f>"RECFSSRM Index"</f>
        <v>RECFSSRM Index</v>
      </c>
      <c r="C17" t="str">
        <f>"PR005"</f>
        <v>PR005</v>
      </c>
      <c r="D17" t="str">
        <f>"PX_LAST"</f>
        <v>PX_LAST</v>
      </c>
      <c r="E17" t="str">
        <f>"动态"</f>
        <v>动态</v>
      </c>
      <c r="F17">
        <f ca="1">IF(AND(ISNUMBER($F$51),$B$38=1),$F$51,HLOOKUP(INDIRECT(ADDRESS(2,COLUMN())),OFFSET($BN$2,0,0,ROW()-1,60),ROW()-1,FALSE))</f>
        <v>1.2072308940000001</v>
      </c>
      <c r="G17">
        <f ca="1">IF(AND(ISNUMBER($G$51),$B$38=1),$G$51,HLOOKUP(INDIRECT(ADDRESS(2,COLUMN())),OFFSET($BN$2,0,0,ROW()-1,60),ROW()-1,FALSE))</f>
        <v>1.543248188</v>
      </c>
      <c r="H17">
        <f ca="1">IF(AND(ISNUMBER($H$51),$B$38=1),$H$51,HLOOKUP(INDIRECT(ADDRESS(2,COLUMN())),OFFSET($BN$2,0,0,ROW()-1,60),ROW()-1,FALSE))</f>
        <v>2.8134186579999998</v>
      </c>
      <c r="I17">
        <f ca="1">IF(AND(ISNUMBER($I$51),$B$38=1),$I$51,HLOOKUP(INDIRECT(ADDRESS(2,COLUMN())),OFFSET($BN$2,0,0,ROW()-1,60),ROW()-1,FALSE))</f>
        <v>2.7453567300000001</v>
      </c>
      <c r="J17">
        <f ca="1">IF(AND(ISNUMBER($J$51),$B$38=1),$J$51,HLOOKUP(INDIRECT(ADDRESS(2,COLUMN())),OFFSET($BN$2,0,0,ROW()-1,60),ROW()-1,FALSE))</f>
        <v>3.3113052280000002</v>
      </c>
      <c r="K17">
        <f ca="1">IF(AND(ISNUMBER($K$51),$B$38=1),$K$51,HLOOKUP(INDIRECT(ADDRESS(2,COLUMN())),OFFSET($BN$2,0,0,ROW()-1,60),ROW()-1,FALSE))</f>
        <v>2.8027791409999998</v>
      </c>
      <c r="L17">
        <f ca="1">IF(AND(ISNUMBER($L$51),$B$38=1),$L$51,HLOOKUP(INDIRECT(ADDRESS(2,COLUMN())),OFFSET($BN$2,0,0,ROW()-1,60),ROW()-1,FALSE))</f>
        <v>3.8351176570000001</v>
      </c>
      <c r="M17">
        <f ca="1">IF(AND(ISNUMBER($M$51),$B$38=1),$M$51,HLOOKUP(INDIRECT(ADDRESS(2,COLUMN())),OFFSET($BN$2,0,0,ROW()-1,60),ROW()-1,FALSE))</f>
        <v>4.9425153469999996</v>
      </c>
      <c r="N17">
        <f ca="1">IF(AND(ISNUMBER($N$51),$B$38=1),$N$51,HLOOKUP(INDIRECT(ADDRESS(2,COLUMN())),OFFSET($BN$2,0,0,ROW()-1,60),ROW()-1,FALSE))</f>
        <v>3.844795848</v>
      </c>
      <c r="O17">
        <f ca="1">IF(AND(ISNUMBER($O$51),$B$38=1),$O$51,HLOOKUP(INDIRECT(ADDRESS(2,COLUMN())),OFFSET($BN$2,0,0,ROW()-1,60),ROW()-1,FALSE))</f>
        <v>4.104652196</v>
      </c>
      <c r="P17">
        <f ca="1">IF(AND(ISNUMBER($P$51),$B$38=1),$P$51,HLOOKUP(INDIRECT(ADDRESS(2,COLUMN())),OFFSET($BN$2,0,0,ROW()-1,60),ROW()-1,FALSE))</f>
        <v>3.1642235990000001</v>
      </c>
      <c r="Q17">
        <f ca="1">IF(AND(ISNUMBER($Q$51),$B$38=1),$Q$51,HLOOKUP(INDIRECT(ADDRESS(2,COLUMN())),OFFSET($BN$2,0,0,ROW()-1,60),ROW()-1,FALSE))</f>
        <v>3.3824384850000002</v>
      </c>
      <c r="R17">
        <f ca="1">IF(AND(ISNUMBER($R$51),$B$38=1),$R$51,HLOOKUP(INDIRECT(ADDRESS(2,COLUMN())),OFFSET($BN$2,0,0,ROW()-1,60),ROW()-1,FALSE))</f>
        <v>3.62612282</v>
      </c>
      <c r="S17">
        <f ca="1">IF(AND(ISNUMBER($S$51),$B$38=1),$S$51,HLOOKUP(INDIRECT(ADDRESS(2,COLUMN())),OFFSET($BN$2,0,0,ROW()-1,60),ROW()-1,FALSE))</f>
        <v>4.7654180879999997</v>
      </c>
      <c r="T17">
        <f ca="1">IF(AND(ISNUMBER($T$51),$B$38=1),$T$51,HLOOKUP(INDIRECT(ADDRESS(2,COLUMN())),OFFSET($BN$2,0,0,ROW()-1,60),ROW()-1,FALSE))</f>
        <v>4.7941311840000003</v>
      </c>
      <c r="U17">
        <f ca="1">IF(AND(ISNUMBER($U$51),$B$38=1),$U$51,HLOOKUP(INDIRECT(ADDRESS(2,COLUMN())),OFFSET($BN$2,0,0,ROW()-1,60),ROW()-1,FALSE))</f>
        <v>3.4793715789999999</v>
      </c>
      <c r="V17">
        <f ca="1">IF(AND(ISNUMBER($V$51),$B$38=1),$V$51,HLOOKUP(INDIRECT(ADDRESS(2,COLUMN())),OFFSET($BN$2,0,0,ROW()-1,60),ROW()-1,FALSE))</f>
        <v>4.7393429549999997</v>
      </c>
      <c r="W17">
        <f ca="1">IF(AND(ISNUMBER($W$51),$B$38=1),$W$51,HLOOKUP(INDIRECT(ADDRESS(2,COLUMN())),OFFSET($BN$2,0,0,ROW()-1,60),ROW()-1,FALSE))</f>
        <v>4.5760282539999997</v>
      </c>
      <c r="X17">
        <f ca="1">IF(AND(ISNUMBER($X$51),$B$38=1),$X$51,HLOOKUP(INDIRECT(ADDRESS(2,COLUMN())),OFFSET($BN$2,0,0,ROW()-1,60),ROW()-1,FALSE))</f>
        <v>5.2462519070000004</v>
      </c>
      <c r="Y17">
        <f ca="1">IF(AND(ISNUMBER($Y$51),$B$38=1),$Y$51,HLOOKUP(INDIRECT(ADDRESS(2,COLUMN())),OFFSET($BN$2,0,0,ROW()-1,60),ROW()-1,FALSE))</f>
        <v>4.3845928199999999</v>
      </c>
      <c r="Z17">
        <f ca="1">IF(AND(ISNUMBER($Z$51),$B$38=1),$Z$51,HLOOKUP(INDIRECT(ADDRESS(2,COLUMN())),OFFSET($BN$2,0,0,ROW()-1,60),ROW()-1,FALSE))</f>
        <v>3.5708367640000001</v>
      </c>
      <c r="AA17">
        <f ca="1">IF(AND(ISNUMBER($AA$51),$B$38=1),$AA$51,HLOOKUP(INDIRECT(ADDRESS(2,COLUMN())),OFFSET($BN$2,0,0,ROW()-1,60),ROW()-1,FALSE))</f>
        <v>3.6638085130000002</v>
      </c>
      <c r="AB17">
        <f ca="1">IF(AND(ISNUMBER($AB$51),$B$38=1),$AB$51,HLOOKUP(INDIRECT(ADDRESS(2,COLUMN())),OFFSET($BN$2,0,0,ROW()-1,60),ROW()-1,FALSE))</f>
        <v>4.6866684650000003</v>
      </c>
      <c r="AC17">
        <f ca="1">IF(AND(ISNUMBER($AC$51),$B$38=1),$AC$51,HLOOKUP(INDIRECT(ADDRESS(2,COLUMN())),OFFSET($BN$2,0,0,ROW()-1,60),ROW()-1,FALSE))</f>
        <v>4.7619958660000004</v>
      </c>
      <c r="AD17">
        <f ca="1">IF(AND(ISNUMBER($AD$51),$B$38=1),$AD$51,HLOOKUP(INDIRECT(ADDRESS(2,COLUMN())),OFFSET($BN$2,0,0,ROW()-1,60),ROW()-1,FALSE))</f>
        <v>2.5103934479999999</v>
      </c>
      <c r="AE17">
        <f ca="1">IF(AND(ISNUMBER($AE$51),$B$38=1),$AE$51,HLOOKUP(INDIRECT(ADDRESS(2,COLUMN())),OFFSET($BN$2,0,0,ROW()-1,60),ROW()-1,FALSE))</f>
        <v>3.9195434210000002</v>
      </c>
      <c r="AF17">
        <f ca="1">IF(AND(ISNUMBER($AF$51),$B$38=1),$AF$51,HLOOKUP(INDIRECT(ADDRESS(2,COLUMN())),OFFSET($BN$2,0,0,ROW()-1,60),ROW()-1,FALSE))</f>
        <v>2.8017773109999999</v>
      </c>
      <c r="AG17">
        <f ca="1">IF(AND(ISNUMBER($AG$51),$B$38=1),$AG$51,HLOOKUP(INDIRECT(ADDRESS(2,COLUMN())),OFFSET($BN$2,0,0,ROW()-1,60),ROW()-1,FALSE))</f>
        <v>1.7765812080000001</v>
      </c>
      <c r="AH17">
        <f ca="1">IF(AND(ISNUMBER($AH$51),$B$38=1),$AH$51,HLOOKUP(INDIRECT(ADDRESS(2,COLUMN())),OFFSET($BN$2,0,0,ROW()-1,60),ROW()-1,FALSE))</f>
        <v>3.388621025</v>
      </c>
      <c r="AI17">
        <f ca="1">IF(AND(ISNUMBER($AI$51),$B$38=1),$AI$51,HLOOKUP(INDIRECT(ADDRESS(2,COLUMN())),OFFSET($BN$2,0,0,ROW()-1,60),ROW()-1,FALSE))</f>
        <v>1.6486670960000001</v>
      </c>
      <c r="AJ17">
        <f ca="1">IF(AND(ISNUMBER($AJ$51),$B$38=1),$AJ$51,HLOOKUP(INDIRECT(ADDRESS(2,COLUMN())),OFFSET($BN$2,0,0,ROW()-1,60),ROW()-1,FALSE))</f>
        <v>0.482823157</v>
      </c>
      <c r="AK17">
        <f ca="1">IF(AND(ISNUMBER($AK$51),$B$38=1),$AK$51,HLOOKUP(INDIRECT(ADDRESS(2,COLUMN())),OFFSET($BN$2,0,0,ROW()-1,60),ROW()-1,FALSE))</f>
        <v>1.1974967430000001</v>
      </c>
      <c r="AL17">
        <f ca="1">IF(AND(ISNUMBER($AL$51),$B$38=1),$AL$51,HLOOKUP(INDIRECT(ADDRESS(2,COLUMN())),OFFSET($BN$2,0,0,ROW()-1,60),ROW()-1,FALSE))</f>
        <v>-6.5953293999999996E-2</v>
      </c>
      <c r="AM17">
        <f ca="1">IF(AND(ISNUMBER($AM$51),$B$38=1),$AM$51,HLOOKUP(INDIRECT(ADDRESS(2,COLUMN())),OFFSET($BN$2,0,0,ROW()-1,60),ROW()-1,FALSE))</f>
        <v>-0.64067577600000003</v>
      </c>
      <c r="AN17">
        <f ca="1">IF(AND(ISNUMBER($AN$51),$B$38=1),$AN$51,HLOOKUP(INDIRECT(ADDRESS(2,COLUMN())),OFFSET($BN$2,0,0,ROW()-1,60),ROW()-1,FALSE))</f>
        <v>8.4155125999999997E-2</v>
      </c>
      <c r="AO17">
        <f ca="1">IF(AND(ISNUMBER($AO$51),$B$38=1),$AO$51,HLOOKUP(INDIRECT(ADDRESS(2,COLUMN())),OFFSET($BN$2,0,0,ROW()-1,60),ROW()-1,FALSE))</f>
        <v>1.5541768359999999</v>
      </c>
      <c r="AP17">
        <f ca="1">IF(AND(ISNUMBER($AP$51),$B$38=1),$AP$51,HLOOKUP(INDIRECT(ADDRESS(2,COLUMN())),OFFSET($BN$2,0,0,ROW()-1,60),ROW()-1,FALSE))</f>
        <v>1.495913965</v>
      </c>
      <c r="AQ17">
        <f ca="1">IF(AND(ISNUMBER($AQ$51),$B$38=1),$AQ$51,HLOOKUP(INDIRECT(ADDRESS(2,COLUMN())),OFFSET($BN$2,0,0,ROW()-1,60),ROW()-1,FALSE))</f>
        <v>1.2523418449999999</v>
      </c>
      <c r="AR17">
        <f ca="1">IF(AND(ISNUMBER($AR$51),$B$38=1),$AR$51,HLOOKUP(INDIRECT(ADDRESS(2,COLUMN())),OFFSET($BN$2,0,0,ROW()-1,60),ROW()-1,FALSE))</f>
        <v>3.54350779</v>
      </c>
      <c r="AS17">
        <f ca="1">IF(AND(ISNUMBER($AS$51),$B$38=1),$AS$51,HLOOKUP(INDIRECT(ADDRESS(2,COLUMN())),OFFSET($BN$2,0,0,ROW()-1,60),ROW()-1,FALSE))</f>
        <v>3.5082538630000002</v>
      </c>
      <c r="AT17">
        <f ca="1">IF(AND(ISNUMBER($AT$51),$B$38=1),$AT$51,HLOOKUP(INDIRECT(ADDRESS(2,COLUMN())),OFFSET($BN$2,0,0,ROW()-1,60),ROW()-1,FALSE))</f>
        <v>5.0686259119999999</v>
      </c>
      <c r="AU17">
        <f ca="1">IF(AND(ISNUMBER($AU$51),$B$38=1),$AU$51,HLOOKUP(INDIRECT(ADDRESS(2,COLUMN())),OFFSET($BN$2,0,0,ROW()-1,60),ROW()-1,FALSE))</f>
        <v>5.1347166</v>
      </c>
      <c r="AV17">
        <f ca="1">IF(AND(ISNUMBER($AV$51),$B$38=1),$AV$51,HLOOKUP(INDIRECT(ADDRESS(2,COLUMN())),OFFSET($BN$2,0,0,ROW()-1,60),ROW()-1,FALSE))</f>
        <v>3.3370209669999999</v>
      </c>
      <c r="AW17">
        <f ca="1">IF(AND(ISNUMBER($AW$51),$B$38=1),$AW$51,HLOOKUP(INDIRECT(ADDRESS(2,COLUMN())),OFFSET($BN$2,0,0,ROW()-1,60),ROW()-1,FALSE))</f>
        <v>1.6423867480000001</v>
      </c>
      <c r="AX17">
        <f ca="1">IF(AND(ISNUMBER($AX$51),$B$38=1),$AX$51,HLOOKUP(INDIRECT(ADDRESS(2,COLUMN())),OFFSET($BN$2,0,0,ROW()-1,60),ROW()-1,FALSE))</f>
        <v>5.6945319149999998</v>
      </c>
      <c r="AY17">
        <f ca="1">IF(AND(ISNUMBER($AY$51),$B$38=1),$AY$51,HLOOKUP(INDIRECT(ADDRESS(2,COLUMN())),OFFSET($BN$2,0,0,ROW()-1,60),ROW()-1,FALSE))</f>
        <v>3.1585006849999999</v>
      </c>
      <c r="AZ17">
        <f ca="1">IF(AND(ISNUMBER($AZ$51),$B$38=1),$AZ$51,HLOOKUP(INDIRECT(ADDRESS(2,COLUMN())),OFFSET($BN$2,0,0,ROW()-1,60),ROW()-1,FALSE))</f>
        <v>4.4947760179999996</v>
      </c>
      <c r="BA17">
        <f ca="1">IF(AND(ISNUMBER($BA$51),$B$38=1),$BA$51,HLOOKUP(INDIRECT(ADDRESS(2,COLUMN())),OFFSET($BN$2,0,0,ROW()-1,60),ROW()-1,FALSE))</f>
        <v>6.6227436739999996</v>
      </c>
      <c r="BB17">
        <f ca="1">IF(AND(ISNUMBER($BB$51),$B$38=1),$BB$51,HLOOKUP(INDIRECT(ADDRESS(2,COLUMN())),OFFSET($BN$2,0,0,ROW()-1,60),ROW()-1,FALSE))</f>
        <v>3.7445863309999998</v>
      </c>
      <c r="BC17">
        <f ca="1">IF(AND(ISNUMBER($BC$51),$B$38=1),$BC$51,HLOOKUP(INDIRECT(ADDRESS(2,COLUMN())),OFFSET($BN$2,0,0,ROW()-1,60),ROW()-1,FALSE))</f>
        <v>4.1259540499999998</v>
      </c>
      <c r="BD17">
        <f ca="1">IF(AND(ISNUMBER($BD$51),$B$38=1),$BD$51,HLOOKUP(INDIRECT(ADDRESS(2,COLUMN())),OFFSET($BN$2,0,0,ROW()-1,60),ROW()-1,FALSE))</f>
        <v>3.8970323969999998</v>
      </c>
      <c r="BE17">
        <f ca="1">IF(AND(ISNUMBER($BE$51),$B$38=1),$BE$51,HLOOKUP(INDIRECT(ADDRESS(2,COLUMN())),OFFSET($BN$2,0,0,ROW()-1,60),ROW()-1,FALSE))</f>
        <v>4.1273807690000002</v>
      </c>
      <c r="BF17">
        <f ca="1">IF(AND(ISNUMBER($BF$51),$B$38=1),$BF$51,HLOOKUP(INDIRECT(ADDRESS(2,COLUMN())),OFFSET($BN$2,0,0,ROW()-1,60),ROW()-1,FALSE))</f>
        <v>3.2761610289999998</v>
      </c>
      <c r="BG17">
        <f ca="1">IF(AND(ISNUMBER($BG$51),$B$38=1),$BG$51,HLOOKUP(INDIRECT(ADDRESS(2,COLUMN())),OFFSET($BN$2,0,0,ROW()-1,60),ROW()-1,FALSE))</f>
        <v>2.8107640439999999</v>
      </c>
      <c r="BH17">
        <f ca="1">IF(AND(ISNUMBER($BH$51),$B$38=1),$BH$51,HLOOKUP(INDIRECT(ADDRESS(2,COLUMN())),OFFSET($BN$2,0,0,ROW()-1,60),ROW()-1,FALSE))</f>
        <v>1.816830274</v>
      </c>
      <c r="BI17">
        <f ca="1">IF(AND(ISNUMBER($BI$51),$B$38=1),$BI$51,HLOOKUP(INDIRECT(ADDRESS(2,COLUMN())),OFFSET($BN$2,0,0,ROW()-1,60),ROW()-1,FALSE))</f>
        <v>2.1465799329999999</v>
      </c>
      <c r="BJ17">
        <f ca="1">IF(AND(ISNUMBER($BJ$51),$B$38=1),$BJ$51,HLOOKUP(INDIRECT(ADDRESS(2,COLUMN())),OFFSET($BN$2,0,0,ROW()-1,60),ROW()-1,FALSE))</f>
        <v>2.2547236659999998</v>
      </c>
      <c r="BK17">
        <f ca="1">IF(AND(ISNUMBER($BK$51),$B$38=1),$BK$51,HLOOKUP(INDIRECT(ADDRESS(2,COLUMN())),OFFSET($BN$2,0,0,ROW()-1,60),ROW()-1,FALSE))</f>
        <v>2.046926263</v>
      </c>
      <c r="BL17">
        <f ca="1">IF(AND(ISNUMBER($BL$51),$B$38=1),$BL$51,HLOOKUP(INDIRECT(ADDRESS(2,COLUMN())),OFFSET($BN$2,0,0,ROW()-1,60),ROW()-1,FALSE))</f>
        <v>4.4981132529999996</v>
      </c>
      <c r="BM17">
        <f ca="1">IF(AND(ISNUMBER($BM$51),$B$38=1),$BM$51,HLOOKUP(INDIRECT(ADDRESS(2,COLUMN())),OFFSET($BN$2,0,0,ROW()-1,60),ROW()-1,FALSE))</f>
        <v>3.3068008390000001</v>
      </c>
      <c r="BN17">
        <f>1.207230894</f>
        <v>1.2072308940000001</v>
      </c>
      <c r="BO17">
        <f>1.543248188</f>
        <v>1.543248188</v>
      </c>
      <c r="BP17">
        <f>2.813418658</f>
        <v>2.8134186579999998</v>
      </c>
      <c r="BQ17">
        <f>2.74535673</f>
        <v>2.7453567300000001</v>
      </c>
      <c r="BR17">
        <f>3.311305228</f>
        <v>3.3113052280000002</v>
      </c>
      <c r="BS17">
        <f>2.802779141</f>
        <v>2.8027791409999998</v>
      </c>
      <c r="BT17">
        <f>3.835117657</f>
        <v>3.8351176570000001</v>
      </c>
      <c r="BU17">
        <f>4.942515347</f>
        <v>4.9425153469999996</v>
      </c>
      <c r="BV17">
        <f>3.844795848</f>
        <v>3.844795848</v>
      </c>
      <c r="BW17">
        <f>4.104652196</f>
        <v>4.104652196</v>
      </c>
      <c r="BX17">
        <f>3.164223599</f>
        <v>3.1642235990000001</v>
      </c>
      <c r="BY17">
        <f>3.382438485</f>
        <v>3.3824384850000002</v>
      </c>
      <c r="BZ17">
        <f>3.62612282</f>
        <v>3.62612282</v>
      </c>
      <c r="CA17">
        <f>4.765418088</f>
        <v>4.7654180879999997</v>
      </c>
      <c r="CB17">
        <f>4.794131184</f>
        <v>4.7941311840000003</v>
      </c>
      <c r="CC17">
        <f>3.479371579</f>
        <v>3.4793715789999999</v>
      </c>
      <c r="CD17">
        <f>4.739342955</f>
        <v>4.7393429549999997</v>
      </c>
      <c r="CE17">
        <f>4.576028254</f>
        <v>4.5760282539999997</v>
      </c>
      <c r="CF17">
        <f>5.246251907</f>
        <v>5.2462519070000004</v>
      </c>
      <c r="CG17">
        <f>4.38459282</f>
        <v>4.3845928199999999</v>
      </c>
      <c r="CH17">
        <f>3.570836764</f>
        <v>3.5708367640000001</v>
      </c>
      <c r="CI17">
        <f>3.663808513</f>
        <v>3.6638085130000002</v>
      </c>
      <c r="CJ17">
        <f>4.686668465</f>
        <v>4.6866684650000003</v>
      </c>
      <c r="CK17">
        <f>4.761995866</f>
        <v>4.7619958660000004</v>
      </c>
      <c r="CL17">
        <f>2.510393448</f>
        <v>2.5103934479999999</v>
      </c>
      <c r="CM17">
        <f>3.919543421</f>
        <v>3.9195434210000002</v>
      </c>
      <c r="CN17">
        <f>2.801777311</f>
        <v>2.8017773109999999</v>
      </c>
      <c r="CO17">
        <f>1.776581208</f>
        <v>1.7765812080000001</v>
      </c>
      <c r="CP17">
        <f>3.388621025</f>
        <v>3.388621025</v>
      </c>
      <c r="CQ17">
        <f>1.648667096</f>
        <v>1.6486670960000001</v>
      </c>
      <c r="CR17">
        <f>0.482823157</f>
        <v>0.482823157</v>
      </c>
      <c r="CS17">
        <f>1.197496743</f>
        <v>1.1974967430000001</v>
      </c>
      <c r="CT17">
        <f>-0.065953294</f>
        <v>-6.5953293999999996E-2</v>
      </c>
      <c r="CU17">
        <f>-0.640675776</f>
        <v>-0.64067577600000003</v>
      </c>
      <c r="CV17">
        <f>0.084155126</f>
        <v>8.4155125999999997E-2</v>
      </c>
      <c r="CW17">
        <f>1.554176836</f>
        <v>1.5541768359999999</v>
      </c>
      <c r="CX17">
        <f>1.495913965</f>
        <v>1.495913965</v>
      </c>
      <c r="CY17">
        <f>1.252341845</f>
        <v>1.2523418449999999</v>
      </c>
      <c r="CZ17">
        <f>3.54350779</f>
        <v>3.54350779</v>
      </c>
      <c r="DA17">
        <f>3.508253863</f>
        <v>3.5082538630000002</v>
      </c>
      <c r="DB17">
        <f>5.068625912</f>
        <v>5.0686259119999999</v>
      </c>
      <c r="DC17">
        <f>5.1347166</f>
        <v>5.1347166</v>
      </c>
      <c r="DD17">
        <f>3.337020967</f>
        <v>3.3370209669999999</v>
      </c>
      <c r="DE17">
        <f>1.642386748</f>
        <v>1.6423867480000001</v>
      </c>
      <c r="DF17">
        <f>5.694531915</f>
        <v>5.6945319149999998</v>
      </c>
      <c r="DG17">
        <f>3.158500685</f>
        <v>3.1585006849999999</v>
      </c>
      <c r="DH17">
        <f>4.494776018</f>
        <v>4.4947760179999996</v>
      </c>
      <c r="DI17">
        <f>6.622743674</f>
        <v>6.6227436739999996</v>
      </c>
      <c r="DJ17">
        <f>3.744586331</f>
        <v>3.7445863309999998</v>
      </c>
      <c r="DK17">
        <f>4.12595405</f>
        <v>4.1259540499999998</v>
      </c>
      <c r="DL17">
        <f>3.897032397</f>
        <v>3.8970323969999998</v>
      </c>
      <c r="DM17">
        <f>4.127380769</f>
        <v>4.1273807690000002</v>
      </c>
      <c r="DN17">
        <f>3.276161029</f>
        <v>3.2761610289999998</v>
      </c>
      <c r="DO17">
        <f>2.810764044</f>
        <v>2.8107640439999999</v>
      </c>
      <c r="DP17">
        <f>1.816830274</f>
        <v>1.816830274</v>
      </c>
      <c r="DQ17">
        <f>2.146579933</f>
        <v>2.1465799329999999</v>
      </c>
      <c r="DR17">
        <f>2.254723666</f>
        <v>2.2547236659999998</v>
      </c>
      <c r="DS17">
        <f>2.046926263</f>
        <v>2.046926263</v>
      </c>
      <c r="DT17">
        <f>4.498113253</f>
        <v>4.4981132529999996</v>
      </c>
      <c r="DU17">
        <f>3.306800839</f>
        <v>3.3068008390000001</v>
      </c>
    </row>
    <row r="18" spans="1:125">
      <c r="A18" t="str">
        <f>"    购物商城房地产投资信托总股利支付"</f>
        <v xml:space="preserve">    购物商城房地产投资信托总股利支付</v>
      </c>
      <c r="B18" t="str">
        <f>"RECFTDRM Index"</f>
        <v>RECFTDRM Index</v>
      </c>
      <c r="C18" t="str">
        <f>"PR005"</f>
        <v>PR005</v>
      </c>
      <c r="D18" t="str">
        <f>"PX_LAST"</f>
        <v>PX_LAST</v>
      </c>
      <c r="E18" t="str">
        <f>"动态"</f>
        <v>动态</v>
      </c>
      <c r="F18">
        <f ca="1">IF(AND(ISNUMBER($F$52),$B$38=1),$F$52,HLOOKUP(INDIRECT(ADDRESS(2,COLUMN())),OFFSET($BN$2,0,0,ROW()-1,60),ROW()-1,FALSE))</f>
        <v>1308.6773860000001</v>
      </c>
      <c r="G18">
        <f ca="1">IF(AND(ISNUMBER($G$52),$B$38=1),$G$52,HLOOKUP(INDIRECT(ADDRESS(2,COLUMN())),OFFSET($BN$2,0,0,ROW()-1,60),ROW()-1,FALSE))</f>
        <v>1178.818</v>
      </c>
      <c r="H18">
        <f ca="1">IF(AND(ISNUMBER($H$52),$B$38=1),$H$52,HLOOKUP(INDIRECT(ADDRESS(2,COLUMN())),OFFSET($BN$2,0,0,ROW()-1,60),ROW()-1,FALSE))</f>
        <v>1182.825</v>
      </c>
      <c r="I18">
        <f ca="1">IF(AND(ISNUMBER($I$52),$B$38=1),$I$52,HLOOKUP(INDIRECT(ADDRESS(2,COLUMN())),OFFSET($BN$2,0,0,ROW()-1,60),ROW()-1,FALSE))</f>
        <v>1396.0920000000001</v>
      </c>
      <c r="J18">
        <f ca="1">IF(AND(ISNUMBER($J$52),$B$38=1),$J$52,HLOOKUP(INDIRECT(ADDRESS(2,COLUMN())),OFFSET($BN$2,0,0,ROW()-1,60),ROW()-1,FALSE))</f>
        <v>1107.846</v>
      </c>
      <c r="K18">
        <f ca="1">IF(AND(ISNUMBER($K$52),$B$38=1),$K$52,HLOOKUP(INDIRECT(ADDRESS(2,COLUMN())),OFFSET($BN$2,0,0,ROW()-1,60),ROW()-1,FALSE))</f>
        <v>1090.076</v>
      </c>
      <c r="L18">
        <f ca="1">IF(AND(ISNUMBER($L$52),$B$38=1),$L$52,HLOOKUP(INDIRECT(ADDRESS(2,COLUMN())),OFFSET($BN$2,0,0,ROW()-1,60),ROW()-1,FALSE))</f>
        <v>1239.864</v>
      </c>
      <c r="M18">
        <f ca="1">IF(AND(ISNUMBER($M$52),$B$38=1),$M$52,HLOOKUP(INDIRECT(ADDRESS(2,COLUMN())),OFFSET($BN$2,0,0,ROW()-1,60),ROW()-1,FALSE))</f>
        <v>1430.7570000000001</v>
      </c>
      <c r="N18">
        <f ca="1">IF(AND(ISNUMBER($N$52),$B$38=1),$N$52,HLOOKUP(INDIRECT(ADDRESS(2,COLUMN())),OFFSET($BN$2,0,0,ROW()-1,60),ROW()-1,FALSE))</f>
        <v>1427.7190000000001</v>
      </c>
      <c r="O18">
        <f ca="1">IF(AND(ISNUMBER($O$52),$B$38=1),$O$52,HLOOKUP(INDIRECT(ADDRESS(2,COLUMN())),OFFSET($BN$2,0,0,ROW()-1,60),ROW()-1,FALSE))</f>
        <v>1049.5219999999999</v>
      </c>
      <c r="P18">
        <f ca="1">IF(AND(ISNUMBER($P$52),$B$38=1),$P$52,HLOOKUP(INDIRECT(ADDRESS(2,COLUMN())),OFFSET($BN$2,0,0,ROW()-1,60),ROW()-1,FALSE))</f>
        <v>1086.249</v>
      </c>
      <c r="Q18">
        <f ca="1">IF(AND(ISNUMBER($Q$52),$B$38=1),$Q$52,HLOOKUP(INDIRECT(ADDRESS(2,COLUMN())),OFFSET($BN$2,0,0,ROW()-1,60),ROW()-1,FALSE))</f>
        <v>990.73400000000004</v>
      </c>
      <c r="R18">
        <f ca="1">IF(AND(ISNUMBER($R$52),$B$38=1),$R$52,HLOOKUP(INDIRECT(ADDRESS(2,COLUMN())),OFFSET($BN$2,0,0,ROW()-1,60),ROW()-1,FALSE))</f>
        <v>1395.1880000000001</v>
      </c>
      <c r="S18">
        <f ca="1">IF(AND(ISNUMBER($S$52),$B$38=1),$S$52,HLOOKUP(INDIRECT(ADDRESS(2,COLUMN())),OFFSET($BN$2,0,0,ROW()-1,60),ROW()-1,FALSE))</f>
        <v>929.38300000000004</v>
      </c>
      <c r="T18">
        <f ca="1">IF(AND(ISNUMBER($T$52),$B$38=1),$T$52,HLOOKUP(INDIRECT(ADDRESS(2,COLUMN())),OFFSET($BN$2,0,0,ROW()-1,60),ROW()-1,FALSE))</f>
        <v>1951.0989999999999</v>
      </c>
      <c r="U18">
        <f ca="1">IF(AND(ISNUMBER($U$52),$B$38=1),$U$52,HLOOKUP(INDIRECT(ADDRESS(2,COLUMN())),OFFSET($BN$2,0,0,ROW()-1,60),ROW()-1,FALSE))</f>
        <v>867.048</v>
      </c>
      <c r="V18">
        <f ca="1">IF(AND(ISNUMBER($V$52),$B$38=1),$V$52,HLOOKUP(INDIRECT(ADDRESS(2,COLUMN())),OFFSET($BN$2,0,0,ROW()-1,60),ROW()-1,FALSE))</f>
        <v>859.81100000000004</v>
      </c>
      <c r="W18">
        <f ca="1">IF(AND(ISNUMBER($W$52),$B$38=1),$W$52,HLOOKUP(INDIRECT(ADDRESS(2,COLUMN())),OFFSET($BN$2,0,0,ROW()-1,60),ROW()-1,FALSE))</f>
        <v>795.74599999999998</v>
      </c>
      <c r="X18">
        <f ca="1">IF(AND(ISNUMBER($X$52),$B$38=1),$X$52,HLOOKUP(INDIRECT(ADDRESS(2,COLUMN())),OFFSET($BN$2,0,0,ROW()-1,60),ROW()-1,FALSE))</f>
        <v>790.40899999999999</v>
      </c>
      <c r="Y18">
        <f ca="1">IF(AND(ISNUMBER($Y$52),$B$38=1),$Y$52,HLOOKUP(INDIRECT(ADDRESS(2,COLUMN())),OFFSET($BN$2,0,0,ROW()-1,60),ROW()-1,FALSE))</f>
        <v>769.66700000000003</v>
      </c>
      <c r="Z18">
        <f ca="1">IF(AND(ISNUMBER($Z$52),$B$38=1),$Z$52,HLOOKUP(INDIRECT(ADDRESS(2,COLUMN())),OFFSET($BN$2,0,0,ROW()-1,60),ROW()-1,FALSE))</f>
        <v>759.64200000000005</v>
      </c>
      <c r="AA18">
        <f ca="1">IF(AND(ISNUMBER($AA$52),$B$38=1),$AA$52,HLOOKUP(INDIRECT(ADDRESS(2,COLUMN())),OFFSET($BN$2,0,0,ROW()-1,60),ROW()-1,FALSE))</f>
        <v>738.22</v>
      </c>
      <c r="AB18">
        <f ca="1">IF(AND(ISNUMBER($AB$52),$B$38=1),$AB$52,HLOOKUP(INDIRECT(ADDRESS(2,COLUMN())),OFFSET($BN$2,0,0,ROW()-1,60),ROW()-1,FALSE))</f>
        <v>697.38400000000001</v>
      </c>
      <c r="AC18">
        <f ca="1">IF(AND(ISNUMBER($AC$52),$B$38=1),$AC$52,HLOOKUP(INDIRECT(ADDRESS(2,COLUMN())),OFFSET($BN$2,0,0,ROW()-1,60),ROW()-1,FALSE))</f>
        <v>689.22400000000005</v>
      </c>
      <c r="AD18">
        <f ca="1">IF(AND(ISNUMBER($AD$52),$B$38=1),$AD$52,HLOOKUP(INDIRECT(ADDRESS(2,COLUMN())),OFFSET($BN$2,0,0,ROW()-1,60),ROW()-1,FALSE))</f>
        <v>849.28499999999997</v>
      </c>
      <c r="AE18">
        <f ca="1">IF(AND(ISNUMBER($AE$52),$B$38=1),$AE$52,HLOOKUP(INDIRECT(ADDRESS(2,COLUMN())),OFFSET($BN$2,0,0,ROW()-1,60),ROW()-1,FALSE))</f>
        <v>622.84799999999996</v>
      </c>
      <c r="AF18">
        <f ca="1">IF(AND(ISNUMBER($AF$52),$B$38=1),$AF$52,HLOOKUP(INDIRECT(ADDRESS(2,COLUMN())),OFFSET($BN$2,0,0,ROW()-1,60),ROW()-1,FALSE))</f>
        <v>639.71699999999998</v>
      </c>
      <c r="AG18">
        <f ca="1">IF(AND(ISNUMBER($AG$52),$B$38=1),$AG$52,HLOOKUP(INDIRECT(ADDRESS(2,COLUMN())),OFFSET($BN$2,0,0,ROW()-1,60),ROW()-1,FALSE))</f>
        <v>579.42399999999998</v>
      </c>
      <c r="AH18">
        <f ca="1">IF(AND(ISNUMBER($AH$52),$B$38=1),$AH$52,HLOOKUP(INDIRECT(ADDRESS(2,COLUMN())),OFFSET($BN$2,0,0,ROW()-1,60),ROW()-1,FALSE))</f>
        <v>529.61</v>
      </c>
      <c r="AI18">
        <f ca="1">IF(AND(ISNUMBER($AI$52),$B$38=1),$AI$52,HLOOKUP(INDIRECT(ADDRESS(2,COLUMN())),OFFSET($BN$2,0,0,ROW()-1,60),ROW()-1,FALSE))</f>
        <v>415.75700000000001</v>
      </c>
      <c r="AJ18">
        <f ca="1">IF(AND(ISNUMBER($AJ$52),$B$38=1),$AJ$52,HLOOKUP(INDIRECT(ADDRESS(2,COLUMN())),OFFSET($BN$2,0,0,ROW()-1,60),ROW()-1,FALSE))</f>
        <v>413.09399999999999</v>
      </c>
      <c r="AK18">
        <f ca="1">IF(AND(ISNUMBER($AK$52),$B$38=1),$AK$52,HLOOKUP(INDIRECT(ADDRESS(2,COLUMN())),OFFSET($BN$2,0,0,ROW()-1,60),ROW()-1,FALSE))</f>
        <v>323.60599999999999</v>
      </c>
      <c r="AL18">
        <f ca="1">IF(AND(ISNUMBER($AL$52),$B$38=1),$AL$52,HLOOKUP(INDIRECT(ADDRESS(2,COLUMN())),OFFSET($BN$2,0,0,ROW()-1,60),ROW()-1,FALSE))</f>
        <v>175.54900000000001</v>
      </c>
      <c r="AM18">
        <f ca="1">IF(AND(ISNUMBER($AM$52),$B$38=1),$AM$52,HLOOKUP(INDIRECT(ADDRESS(2,COLUMN())),OFFSET($BN$2,0,0,ROW()-1,60),ROW()-1,FALSE))</f>
        <v>153.53399999999999</v>
      </c>
      <c r="AN18">
        <f ca="1">IF(AND(ISNUMBER($AN$52),$B$38=1),$AN$52,HLOOKUP(INDIRECT(ADDRESS(2,COLUMN())),OFFSET($BN$2,0,0,ROW()-1,60),ROW()-1,FALSE))</f>
        <v>157.898</v>
      </c>
      <c r="AO18">
        <f ca="1">IF(AND(ISNUMBER($AO$52),$B$38=1),$AO$52,HLOOKUP(INDIRECT(ADDRESS(2,COLUMN())),OFFSET($BN$2,0,0,ROW()-1,60),ROW()-1,FALSE))</f>
        <v>263.91699999999997</v>
      </c>
      <c r="AP18">
        <f ca="1">IF(AND(ISNUMBER($AP$52),$B$38=1),$AP$52,HLOOKUP(INDIRECT(ADDRESS(2,COLUMN())),OFFSET($BN$2,0,0,ROW()-1,60),ROW()-1,FALSE))</f>
        <v>512.36800000000005</v>
      </c>
      <c r="AQ18">
        <f ca="1">IF(AND(ISNUMBER($AQ$52),$B$38=1),$AQ$52,HLOOKUP(INDIRECT(ADDRESS(2,COLUMN())),OFFSET($BN$2,0,0,ROW()-1,60),ROW()-1,FALSE))</f>
        <v>668.41399999999999</v>
      </c>
      <c r="AR18">
        <f ca="1">IF(AND(ISNUMBER($AR$52),$B$38=1),$AR$52,HLOOKUP(INDIRECT(ADDRESS(2,COLUMN())),OFFSET($BN$2,0,0,ROW()-1,60),ROW()-1,FALSE))</f>
        <v>664.53899999999999</v>
      </c>
      <c r="AS18">
        <f ca="1">IF(AND(ISNUMBER($AS$52),$B$38=1),$AS$52,HLOOKUP(INDIRECT(ADDRESS(2,COLUMN())),OFFSET($BN$2,0,0,ROW()-1,60),ROW()-1,FALSE))</f>
        <v>717.26900000000001</v>
      </c>
      <c r="AT18">
        <f ca="1">IF(AND(ISNUMBER($AT$52),$B$38=1),$AT$52,HLOOKUP(INDIRECT(ADDRESS(2,COLUMN())),OFFSET($BN$2,0,0,ROW()-1,60),ROW()-1,FALSE))</f>
        <v>654.1875</v>
      </c>
      <c r="AU18">
        <f ca="1">IF(AND(ISNUMBER($AU$52),$B$38=1),$AU$52,HLOOKUP(INDIRECT(ADDRESS(2,COLUMN())),OFFSET($BN$2,0,0,ROW()-1,60),ROW()-1,FALSE))</f>
        <v>633.73900000000003</v>
      </c>
      <c r="AV18">
        <f ca="1">IF(AND(ISNUMBER($AV$52),$B$38=1),$AV$52,HLOOKUP(INDIRECT(ADDRESS(2,COLUMN())),OFFSET($BN$2,0,0,ROW()-1,60),ROW()-1,FALSE))</f>
        <v>672.28099999999995</v>
      </c>
      <c r="AW18">
        <f ca="1">IF(AND(ISNUMBER($AW$52),$B$38=1),$AW$52,HLOOKUP(INDIRECT(ADDRESS(2,COLUMN())),OFFSET($BN$2,0,0,ROW()-1,60),ROW()-1,FALSE))</f>
        <v>627.846</v>
      </c>
      <c r="AX18">
        <f ca="1">IF(AND(ISNUMBER($AX$52),$B$38=1),$AX$52,HLOOKUP(INDIRECT(ADDRESS(2,COLUMN())),OFFSET($BN$2,0,0,ROW()-1,60),ROW()-1,FALSE))</f>
        <v>606.64599999999996</v>
      </c>
      <c r="AY18">
        <f ca="1">IF(AND(ISNUMBER($AY$52),$B$38=1),$AY$52,HLOOKUP(INDIRECT(ADDRESS(2,COLUMN())),OFFSET($BN$2,0,0,ROW()-1,60),ROW()-1,FALSE))</f>
        <v>596.19399999999996</v>
      </c>
      <c r="AZ18">
        <f ca="1">IF(AND(ISNUMBER($AZ$52),$B$38=1),$AZ$52,HLOOKUP(INDIRECT(ADDRESS(2,COLUMN())),OFFSET($BN$2,0,0,ROW()-1,60),ROW()-1,FALSE))</f>
        <v>656.63199999999995</v>
      </c>
      <c r="BA18">
        <f ca="1">IF(AND(ISNUMBER($BA$52),$B$38=1),$BA$52,HLOOKUP(INDIRECT(ADDRESS(2,COLUMN())),OFFSET($BN$2,0,0,ROW()-1,60),ROW()-1,FALSE))</f>
        <v>589.05799999999999</v>
      </c>
      <c r="BB18">
        <f ca="1">IF(AND(ISNUMBER($BB$52),$B$38=1),$BB$52,HLOOKUP(INDIRECT(ADDRESS(2,COLUMN())),OFFSET($BN$2,0,0,ROW()-1,60),ROW()-1,FALSE))</f>
        <v>555.83100000000002</v>
      </c>
      <c r="BC18">
        <f ca="1">IF(AND(ISNUMBER($BC$52),$B$38=1),$BC$52,HLOOKUP(INDIRECT(ADDRESS(2,COLUMN())),OFFSET($BN$2,0,0,ROW()-1,60),ROW()-1,FALSE))</f>
        <v>593.202</v>
      </c>
      <c r="BD18">
        <f ca="1">IF(AND(ISNUMBER($BD$52),$B$38=1),$BD$52,HLOOKUP(INDIRECT(ADDRESS(2,COLUMN())),OFFSET($BN$2,0,0,ROW()-1,60),ROW()-1,FALSE))</f>
        <v>594.322</v>
      </c>
      <c r="BE18">
        <f ca="1">IF(AND(ISNUMBER($BE$52),$B$38=1),$BE$52,HLOOKUP(INDIRECT(ADDRESS(2,COLUMN())),OFFSET($BN$2,0,0,ROW()-1,60),ROW()-1,FALSE))</f>
        <v>577.93399999999997</v>
      </c>
      <c r="BF18">
        <f ca="1">IF(AND(ISNUMBER($BF$52),$B$38=1),$BF$52,HLOOKUP(INDIRECT(ADDRESS(2,COLUMN())),OFFSET($BN$2,0,0,ROW()-1,60),ROW()-1,FALSE))</f>
        <v>649.44100000000003</v>
      </c>
      <c r="BG18">
        <f ca="1">IF(AND(ISNUMBER($BG$52),$B$38=1),$BG$52,HLOOKUP(INDIRECT(ADDRESS(2,COLUMN())),OFFSET($BN$2,0,0,ROW()-1,60),ROW()-1,FALSE))</f>
        <v>539.822</v>
      </c>
      <c r="BH18">
        <f ca="1">IF(AND(ISNUMBER($BH$52),$B$38=1),$BH$52,HLOOKUP(INDIRECT(ADDRESS(2,COLUMN())),OFFSET($BN$2,0,0,ROW()-1,60),ROW()-1,FALSE))</f>
        <v>572.55100000000004</v>
      </c>
      <c r="BI18">
        <f ca="1">IF(AND(ISNUMBER($BI$52),$B$38=1),$BI$52,HLOOKUP(INDIRECT(ADDRESS(2,COLUMN())),OFFSET($BN$2,0,0,ROW()-1,60),ROW()-1,FALSE))</f>
        <v>539.649</v>
      </c>
      <c r="BJ18">
        <f ca="1">IF(AND(ISNUMBER($BJ$52),$B$38=1),$BJ$52,HLOOKUP(INDIRECT(ADDRESS(2,COLUMN())),OFFSET($BN$2,0,0,ROW()-1,60),ROW()-1,FALSE))</f>
        <v>503.2235</v>
      </c>
      <c r="BK18">
        <f ca="1">IF(AND(ISNUMBER($BK$52),$B$38=1),$BK$52,HLOOKUP(INDIRECT(ADDRESS(2,COLUMN())),OFFSET($BN$2,0,0,ROW()-1,60),ROW()-1,FALSE))</f>
        <v>460.89600000000002</v>
      </c>
      <c r="BL18">
        <f ca="1">IF(AND(ISNUMBER($BL$52),$B$38=1),$BL$52,HLOOKUP(INDIRECT(ADDRESS(2,COLUMN())),OFFSET($BN$2,0,0,ROW()-1,60),ROW()-1,FALSE))</f>
        <v>455.988</v>
      </c>
      <c r="BM18">
        <f ca="1">IF(AND(ISNUMBER($BM$52),$B$38=1),$BM$52,HLOOKUP(INDIRECT(ADDRESS(2,COLUMN())),OFFSET($BN$2,0,0,ROW()-1,60),ROW()-1,FALSE))</f>
        <v>461.96600000000001</v>
      </c>
      <c r="BN18">
        <f>1308.677386</f>
        <v>1308.6773860000001</v>
      </c>
      <c r="BO18">
        <f>1178.818</f>
        <v>1178.818</v>
      </c>
      <c r="BP18">
        <f>1182.825</f>
        <v>1182.825</v>
      </c>
      <c r="BQ18">
        <f>1396.092</f>
        <v>1396.0920000000001</v>
      </c>
      <c r="BR18">
        <f>1107.846</f>
        <v>1107.846</v>
      </c>
      <c r="BS18">
        <f>1090.076</f>
        <v>1090.076</v>
      </c>
      <c r="BT18">
        <f>1239.864</f>
        <v>1239.864</v>
      </c>
      <c r="BU18">
        <f>1430.757</f>
        <v>1430.7570000000001</v>
      </c>
      <c r="BV18">
        <f>1427.719</f>
        <v>1427.7190000000001</v>
      </c>
      <c r="BW18">
        <f>1049.522</f>
        <v>1049.5219999999999</v>
      </c>
      <c r="BX18">
        <f>1086.249</f>
        <v>1086.249</v>
      </c>
      <c r="BY18">
        <f>990.734</f>
        <v>990.73400000000004</v>
      </c>
      <c r="BZ18">
        <f>1395.188</f>
        <v>1395.1880000000001</v>
      </c>
      <c r="CA18">
        <f>929.383</f>
        <v>929.38300000000004</v>
      </c>
      <c r="CB18">
        <f>1951.099</f>
        <v>1951.0989999999999</v>
      </c>
      <c r="CC18">
        <f>867.048</f>
        <v>867.048</v>
      </c>
      <c r="CD18">
        <f>859.811</f>
        <v>859.81100000000004</v>
      </c>
      <c r="CE18">
        <f>795.746</f>
        <v>795.74599999999998</v>
      </c>
      <c r="CF18">
        <f>790.409</f>
        <v>790.40899999999999</v>
      </c>
      <c r="CG18">
        <f>769.667</f>
        <v>769.66700000000003</v>
      </c>
      <c r="CH18">
        <f>759.642</f>
        <v>759.64200000000005</v>
      </c>
      <c r="CI18">
        <f>738.22</f>
        <v>738.22</v>
      </c>
      <c r="CJ18">
        <f>697.384</f>
        <v>697.38400000000001</v>
      </c>
      <c r="CK18">
        <f>689.224</f>
        <v>689.22400000000005</v>
      </c>
      <c r="CL18">
        <f>849.285</f>
        <v>849.28499999999997</v>
      </c>
      <c r="CM18">
        <f>622.848</f>
        <v>622.84799999999996</v>
      </c>
      <c r="CN18">
        <f>639.717</f>
        <v>639.71699999999998</v>
      </c>
      <c r="CO18">
        <f>579.424</f>
        <v>579.42399999999998</v>
      </c>
      <c r="CP18">
        <f>529.61</f>
        <v>529.61</v>
      </c>
      <c r="CQ18">
        <f>415.757</f>
        <v>415.75700000000001</v>
      </c>
      <c r="CR18">
        <f>413.094</f>
        <v>413.09399999999999</v>
      </c>
      <c r="CS18">
        <f>323.606</f>
        <v>323.60599999999999</v>
      </c>
      <c r="CT18">
        <f>175.549</f>
        <v>175.54900000000001</v>
      </c>
      <c r="CU18">
        <f>153.534</f>
        <v>153.53399999999999</v>
      </c>
      <c r="CV18">
        <f>157.898</f>
        <v>157.898</v>
      </c>
      <c r="CW18">
        <f>263.917</f>
        <v>263.91699999999997</v>
      </c>
      <c r="CX18">
        <f>512.368</f>
        <v>512.36800000000005</v>
      </c>
      <c r="CY18">
        <f>668.414</f>
        <v>668.41399999999999</v>
      </c>
      <c r="CZ18">
        <f>664.539</f>
        <v>664.53899999999999</v>
      </c>
      <c r="DA18">
        <f>717.269</f>
        <v>717.26900000000001</v>
      </c>
      <c r="DB18">
        <f>654.1875</f>
        <v>654.1875</v>
      </c>
      <c r="DC18">
        <f>633.739</f>
        <v>633.73900000000003</v>
      </c>
      <c r="DD18">
        <f>672.281</f>
        <v>672.28099999999995</v>
      </c>
      <c r="DE18">
        <f>627.846</f>
        <v>627.846</v>
      </c>
      <c r="DF18">
        <f>606.646</f>
        <v>606.64599999999996</v>
      </c>
      <c r="DG18">
        <f>596.194</f>
        <v>596.19399999999996</v>
      </c>
      <c r="DH18">
        <f>656.632</f>
        <v>656.63199999999995</v>
      </c>
      <c r="DI18">
        <f>589.058</f>
        <v>589.05799999999999</v>
      </c>
      <c r="DJ18">
        <f>555.831</f>
        <v>555.83100000000002</v>
      </c>
      <c r="DK18">
        <f>593.202</f>
        <v>593.202</v>
      </c>
      <c r="DL18">
        <f>594.322</f>
        <v>594.322</v>
      </c>
      <c r="DM18">
        <f>577.934</f>
        <v>577.93399999999997</v>
      </c>
      <c r="DN18">
        <f>649.441</f>
        <v>649.44100000000003</v>
      </c>
      <c r="DO18">
        <f>539.822</f>
        <v>539.822</v>
      </c>
      <c r="DP18">
        <f>572.551</f>
        <v>572.55100000000004</v>
      </c>
      <c r="DQ18">
        <f>539.649</f>
        <v>539.649</v>
      </c>
      <c r="DR18">
        <f>503.2235</f>
        <v>503.2235</v>
      </c>
      <c r="DS18">
        <f>460.896</f>
        <v>460.89600000000002</v>
      </c>
      <c r="DT18">
        <f>455.988</f>
        <v>455.988</v>
      </c>
      <c r="DU18">
        <f>461.966</f>
        <v>461.96600000000001</v>
      </c>
    </row>
    <row r="19" spans="1:125">
      <c r="A19" t="str">
        <f>"独立式零售业房地产投资信托数据"</f>
        <v>独立式零售业房地产投资信托数据</v>
      </c>
      <c r="B19" t="str">
        <f>""</f>
        <v/>
      </c>
      <c r="E19" t="str">
        <f>"静态"</f>
        <v>静态</v>
      </c>
      <c r="F19" t="str">
        <f t="shared" ref="F19:AK19" ca="1" si="6">HLOOKUP(INDIRECT(ADDRESS(2,COLUMN())),OFFSET($BN$2,0,0,ROW()-1,60),ROW()-1,FALSE)</f>
        <v/>
      </c>
      <c r="G19" t="str">
        <f t="shared" ca="1" si="6"/>
        <v/>
      </c>
      <c r="H19" t="str">
        <f t="shared" ca="1" si="6"/>
        <v/>
      </c>
      <c r="I19" t="str">
        <f t="shared" ca="1" si="6"/>
        <v/>
      </c>
      <c r="J19" t="str">
        <f t="shared" ca="1" si="6"/>
        <v/>
      </c>
      <c r="K19" t="str">
        <f t="shared" ca="1" si="6"/>
        <v/>
      </c>
      <c r="L19" t="str">
        <f t="shared" ca="1" si="6"/>
        <v/>
      </c>
      <c r="M19" t="str">
        <f t="shared" ca="1" si="6"/>
        <v/>
      </c>
      <c r="N19" t="str">
        <f t="shared" ca="1" si="6"/>
        <v/>
      </c>
      <c r="O19" t="str">
        <f t="shared" ca="1" si="6"/>
        <v/>
      </c>
      <c r="P19" t="str">
        <f t="shared" ca="1" si="6"/>
        <v/>
      </c>
      <c r="Q19" t="str">
        <f t="shared" ca="1" si="6"/>
        <v/>
      </c>
      <c r="R19" t="str">
        <f t="shared" ca="1" si="6"/>
        <v/>
      </c>
      <c r="S19" t="str">
        <f t="shared" ca="1" si="6"/>
        <v/>
      </c>
      <c r="T19" t="str">
        <f t="shared" ca="1" si="6"/>
        <v/>
      </c>
      <c r="U19" t="str">
        <f t="shared" ca="1" si="6"/>
        <v/>
      </c>
      <c r="V19" t="str">
        <f t="shared" ca="1" si="6"/>
        <v/>
      </c>
      <c r="W19" t="str">
        <f t="shared" ca="1" si="6"/>
        <v/>
      </c>
      <c r="X19" t="str">
        <f t="shared" ca="1" si="6"/>
        <v/>
      </c>
      <c r="Y19" t="str">
        <f t="shared" ca="1" si="6"/>
        <v/>
      </c>
      <c r="Z19" t="str">
        <f t="shared" ca="1" si="6"/>
        <v/>
      </c>
      <c r="AA19" t="str">
        <f t="shared" ca="1" si="6"/>
        <v/>
      </c>
      <c r="AB19" t="str">
        <f t="shared" ca="1" si="6"/>
        <v/>
      </c>
      <c r="AC19" t="str">
        <f t="shared" ca="1" si="6"/>
        <v/>
      </c>
      <c r="AD19" t="str">
        <f t="shared" ca="1" si="6"/>
        <v/>
      </c>
      <c r="AE19" t="str">
        <f t="shared" ca="1" si="6"/>
        <v/>
      </c>
      <c r="AF19" t="str">
        <f t="shared" ca="1" si="6"/>
        <v/>
      </c>
      <c r="AG19" t="str">
        <f t="shared" ca="1" si="6"/>
        <v/>
      </c>
      <c r="AH19" t="str">
        <f t="shared" ca="1" si="6"/>
        <v/>
      </c>
      <c r="AI19" t="str">
        <f t="shared" ca="1" si="6"/>
        <v/>
      </c>
      <c r="AJ19" t="str">
        <f t="shared" ca="1" si="6"/>
        <v/>
      </c>
      <c r="AK19" t="str">
        <f t="shared" ca="1" si="6"/>
        <v/>
      </c>
      <c r="AL19" t="str">
        <f t="shared" ref="AL19:BM19" ca="1" si="7">HLOOKUP(INDIRECT(ADDRESS(2,COLUMN())),OFFSET($BN$2,0,0,ROW()-1,60),ROW()-1,FALSE)</f>
        <v/>
      </c>
      <c r="AM19" t="str">
        <f t="shared" ca="1" si="7"/>
        <v/>
      </c>
      <c r="AN19" t="str">
        <f t="shared" ca="1" si="7"/>
        <v/>
      </c>
      <c r="AO19" t="str">
        <f t="shared" ca="1" si="7"/>
        <v/>
      </c>
      <c r="AP19" t="str">
        <f t="shared" ca="1" si="7"/>
        <v/>
      </c>
      <c r="AQ19" t="str">
        <f t="shared" ca="1" si="7"/>
        <v/>
      </c>
      <c r="AR19" t="str">
        <f t="shared" ca="1" si="7"/>
        <v/>
      </c>
      <c r="AS19" t="str">
        <f t="shared" ca="1" si="7"/>
        <v/>
      </c>
      <c r="AT19" t="str">
        <f t="shared" ca="1" si="7"/>
        <v/>
      </c>
      <c r="AU19" t="str">
        <f t="shared" ca="1" si="7"/>
        <v/>
      </c>
      <c r="AV19" t="str">
        <f t="shared" ca="1" si="7"/>
        <v/>
      </c>
      <c r="AW19" t="str">
        <f t="shared" ca="1" si="7"/>
        <v/>
      </c>
      <c r="AX19" t="str">
        <f t="shared" ca="1" si="7"/>
        <v/>
      </c>
      <c r="AY19" t="str">
        <f t="shared" ca="1" si="7"/>
        <v/>
      </c>
      <c r="AZ19" t="str">
        <f t="shared" ca="1" si="7"/>
        <v/>
      </c>
      <c r="BA19" t="str">
        <f t="shared" ca="1" si="7"/>
        <v/>
      </c>
      <c r="BB19" t="str">
        <f t="shared" ca="1" si="7"/>
        <v/>
      </c>
      <c r="BC19" t="str">
        <f t="shared" ca="1" si="7"/>
        <v/>
      </c>
      <c r="BD19" t="str">
        <f t="shared" ca="1" si="7"/>
        <v/>
      </c>
      <c r="BE19" t="str">
        <f t="shared" ca="1" si="7"/>
        <v/>
      </c>
      <c r="BF19" t="str">
        <f t="shared" ca="1" si="7"/>
        <v/>
      </c>
      <c r="BG19" t="str">
        <f t="shared" ca="1" si="7"/>
        <v/>
      </c>
      <c r="BH19" t="str">
        <f t="shared" ca="1" si="7"/>
        <v/>
      </c>
      <c r="BI19" t="str">
        <f t="shared" ca="1" si="7"/>
        <v/>
      </c>
      <c r="BJ19" t="str">
        <f t="shared" ca="1" si="7"/>
        <v/>
      </c>
      <c r="BK19" t="str">
        <f t="shared" ca="1" si="7"/>
        <v/>
      </c>
      <c r="BL19" t="str">
        <f t="shared" ca="1" si="7"/>
        <v/>
      </c>
      <c r="BM19" t="str">
        <f t="shared" ca="1" si="7"/>
        <v/>
      </c>
      <c r="BN19" t="str">
        <f>""</f>
        <v/>
      </c>
      <c r="BO19" t="str">
        <f>""</f>
        <v/>
      </c>
      <c r="BP19" t="str">
        <f>""</f>
        <v/>
      </c>
      <c r="BQ19" t="str">
        <f>""</f>
        <v/>
      </c>
      <c r="BR19" t="str">
        <f>""</f>
        <v/>
      </c>
      <c r="BS19" t="str">
        <f>""</f>
        <v/>
      </c>
      <c r="BT19" t="str">
        <f>""</f>
        <v/>
      </c>
      <c r="BU19" t="str">
        <f>""</f>
        <v/>
      </c>
      <c r="BV19" t="str">
        <f>""</f>
        <v/>
      </c>
      <c r="BW19" t="str">
        <f>""</f>
        <v/>
      </c>
      <c r="BX19" t="str">
        <f>""</f>
        <v/>
      </c>
      <c r="BY19" t="str">
        <f>""</f>
        <v/>
      </c>
      <c r="BZ19" t="str">
        <f>""</f>
        <v/>
      </c>
      <c r="CA19" t="str">
        <f>""</f>
        <v/>
      </c>
      <c r="CB19" t="str">
        <f>""</f>
        <v/>
      </c>
      <c r="CC19" t="str">
        <f>""</f>
        <v/>
      </c>
      <c r="CD19" t="str">
        <f>""</f>
        <v/>
      </c>
      <c r="CE19" t="str">
        <f>""</f>
        <v/>
      </c>
      <c r="CF19" t="str">
        <f>""</f>
        <v/>
      </c>
      <c r="CG19" t="str">
        <f>""</f>
        <v/>
      </c>
      <c r="CH19" t="str">
        <f>""</f>
        <v/>
      </c>
      <c r="CI19" t="str">
        <f>""</f>
        <v/>
      </c>
      <c r="CJ19" t="str">
        <f>""</f>
        <v/>
      </c>
      <c r="CK19" t="str">
        <f>""</f>
        <v/>
      </c>
      <c r="CL19" t="str">
        <f>""</f>
        <v/>
      </c>
      <c r="CM19" t="str">
        <f>""</f>
        <v/>
      </c>
      <c r="CN19" t="str">
        <f>""</f>
        <v/>
      </c>
      <c r="CO19" t="str">
        <f>""</f>
        <v/>
      </c>
      <c r="CP19" t="str">
        <f>""</f>
        <v/>
      </c>
      <c r="CQ19" t="str">
        <f>""</f>
        <v/>
      </c>
      <c r="CR19" t="str">
        <f>""</f>
        <v/>
      </c>
      <c r="CS19" t="str">
        <f>""</f>
        <v/>
      </c>
      <c r="CT19" t="str">
        <f>""</f>
        <v/>
      </c>
      <c r="CU19" t="str">
        <f>""</f>
        <v/>
      </c>
      <c r="CV19" t="str">
        <f>""</f>
        <v/>
      </c>
      <c r="CW19" t="str">
        <f>""</f>
        <v/>
      </c>
      <c r="CX19" t="str">
        <f>""</f>
        <v/>
      </c>
      <c r="CY19" t="str">
        <f>""</f>
        <v/>
      </c>
      <c r="CZ19" t="str">
        <f>""</f>
        <v/>
      </c>
      <c r="DA19" t="str">
        <f>""</f>
        <v/>
      </c>
      <c r="DB19" t="str">
        <f>""</f>
        <v/>
      </c>
      <c r="DC19" t="str">
        <f>""</f>
        <v/>
      </c>
      <c r="DD19" t="str">
        <f>""</f>
        <v/>
      </c>
      <c r="DE19" t="str">
        <f>""</f>
        <v/>
      </c>
      <c r="DF19" t="str">
        <f>""</f>
        <v/>
      </c>
      <c r="DG19" t="str">
        <f>""</f>
        <v/>
      </c>
      <c r="DH19" t="str">
        <f>""</f>
        <v/>
      </c>
      <c r="DI19" t="str">
        <f>""</f>
        <v/>
      </c>
      <c r="DJ19" t="str">
        <f>""</f>
        <v/>
      </c>
      <c r="DK19" t="str">
        <f>""</f>
        <v/>
      </c>
      <c r="DL19" t="str">
        <f>""</f>
        <v/>
      </c>
      <c r="DM19" t="str">
        <f>""</f>
        <v/>
      </c>
      <c r="DN19" t="str">
        <f>""</f>
        <v/>
      </c>
      <c r="DO19" t="str">
        <f>""</f>
        <v/>
      </c>
      <c r="DP19" t="str">
        <f>""</f>
        <v/>
      </c>
      <c r="DQ19" t="str">
        <f>""</f>
        <v/>
      </c>
      <c r="DR19" t="str">
        <f>""</f>
        <v/>
      </c>
      <c r="DS19" t="str">
        <f>""</f>
        <v/>
      </c>
      <c r="DT19" t="str">
        <f>""</f>
        <v/>
      </c>
      <c r="DU19" t="str">
        <f>""</f>
        <v/>
      </c>
    </row>
    <row r="20" spans="1:125">
      <c r="A20" t="str">
        <f>"    独立式房地产投资信托总营运现金流"</f>
        <v xml:space="preserve">    独立式房地产投资信托总营运现金流</v>
      </c>
      <c r="B20" t="str">
        <f>"RECFFOFS Index"</f>
        <v>RECFFOFS Index</v>
      </c>
      <c r="C20" t="str">
        <f>"PR005"</f>
        <v>PR005</v>
      </c>
      <c r="D20" t="str">
        <f>"PX_LAST"</f>
        <v>PX_LAST</v>
      </c>
      <c r="E20" t="str">
        <f>"动态"</f>
        <v>动态</v>
      </c>
      <c r="F20">
        <f ca="1">IF(AND(ISNUMBER($F$53),$B$38=1),$F$53,HLOOKUP(INDIRECT(ADDRESS(2,COLUMN())),OFFSET($BN$2,0,0,ROW()-1,60),ROW()-1,FALSE))</f>
        <v>498.9235516</v>
      </c>
      <c r="G20">
        <f ca="1">IF(AND(ISNUMBER($G$53),$B$38=1),$G$53,HLOOKUP(INDIRECT(ADDRESS(2,COLUMN())),OFFSET($BN$2,0,0,ROW()-1,60),ROW()-1,FALSE))</f>
        <v>557.03599999999994</v>
      </c>
      <c r="H20">
        <f ca="1">IF(AND(ISNUMBER($H$53),$B$38=1),$H$53,HLOOKUP(INDIRECT(ADDRESS(2,COLUMN())),OFFSET($BN$2,0,0,ROW()-1,60),ROW()-1,FALSE))</f>
        <v>534.21699999999998</v>
      </c>
      <c r="I20">
        <f ca="1">IF(AND(ISNUMBER($I$53),$B$38=1),$I$53,HLOOKUP(INDIRECT(ADDRESS(2,COLUMN())),OFFSET($BN$2,0,0,ROW()-1,60),ROW()-1,FALSE))</f>
        <v>515.77099999999996</v>
      </c>
      <c r="J20">
        <f ca="1">IF(AND(ISNUMBER($J$53),$B$38=1),$J$53,HLOOKUP(INDIRECT(ADDRESS(2,COLUMN())),OFFSET($BN$2,0,0,ROW()-1,60),ROW()-1,FALSE))</f>
        <v>543.80899999999997</v>
      </c>
      <c r="K20">
        <f ca="1">IF(AND(ISNUMBER($K$53),$B$38=1),$K$53,HLOOKUP(INDIRECT(ADDRESS(2,COLUMN())),OFFSET($BN$2,0,0,ROW()-1,60),ROW()-1,FALSE))</f>
        <v>485.00799999999998</v>
      </c>
      <c r="L20">
        <f ca="1">IF(AND(ISNUMBER($L$53),$B$38=1),$L$53,HLOOKUP(INDIRECT(ADDRESS(2,COLUMN())),OFFSET($BN$2,0,0,ROW()-1,60),ROW()-1,FALSE))</f>
        <v>455.66399999999999</v>
      </c>
      <c r="M20">
        <f ca="1">IF(AND(ISNUMBER($M$53),$B$38=1),$M$53,HLOOKUP(INDIRECT(ADDRESS(2,COLUMN())),OFFSET($BN$2,0,0,ROW()-1,60),ROW()-1,FALSE))</f>
        <v>448.63799999999998</v>
      </c>
      <c r="N20">
        <f ca="1">IF(AND(ISNUMBER($N$53),$B$38=1),$N$53,HLOOKUP(INDIRECT(ADDRESS(2,COLUMN())),OFFSET($BN$2,0,0,ROW()-1,60),ROW()-1,FALSE))</f>
        <v>446.80900000000003</v>
      </c>
      <c r="O20">
        <f ca="1">IF(AND(ISNUMBER($O$53),$B$38=1),$O$53,HLOOKUP(INDIRECT(ADDRESS(2,COLUMN())),OFFSET($BN$2,0,0,ROW()-1,60),ROW()-1,FALSE))</f>
        <v>410.05500000000001</v>
      </c>
      <c r="P20">
        <f ca="1">IF(AND(ISNUMBER($P$53),$B$38=1),$P$53,HLOOKUP(INDIRECT(ADDRESS(2,COLUMN())),OFFSET($BN$2,0,0,ROW()-1,60),ROW()-1,FALSE))</f>
        <v>398.25900000000001</v>
      </c>
      <c r="Q20">
        <f ca="1">IF(AND(ISNUMBER($Q$53),$B$38=1),$Q$53,HLOOKUP(INDIRECT(ADDRESS(2,COLUMN())),OFFSET($BN$2,0,0,ROW()-1,60),ROW()-1,FALSE))</f>
        <v>557.83199999999999</v>
      </c>
      <c r="R20">
        <f ca="1">IF(AND(ISNUMBER($R$53),$B$38=1),$R$53,HLOOKUP(INDIRECT(ADDRESS(2,COLUMN())),OFFSET($BN$2,0,0,ROW()-1,60),ROW()-1,FALSE))</f>
        <v>289.904</v>
      </c>
      <c r="S20">
        <f ca="1">IF(AND(ISNUMBER($S$53),$B$38=1),$S$53,HLOOKUP(INDIRECT(ADDRESS(2,COLUMN())),OFFSET($BN$2,0,0,ROW()-1,60),ROW()-1,FALSE))</f>
        <v>504.82799999999997</v>
      </c>
      <c r="T20">
        <f ca="1">IF(AND(ISNUMBER($T$53),$B$38=1),$T$53,HLOOKUP(INDIRECT(ADDRESS(2,COLUMN())),OFFSET($BN$2,0,0,ROW()-1,60),ROW()-1,FALSE))</f>
        <v>379.80900000000003</v>
      </c>
      <c r="U20">
        <f ca="1">IF(AND(ISNUMBER($U$53),$B$38=1),$U$53,HLOOKUP(INDIRECT(ADDRESS(2,COLUMN())),OFFSET($BN$2,0,0,ROW()-1,60),ROW()-1,FALSE))</f>
        <v>144.4</v>
      </c>
      <c r="V20">
        <f ca="1">IF(AND(ISNUMBER($V$53),$B$38=1),$V$53,HLOOKUP(INDIRECT(ADDRESS(2,COLUMN())),OFFSET($BN$2,0,0,ROW()-1,60),ROW()-1,FALSE))</f>
        <v>152.15600000000001</v>
      </c>
      <c r="W20">
        <f ca="1">IF(AND(ISNUMBER($W$53),$B$38=1),$W$53,HLOOKUP(INDIRECT(ADDRESS(2,COLUMN())),OFFSET($BN$2,0,0,ROW()-1,60),ROW()-1,FALSE))</f>
        <v>285.80399999999997</v>
      </c>
      <c r="X20">
        <f ca="1">IF(AND(ISNUMBER($X$53),$B$38=1),$X$53,HLOOKUP(INDIRECT(ADDRESS(2,COLUMN())),OFFSET($BN$2,0,0,ROW()-1,60),ROW()-1,FALSE))</f>
        <v>249.21199999999999</v>
      </c>
      <c r="Y20">
        <f ca="1">IF(AND(ISNUMBER($Y$53),$B$38=1),$Y$53,HLOOKUP(INDIRECT(ADDRESS(2,COLUMN())),OFFSET($BN$2,0,0,ROW()-1,60),ROW()-1,FALSE))</f>
        <v>75.930000000000007</v>
      </c>
      <c r="Z20">
        <f ca="1">IF(AND(ISNUMBER($Z$53),$B$38=1),$Z$53,HLOOKUP(INDIRECT(ADDRESS(2,COLUMN())),OFFSET($BN$2,0,0,ROW()-1,60),ROW()-1,FALSE))</f>
        <v>168.80500000000001</v>
      </c>
      <c r="AA20">
        <f ca="1">IF(AND(ISNUMBER($AA$53),$B$38=1),$AA$53,HLOOKUP(INDIRECT(ADDRESS(2,COLUMN())),OFFSET($BN$2,0,0,ROW()-1,60),ROW()-1,FALSE))</f>
        <v>141.09299999999999</v>
      </c>
      <c r="AB20">
        <f ca="1">IF(AND(ISNUMBER($AB$53),$B$38=1),$AB$53,HLOOKUP(INDIRECT(ADDRESS(2,COLUMN())),OFFSET($BN$2,0,0,ROW()-1,60),ROW()-1,FALSE))</f>
        <v>152.54499999999999</v>
      </c>
      <c r="AC20">
        <f ca="1">IF(AND(ISNUMBER($AC$53),$B$38=1),$AC$53,HLOOKUP(INDIRECT(ADDRESS(2,COLUMN())),OFFSET($BN$2,0,0,ROW()-1,60),ROW()-1,FALSE))</f>
        <v>149.22900000000001</v>
      </c>
      <c r="AD20">
        <f ca="1">IF(AND(ISNUMBER($AD$53),$B$38=1),$AD$53,HLOOKUP(INDIRECT(ADDRESS(2,COLUMN())),OFFSET($BN$2,0,0,ROW()-1,60),ROW()-1,FALSE))</f>
        <v>114.194</v>
      </c>
      <c r="AE20">
        <f ca="1">IF(AND(ISNUMBER($AE$53),$B$38=1),$AE$53,HLOOKUP(INDIRECT(ADDRESS(2,COLUMN())),OFFSET($BN$2,0,0,ROW()-1,60),ROW()-1,FALSE))</f>
        <v>120.18899999999999</v>
      </c>
      <c r="AF20">
        <f ca="1">IF(AND(ISNUMBER($AF$53),$B$38=1),$AF$53,HLOOKUP(INDIRECT(ADDRESS(2,COLUMN())),OFFSET($BN$2,0,0,ROW()-1,60),ROW()-1,FALSE))</f>
        <v>117.224</v>
      </c>
      <c r="AG20">
        <f ca="1">IF(AND(ISNUMBER($AG$53),$B$38=1),$AG$53,HLOOKUP(INDIRECT(ADDRESS(2,COLUMN())),OFFSET($BN$2,0,0,ROW()-1,60),ROW()-1,FALSE))</f>
        <v>109.145</v>
      </c>
      <c r="AH20">
        <f ca="1">IF(AND(ISNUMBER($AH$53),$B$38=1),$AH$53,HLOOKUP(INDIRECT(ADDRESS(2,COLUMN())),OFFSET($BN$2,0,0,ROW()-1,60),ROW()-1,FALSE))</f>
        <v>98.418000000000006</v>
      </c>
      <c r="AI20">
        <f ca="1">IF(AND(ISNUMBER($AI$53),$B$38=1),$AI$53,HLOOKUP(INDIRECT(ADDRESS(2,COLUMN())),OFFSET($BN$2,0,0,ROW()-1,60),ROW()-1,FALSE))</f>
        <v>99.284000000000006</v>
      </c>
      <c r="AJ20">
        <f ca="1">IF(AND(ISNUMBER($AJ$53),$B$38=1),$AJ$53,HLOOKUP(INDIRECT(ADDRESS(2,COLUMN())),OFFSET($BN$2,0,0,ROW()-1,60),ROW()-1,FALSE))</f>
        <v>97.227000000000004</v>
      </c>
      <c r="AK20">
        <f ca="1">IF(AND(ISNUMBER($AK$53),$B$38=1),$AK$53,HLOOKUP(INDIRECT(ADDRESS(2,COLUMN())),OFFSET($BN$2,0,0,ROW()-1,60),ROW()-1,FALSE))</f>
        <v>91.992000000000004</v>
      </c>
      <c r="AL20">
        <f ca="1">IF(AND(ISNUMBER($AL$53),$B$38=1),$AL$53,HLOOKUP(INDIRECT(ADDRESS(2,COLUMN())),OFFSET($BN$2,0,0,ROW()-1,60),ROW()-1,FALSE))</f>
        <v>65.697000000000003</v>
      </c>
      <c r="AM20">
        <f ca="1">IF(AND(ISNUMBER($AM$53),$B$38=1),$AM$53,HLOOKUP(INDIRECT(ADDRESS(2,COLUMN())),OFFSET($BN$2,0,0,ROW()-1,60),ROW()-1,FALSE))</f>
        <v>98.938000000000002</v>
      </c>
      <c r="AN20">
        <f ca="1">IF(AND(ISNUMBER($AN$53),$B$38=1),$AN$53,HLOOKUP(INDIRECT(ADDRESS(2,COLUMN())),OFFSET($BN$2,0,0,ROW()-1,60),ROW()-1,FALSE))</f>
        <v>93.501999999999995</v>
      </c>
      <c r="AO20">
        <f ca="1">IF(AND(ISNUMBER($AO$53),$B$38=1),$AO$53,HLOOKUP(INDIRECT(ADDRESS(2,COLUMN())),OFFSET($BN$2,0,0,ROW()-1,60),ROW()-1,FALSE))</f>
        <v>99.19</v>
      </c>
      <c r="AP20">
        <f ca="1">IF(AND(ISNUMBER($AP$53),$B$38=1),$AP$53,HLOOKUP(INDIRECT(ADDRESS(2,COLUMN())),OFFSET($BN$2,0,0,ROW()-1,60),ROW()-1,FALSE))</f>
        <v>100.631</v>
      </c>
      <c r="AQ20">
        <f ca="1">IF(AND(ISNUMBER($AQ$53),$B$38=1),$AQ$53,HLOOKUP(INDIRECT(ADDRESS(2,COLUMN())),OFFSET($BN$2,0,0,ROW()-1,60),ROW()-1,FALSE))</f>
        <v>75.191999999999993</v>
      </c>
      <c r="AR20">
        <f ca="1">IF(AND(ISNUMBER($AR$53),$B$38=1),$AR$53,HLOOKUP(INDIRECT(ADDRESS(2,COLUMN())),OFFSET($BN$2,0,0,ROW()-1,60),ROW()-1,FALSE))</f>
        <v>145.452</v>
      </c>
      <c r="AS20">
        <f ca="1">IF(AND(ISNUMBER($AS$53),$B$38=1),$AS$53,HLOOKUP(INDIRECT(ADDRESS(2,COLUMN())),OFFSET($BN$2,0,0,ROW()-1,60),ROW()-1,FALSE))</f>
        <v>122.949</v>
      </c>
      <c r="AT20">
        <f ca="1">IF(AND(ISNUMBER($AT$53),$B$38=1),$AT$53,HLOOKUP(INDIRECT(ADDRESS(2,COLUMN())),OFFSET($BN$2,0,0,ROW()-1,60),ROW()-1,FALSE))</f>
        <v>130.04300000000001</v>
      </c>
      <c r="AU20">
        <f ca="1">IF(AND(ISNUMBER($AU$53),$B$38=1),$AU$53,HLOOKUP(INDIRECT(ADDRESS(2,COLUMN())),OFFSET($BN$2,0,0,ROW()-1,60),ROW()-1,FALSE))</f>
        <v>129.822</v>
      </c>
      <c r="AV20">
        <f ca="1">IF(AND(ISNUMBER($AV$53),$B$38=1),$AV$53,HLOOKUP(INDIRECT(ADDRESS(2,COLUMN())),OFFSET($BN$2,0,0,ROW()-1,60),ROW()-1,FALSE))</f>
        <v>123.69799999999999</v>
      </c>
      <c r="AW20">
        <f ca="1">IF(AND(ISNUMBER($AW$53),$B$38=1),$AW$53,HLOOKUP(INDIRECT(ADDRESS(2,COLUMN())),OFFSET($BN$2,0,0,ROW()-1,60),ROW()-1,FALSE))</f>
        <v>132.90700000000001</v>
      </c>
      <c r="AX20">
        <f ca="1">IF(AND(ISNUMBER($AX$53),$B$38=1),$AX$53,HLOOKUP(INDIRECT(ADDRESS(2,COLUMN())),OFFSET($BN$2,0,0,ROW()-1,60),ROW()-1,FALSE))</f>
        <v>22.094000000000001</v>
      </c>
      <c r="AY20">
        <f ca="1">IF(AND(ISNUMBER($AY$53),$B$38=1),$AY$53,HLOOKUP(INDIRECT(ADDRESS(2,COLUMN())),OFFSET($BN$2,0,0,ROW()-1,60),ROW()-1,FALSE))</f>
        <v>83.584999999999994</v>
      </c>
      <c r="AZ20">
        <f ca="1">IF(AND(ISNUMBER($AZ$53),$B$38=1),$AZ$53,HLOOKUP(INDIRECT(ADDRESS(2,COLUMN())),OFFSET($BN$2,0,0,ROW()-1,60),ROW()-1,FALSE))</f>
        <v>142.69399999999999</v>
      </c>
      <c r="BA20">
        <f ca="1">IF(AND(ISNUMBER($BA$53),$B$38=1),$BA$53,HLOOKUP(INDIRECT(ADDRESS(2,COLUMN())),OFFSET($BN$2,0,0,ROW()-1,60),ROW()-1,FALSE))</f>
        <v>81.521000000000001</v>
      </c>
      <c r="BB20">
        <f ca="1">IF(AND(ISNUMBER($BB$53),$B$38=1),$BB$53,HLOOKUP(INDIRECT(ADDRESS(2,COLUMN())),OFFSET($BN$2,0,0,ROW()-1,60),ROW()-1,FALSE))</f>
        <v>139.43799999999999</v>
      </c>
      <c r="BC20">
        <f ca="1">IF(AND(ISNUMBER($BC$53),$B$38=1),$BC$53,HLOOKUP(INDIRECT(ADDRESS(2,COLUMN())),OFFSET($BN$2,0,0,ROW()-1,60),ROW()-1,FALSE))</f>
        <v>89.263999999999996</v>
      </c>
      <c r="BD20">
        <f ca="1">IF(AND(ISNUMBER($BD$53),$B$38=1),$BD$53,HLOOKUP(INDIRECT(ADDRESS(2,COLUMN())),OFFSET($BN$2,0,0,ROW()-1,60),ROW()-1,FALSE))</f>
        <v>110.62</v>
      </c>
      <c r="BE20">
        <f ca="1">IF(AND(ISNUMBER($BE$53),$B$38=1),$BE$53,HLOOKUP(INDIRECT(ADDRESS(2,COLUMN())),OFFSET($BN$2,0,0,ROW()-1,60),ROW()-1,FALSE))</f>
        <v>111.297</v>
      </c>
      <c r="BF20">
        <f ca="1">IF(AND(ISNUMBER($BF$53),$B$38=1),$BF$53,HLOOKUP(INDIRECT(ADDRESS(2,COLUMN())),OFFSET($BN$2,0,0,ROW()-1,60),ROW()-1,FALSE))</f>
        <v>70.013000000000005</v>
      </c>
      <c r="BG20">
        <f ca="1">IF(AND(ISNUMBER($BG$53),$B$38=1),$BG$53,HLOOKUP(INDIRECT(ADDRESS(2,COLUMN())),OFFSET($BN$2,0,0,ROW()-1,60),ROW()-1,FALSE))</f>
        <v>65.956999999999994</v>
      </c>
      <c r="BH20">
        <f ca="1">IF(AND(ISNUMBER($BH$53),$B$38=1),$BH$53,HLOOKUP(INDIRECT(ADDRESS(2,COLUMN())),OFFSET($BN$2,0,0,ROW()-1,60),ROW()-1,FALSE))</f>
        <v>73.564999999999998</v>
      </c>
      <c r="BI20">
        <f ca="1">IF(AND(ISNUMBER($BI$53),$B$38=1),$BI$53,HLOOKUP(INDIRECT(ADDRESS(2,COLUMN())),OFFSET($BN$2,0,0,ROW()-1,60),ROW()-1,FALSE))</f>
        <v>52.097000000000001</v>
      </c>
      <c r="BJ20">
        <f ca="1">IF(AND(ISNUMBER($BJ$53),$B$38=1),$BJ$53,HLOOKUP(INDIRECT(ADDRESS(2,COLUMN())),OFFSET($BN$2,0,0,ROW()-1,60),ROW()-1,FALSE))</f>
        <v>72.498999999999995</v>
      </c>
      <c r="BK20">
        <f ca="1">IF(AND(ISNUMBER($BK$53),$B$38=1),$BK$53,HLOOKUP(INDIRECT(ADDRESS(2,COLUMN())),OFFSET($BN$2,0,0,ROW()-1,60),ROW()-1,FALSE))</f>
        <v>51.423999999999999</v>
      </c>
      <c r="BL20">
        <f ca="1">IF(AND(ISNUMBER($BL$53),$B$38=1),$BL$53,HLOOKUP(INDIRECT(ADDRESS(2,COLUMN())),OFFSET($BN$2,0,0,ROW()-1,60),ROW()-1,FALSE))</f>
        <v>51.813000000000002</v>
      </c>
      <c r="BM20">
        <f ca="1">IF(AND(ISNUMBER($BM$53),$B$38=1),$BM$53,HLOOKUP(INDIRECT(ADDRESS(2,COLUMN())),OFFSET($BN$2,0,0,ROW()-1,60),ROW()-1,FALSE))</f>
        <v>60.03</v>
      </c>
      <c r="BN20">
        <f>498.9235516</f>
        <v>498.9235516</v>
      </c>
      <c r="BO20">
        <f>557.036</f>
        <v>557.03599999999994</v>
      </c>
      <c r="BP20">
        <f>534.217</f>
        <v>534.21699999999998</v>
      </c>
      <c r="BQ20">
        <f>515.771</f>
        <v>515.77099999999996</v>
      </c>
      <c r="BR20">
        <f>543.809</f>
        <v>543.80899999999997</v>
      </c>
      <c r="BS20">
        <f>485.008</f>
        <v>485.00799999999998</v>
      </c>
      <c r="BT20">
        <f>455.664</f>
        <v>455.66399999999999</v>
      </c>
      <c r="BU20">
        <f>448.638</f>
        <v>448.63799999999998</v>
      </c>
      <c r="BV20">
        <f>446.809</f>
        <v>446.80900000000003</v>
      </c>
      <c r="BW20">
        <f>410.055</f>
        <v>410.05500000000001</v>
      </c>
      <c r="BX20">
        <f>398.259</f>
        <v>398.25900000000001</v>
      </c>
      <c r="BY20">
        <f>557.832</f>
        <v>557.83199999999999</v>
      </c>
      <c r="BZ20">
        <f>289.904</f>
        <v>289.904</v>
      </c>
      <c r="CA20">
        <f>504.828</f>
        <v>504.82799999999997</v>
      </c>
      <c r="CB20">
        <f>379.809</f>
        <v>379.80900000000003</v>
      </c>
      <c r="CC20">
        <f>144.4</f>
        <v>144.4</v>
      </c>
      <c r="CD20">
        <f>152.156</f>
        <v>152.15600000000001</v>
      </c>
      <c r="CE20">
        <f>285.804</f>
        <v>285.80399999999997</v>
      </c>
      <c r="CF20">
        <f>249.212</f>
        <v>249.21199999999999</v>
      </c>
      <c r="CG20">
        <f>75.93</f>
        <v>75.930000000000007</v>
      </c>
      <c r="CH20">
        <f>168.805</f>
        <v>168.80500000000001</v>
      </c>
      <c r="CI20">
        <f>141.093</f>
        <v>141.09299999999999</v>
      </c>
      <c r="CJ20">
        <f>152.545</f>
        <v>152.54499999999999</v>
      </c>
      <c r="CK20">
        <f>149.229</f>
        <v>149.22900000000001</v>
      </c>
      <c r="CL20">
        <f>114.194</f>
        <v>114.194</v>
      </c>
      <c r="CM20">
        <f>120.189</f>
        <v>120.18899999999999</v>
      </c>
      <c r="CN20">
        <f>117.224</f>
        <v>117.224</v>
      </c>
      <c r="CO20">
        <f>109.145</f>
        <v>109.145</v>
      </c>
      <c r="CP20">
        <f>98.418</f>
        <v>98.418000000000006</v>
      </c>
      <c r="CQ20">
        <f>99.284</f>
        <v>99.284000000000006</v>
      </c>
      <c r="CR20">
        <f>97.227</f>
        <v>97.227000000000004</v>
      </c>
      <c r="CS20">
        <f>91.992</f>
        <v>91.992000000000004</v>
      </c>
      <c r="CT20">
        <f>65.697</f>
        <v>65.697000000000003</v>
      </c>
      <c r="CU20">
        <f>98.938</f>
        <v>98.938000000000002</v>
      </c>
      <c r="CV20">
        <f>93.502</f>
        <v>93.501999999999995</v>
      </c>
      <c r="CW20">
        <f>99.19</f>
        <v>99.19</v>
      </c>
      <c r="CX20">
        <f>100.631</f>
        <v>100.631</v>
      </c>
      <c r="CY20">
        <f>75.192</f>
        <v>75.191999999999993</v>
      </c>
      <c r="CZ20">
        <f>145.452</f>
        <v>145.452</v>
      </c>
      <c r="DA20">
        <f>122.949</f>
        <v>122.949</v>
      </c>
      <c r="DB20">
        <f>130.043</f>
        <v>130.04300000000001</v>
      </c>
      <c r="DC20">
        <f>129.822</f>
        <v>129.822</v>
      </c>
      <c r="DD20">
        <f>123.698</f>
        <v>123.69799999999999</v>
      </c>
      <c r="DE20">
        <f>132.907</f>
        <v>132.90700000000001</v>
      </c>
      <c r="DF20">
        <f>22.094</f>
        <v>22.094000000000001</v>
      </c>
      <c r="DG20">
        <f>83.585</f>
        <v>83.584999999999994</v>
      </c>
      <c r="DH20">
        <f>142.694</f>
        <v>142.69399999999999</v>
      </c>
      <c r="DI20">
        <f>81.521</f>
        <v>81.521000000000001</v>
      </c>
      <c r="DJ20">
        <f>139.438</f>
        <v>139.43799999999999</v>
      </c>
      <c r="DK20">
        <f>89.264</f>
        <v>89.263999999999996</v>
      </c>
      <c r="DL20">
        <f>110.62</f>
        <v>110.62</v>
      </c>
      <c r="DM20">
        <f>111.297</f>
        <v>111.297</v>
      </c>
      <c r="DN20">
        <f>70.013</f>
        <v>70.013000000000005</v>
      </c>
      <c r="DO20">
        <f>65.957</f>
        <v>65.956999999999994</v>
      </c>
      <c r="DP20">
        <f>73.565</f>
        <v>73.564999999999998</v>
      </c>
      <c r="DQ20">
        <f>52.097</f>
        <v>52.097000000000001</v>
      </c>
      <c r="DR20">
        <f>72.499</f>
        <v>72.498999999999995</v>
      </c>
      <c r="DS20">
        <f>51.424</f>
        <v>51.423999999999999</v>
      </c>
      <c r="DT20">
        <f>51.813</f>
        <v>51.813000000000002</v>
      </c>
      <c r="DU20">
        <f>60.03</f>
        <v>60.03</v>
      </c>
    </row>
    <row r="21" spans="1:125">
      <c r="A21" t="str">
        <f>"    独立式房地产投资信托净营业利润"</f>
        <v xml:space="preserve">    独立式房地产投资信托净营业利润</v>
      </c>
      <c r="B21" t="str">
        <f>"RECFNOFS Index"</f>
        <v>RECFNOFS Index</v>
      </c>
      <c r="C21" t="str">
        <f>"PR005"</f>
        <v>PR005</v>
      </c>
      <c r="D21" t="str">
        <f>"PX_LAST"</f>
        <v>PX_LAST</v>
      </c>
      <c r="E21" t="str">
        <f>"动态"</f>
        <v>动态</v>
      </c>
      <c r="F21">
        <f ca="1">IF(AND(ISNUMBER($F$54),$B$38=1),$F$54,HLOOKUP(INDIRECT(ADDRESS(2,COLUMN())),OFFSET($BN$2,0,0,ROW()-1,60),ROW()-1,FALSE))</f>
        <v>820.60869939999998</v>
      </c>
      <c r="G21">
        <f ca="1">IF(AND(ISNUMBER($G$54),$B$38=1),$G$54,HLOOKUP(INDIRECT(ADDRESS(2,COLUMN())),OFFSET($BN$2,0,0,ROW()-1,60),ROW()-1,FALSE))</f>
        <v>817.01800000000003</v>
      </c>
      <c r="H21">
        <f ca="1">IF(AND(ISNUMBER($H$54),$B$38=1),$H$54,HLOOKUP(INDIRECT(ADDRESS(2,COLUMN())),OFFSET($BN$2,0,0,ROW()-1,60),ROW()-1,FALSE))</f>
        <v>802.93399999999997</v>
      </c>
      <c r="I21">
        <f ca="1">IF(AND(ISNUMBER($I$54),$B$38=1),$I$54,HLOOKUP(INDIRECT(ADDRESS(2,COLUMN())),OFFSET($BN$2,0,0,ROW()-1,60),ROW()-1,FALSE))</f>
        <v>792.39499999999998</v>
      </c>
      <c r="J21">
        <f ca="1">IF(AND(ISNUMBER($J$54),$B$38=1),$J$54,HLOOKUP(INDIRECT(ADDRESS(2,COLUMN())),OFFSET($BN$2,0,0,ROW()-1,60),ROW()-1,FALSE))</f>
        <v>778.62699999999995</v>
      </c>
      <c r="K21">
        <f ca="1">IF(AND(ISNUMBER($K$54),$B$38=1),$K$54,HLOOKUP(INDIRECT(ADDRESS(2,COLUMN())),OFFSET($BN$2,0,0,ROW()-1,60),ROW()-1,FALSE))</f>
        <v>755.10199999999998</v>
      </c>
      <c r="L21">
        <f ca="1">IF(AND(ISNUMBER($L$54),$B$38=1),$L$54,HLOOKUP(INDIRECT(ADDRESS(2,COLUMN())),OFFSET($BN$2,0,0,ROW()-1,60),ROW()-1,FALSE))</f>
        <v>665.10299999999995</v>
      </c>
      <c r="M21">
        <f ca="1">IF(AND(ISNUMBER($M$54),$B$38=1),$M$54,HLOOKUP(INDIRECT(ADDRESS(2,COLUMN())),OFFSET($BN$2,0,0,ROW()-1,60),ROW()-1,FALSE))</f>
        <v>695.55499999999995</v>
      </c>
      <c r="N21">
        <f ca="1">IF(AND(ISNUMBER($N$54),$B$38=1),$N$54,HLOOKUP(INDIRECT(ADDRESS(2,COLUMN())),OFFSET($BN$2,0,0,ROW()-1,60),ROW()-1,FALSE))</f>
        <v>686.25599999999997</v>
      </c>
      <c r="O21">
        <f ca="1">IF(AND(ISNUMBER($O$54),$B$38=1),$O$54,HLOOKUP(INDIRECT(ADDRESS(2,COLUMN())),OFFSET($BN$2,0,0,ROW()-1,60),ROW()-1,FALSE))</f>
        <v>667.44</v>
      </c>
      <c r="P21">
        <f ca="1">IF(AND(ISNUMBER($P$54),$B$38=1),$P$54,HLOOKUP(INDIRECT(ADDRESS(2,COLUMN())),OFFSET($BN$2,0,0,ROW()-1,60),ROW()-1,FALSE))</f>
        <v>606.37699999999995</v>
      </c>
      <c r="Q21">
        <f ca="1">IF(AND(ISNUMBER($Q$54),$B$38=1),$Q$54,HLOOKUP(INDIRECT(ADDRESS(2,COLUMN())),OFFSET($BN$2,0,0,ROW()-1,60),ROW()-1,FALSE))</f>
        <v>918.50699999999995</v>
      </c>
      <c r="R21">
        <f ca="1">IF(AND(ISNUMBER($R$54),$B$38=1),$R$54,HLOOKUP(INDIRECT(ADDRESS(2,COLUMN())),OFFSET($BN$2,0,0,ROW()-1,60),ROW()-1,FALSE))</f>
        <v>903.13300000000004</v>
      </c>
      <c r="S21">
        <f ca="1">IF(AND(ISNUMBER($S$54),$B$38=1),$S$54,HLOOKUP(INDIRECT(ADDRESS(2,COLUMN())),OFFSET($BN$2,0,0,ROW()-1,60),ROW()-1,FALSE))</f>
        <v>855.84500000000003</v>
      </c>
      <c r="T21">
        <f ca="1">IF(AND(ISNUMBER($T$54),$B$38=1),$T$54,HLOOKUP(INDIRECT(ADDRESS(2,COLUMN())),OFFSET($BN$2,0,0,ROW()-1,60),ROW()-1,FALSE))</f>
        <v>790.05600000000004</v>
      </c>
      <c r="U21">
        <f ca="1">IF(AND(ISNUMBER($U$54),$B$38=1),$U$54,HLOOKUP(INDIRECT(ADDRESS(2,COLUMN())),OFFSET($BN$2,0,0,ROW()-1,60),ROW()-1,FALSE))</f>
        <v>708.78300000000002</v>
      </c>
      <c r="V21">
        <f ca="1">IF(AND(ISNUMBER($V$54),$B$38=1),$V$54,HLOOKUP(INDIRECT(ADDRESS(2,COLUMN())),OFFSET($BN$2,0,0,ROW()-1,60),ROW()-1,FALSE))</f>
        <v>592.44200000000001</v>
      </c>
      <c r="W21">
        <f ca="1">IF(AND(ISNUMBER($W$54),$B$38=1),$W$54,HLOOKUP(INDIRECT(ADDRESS(2,COLUMN())),OFFSET($BN$2,0,0,ROW()-1,60),ROW()-1,FALSE))</f>
        <v>670.91800000000001</v>
      </c>
      <c r="X21">
        <f ca="1">IF(AND(ISNUMBER($X$54),$B$38=1),$X$54,HLOOKUP(INDIRECT(ADDRESS(2,COLUMN())),OFFSET($BN$2,0,0,ROW()-1,60),ROW()-1,FALSE))</f>
        <v>560.10299999999995</v>
      </c>
      <c r="Y21">
        <f ca="1">IF(AND(ISNUMBER($Y$54),$B$38=1),$Y$54,HLOOKUP(INDIRECT(ADDRESS(2,COLUMN())),OFFSET($BN$2,0,0,ROW()-1,60),ROW()-1,FALSE))</f>
        <v>388.42899999999997</v>
      </c>
      <c r="Z21">
        <f ca="1">IF(AND(ISNUMBER($Z$54),$B$38=1),$Z$54,HLOOKUP(INDIRECT(ADDRESS(2,COLUMN())),OFFSET($BN$2,0,0,ROW()-1,60),ROW()-1,FALSE))</f>
        <v>303.80799999999999</v>
      </c>
      <c r="AA21">
        <f ca="1">IF(AND(ISNUMBER($AA$54),$B$38=1),$AA$54,HLOOKUP(INDIRECT(ADDRESS(2,COLUMN())),OFFSET($BN$2,0,0,ROW()-1,60),ROW()-1,FALSE))</f>
        <v>331.25799999999998</v>
      </c>
      <c r="AB21">
        <f ca="1">IF(AND(ISNUMBER($AB$54),$B$38=1),$AB$54,HLOOKUP(INDIRECT(ADDRESS(2,COLUMN())),OFFSET($BN$2,0,0,ROW()-1,60),ROW()-1,FALSE))</f>
        <v>261.61900000000003</v>
      </c>
      <c r="AC21">
        <f ca="1">IF(AND(ISNUMBER($AC$54),$B$38=1),$AC$54,HLOOKUP(INDIRECT(ADDRESS(2,COLUMN())),OFFSET($BN$2,0,0,ROW()-1,60),ROW()-1,FALSE))</f>
        <v>259.11799999999999</v>
      </c>
      <c r="AD21">
        <f ca="1">IF(AND(ISNUMBER($AD$54),$B$38=1),$AD$54,HLOOKUP(INDIRECT(ADDRESS(2,COLUMN())),OFFSET($BN$2,0,0,ROW()-1,60),ROW()-1,FALSE))</f>
        <v>211.34899999999999</v>
      </c>
      <c r="AE21">
        <f ca="1">IF(AND(ISNUMBER($AE$54),$B$38=1),$AE$54,HLOOKUP(INDIRECT(ADDRESS(2,COLUMN())),OFFSET($BN$2,0,0,ROW()-1,60),ROW()-1,FALSE))</f>
        <v>205.53100000000001</v>
      </c>
      <c r="AF21">
        <f ca="1">IF(AND(ISNUMBER($AF$54),$B$38=1),$AF$54,HLOOKUP(INDIRECT(ADDRESS(2,COLUMN())),OFFSET($BN$2,0,0,ROW()-1,60),ROW()-1,FALSE))</f>
        <v>189.76300000000001</v>
      </c>
      <c r="AG21">
        <f ca="1">IF(AND(ISNUMBER($AG$54),$B$38=1),$AG$54,HLOOKUP(INDIRECT(ADDRESS(2,COLUMN())),OFFSET($BN$2,0,0,ROW()-1,60),ROW()-1,FALSE))</f>
        <v>181.87299999999999</v>
      </c>
      <c r="AH21">
        <f ca="1">IF(AND(ISNUMBER($AH$54),$B$38=1),$AH$54,HLOOKUP(INDIRECT(ADDRESS(2,COLUMN())),OFFSET($BN$2,0,0,ROW()-1,60),ROW()-1,FALSE))</f>
        <v>172.51300000000001</v>
      </c>
      <c r="AI21">
        <f ca="1">IF(AND(ISNUMBER($AI$54),$B$38=1),$AI$54,HLOOKUP(INDIRECT(ADDRESS(2,COLUMN())),OFFSET($BN$2,0,0,ROW()-1,60),ROW()-1,FALSE))</f>
        <v>165.38800000000001</v>
      </c>
      <c r="AJ21">
        <f ca="1">IF(AND(ISNUMBER($AJ$54),$B$38=1),$AJ$54,HLOOKUP(INDIRECT(ADDRESS(2,COLUMN())),OFFSET($BN$2,0,0,ROW()-1,60),ROW()-1,FALSE))</f>
        <v>159.93600000000001</v>
      </c>
      <c r="AK21">
        <f ca="1">IF(AND(ISNUMBER($AK$54),$B$38=1),$AK$54,HLOOKUP(INDIRECT(ADDRESS(2,COLUMN())),OFFSET($BN$2,0,0,ROW()-1,60),ROW()-1,FALSE))</f>
        <v>158.66900000000001</v>
      </c>
      <c r="AL21">
        <f ca="1">IF(AND(ISNUMBER($AL$54),$B$38=1),$AL$54,HLOOKUP(INDIRECT(ADDRESS(2,COLUMN())),OFFSET($BN$2,0,0,ROW()-1,60),ROW()-1,FALSE))</f>
        <v>159.56800000000001</v>
      </c>
      <c r="AM21">
        <f ca="1">IF(AND(ISNUMBER($AM$54),$B$38=1),$AM$54,HLOOKUP(INDIRECT(ADDRESS(2,COLUMN())),OFFSET($BN$2,0,0,ROW()-1,60),ROW()-1,FALSE))</f>
        <v>155.77099999999999</v>
      </c>
      <c r="AN21">
        <f ca="1">IF(AND(ISNUMBER($AN$54),$B$38=1),$AN$54,HLOOKUP(INDIRECT(ADDRESS(2,COLUMN())),OFFSET($BN$2,0,0,ROW()-1,60),ROW()-1,FALSE))</f>
        <v>157.52199999999999</v>
      </c>
      <c r="AO21">
        <f ca="1">IF(AND(ISNUMBER($AO$54),$B$38=1),$AO$54,HLOOKUP(INDIRECT(ADDRESS(2,COLUMN())),OFFSET($BN$2,0,0,ROW()-1,60),ROW()-1,FALSE))</f>
        <v>156.66300000000001</v>
      </c>
      <c r="AP21">
        <f ca="1">IF(AND(ISNUMBER($AP$54),$B$38=1),$AP$54,HLOOKUP(INDIRECT(ADDRESS(2,COLUMN())),OFFSET($BN$2,0,0,ROW()-1,60),ROW()-1,FALSE))</f>
        <v>157.113</v>
      </c>
      <c r="AQ21">
        <f ca="1">IF(AND(ISNUMBER($AQ$54),$B$38=1),$AQ$54,HLOOKUP(INDIRECT(ADDRESS(2,COLUMN())),OFFSET($BN$2,0,0,ROW()-1,60),ROW()-1,FALSE))</f>
        <v>191.56100000000001</v>
      </c>
      <c r="AR21">
        <f ca="1">IF(AND(ISNUMBER($AR$54),$B$38=1),$AR$54,HLOOKUP(INDIRECT(ADDRESS(2,COLUMN())),OFFSET($BN$2,0,0,ROW()-1,60),ROW()-1,FALSE))</f>
        <v>190.792</v>
      </c>
      <c r="AS21">
        <f ca="1">IF(AND(ISNUMBER($AS$54),$B$38=1),$AS$54,HLOOKUP(INDIRECT(ADDRESS(2,COLUMN())),OFFSET($BN$2,0,0,ROW()-1,60),ROW()-1,FALSE))</f>
        <v>189.86199999999999</v>
      </c>
      <c r="AT21">
        <f ca="1">IF(AND(ISNUMBER($AT$54),$B$38=1),$AT$54,HLOOKUP(INDIRECT(ADDRESS(2,COLUMN())),OFFSET($BN$2,0,0,ROW()-1,60),ROW()-1,FALSE))</f>
        <v>174.17850000000001</v>
      </c>
      <c r="AU21">
        <f ca="1">IF(AND(ISNUMBER($AU$54),$B$38=1),$AU$54,HLOOKUP(INDIRECT(ADDRESS(2,COLUMN())),OFFSET($BN$2,0,0,ROW()-1,60),ROW()-1,FALSE))</f>
        <v>173.06399999999999</v>
      </c>
      <c r="AV21">
        <f ca="1">IF(AND(ISNUMBER($AV$54),$B$38=1),$AV$54,HLOOKUP(INDIRECT(ADDRESS(2,COLUMN())),OFFSET($BN$2,0,0,ROW()-1,60),ROW()-1,FALSE))</f>
        <v>167.559</v>
      </c>
      <c r="AW21">
        <f ca="1">IF(AND(ISNUMBER($AW$54),$B$38=1),$AW$54,HLOOKUP(INDIRECT(ADDRESS(2,COLUMN())),OFFSET($BN$2,0,0,ROW()-1,60),ROW()-1,FALSE))</f>
        <v>161.25200000000001</v>
      </c>
      <c r="AX21">
        <f ca="1">IF(AND(ISNUMBER($AX$54),$B$38=1),$AX$54,HLOOKUP(INDIRECT(ADDRESS(2,COLUMN())),OFFSET($BN$2,0,0,ROW()-1,60),ROW()-1,FALSE))</f>
        <v>158.09700000000001</v>
      </c>
      <c r="AY21">
        <f ca="1">IF(AND(ISNUMBER($AY$54),$B$38=1),$AY$54,HLOOKUP(INDIRECT(ADDRESS(2,COLUMN())),OFFSET($BN$2,0,0,ROW()-1,60),ROW()-1,FALSE))</f>
        <v>187.06100000000001</v>
      </c>
      <c r="AZ21">
        <f ca="1">IF(AND(ISNUMBER($AZ$54),$B$38=1),$AZ$54,HLOOKUP(INDIRECT(ADDRESS(2,COLUMN())),OFFSET($BN$2,0,0,ROW()-1,60),ROW()-1,FALSE))</f>
        <v>183.28100000000001</v>
      </c>
      <c r="BA21">
        <f ca="1">IF(AND(ISNUMBER($BA$54),$B$38=1),$BA$54,HLOOKUP(INDIRECT(ADDRESS(2,COLUMN())),OFFSET($BN$2,0,0,ROW()-1,60),ROW()-1,FALSE))</f>
        <v>180.70599999999999</v>
      </c>
      <c r="BB21">
        <f ca="1">IF(AND(ISNUMBER($BB$54),$B$38=1),$BB$54,HLOOKUP(INDIRECT(ADDRESS(2,COLUMN())),OFFSET($BN$2,0,0,ROW()-1,60),ROW()-1,FALSE))</f>
        <v>177.57499999999999</v>
      </c>
      <c r="BC21">
        <f ca="1">IF(AND(ISNUMBER($BC$54),$B$38=1),$BC$54,HLOOKUP(INDIRECT(ADDRESS(2,COLUMN())),OFFSET($BN$2,0,0,ROW()-1,60),ROW()-1,FALSE))</f>
        <v>165.666</v>
      </c>
      <c r="BD21">
        <f ca="1">IF(AND(ISNUMBER($BD$54),$B$38=1),$BD$54,HLOOKUP(INDIRECT(ADDRESS(2,COLUMN())),OFFSET($BN$2,0,0,ROW()-1,60),ROW()-1,FALSE))</f>
        <v>162.44800000000001</v>
      </c>
      <c r="BE21">
        <f ca="1">IF(AND(ISNUMBER($BE$54),$B$38=1),$BE$54,HLOOKUP(INDIRECT(ADDRESS(2,COLUMN())),OFFSET($BN$2,0,0,ROW()-1,60),ROW()-1,FALSE))</f>
        <v>145.191</v>
      </c>
      <c r="BF21">
        <f ca="1">IF(AND(ISNUMBER($BF$54),$B$38=1),$BF$54,HLOOKUP(INDIRECT(ADDRESS(2,COLUMN())),OFFSET($BN$2,0,0,ROW()-1,60),ROW()-1,FALSE))</f>
        <v>122.661</v>
      </c>
      <c r="BG21">
        <f ca="1">IF(AND(ISNUMBER($BG$54),$B$38=1),$BG$54,HLOOKUP(INDIRECT(ADDRESS(2,COLUMN())),OFFSET($BN$2,0,0,ROW()-1,60),ROW()-1,FALSE))</f>
        <v>133.10300000000001</v>
      </c>
      <c r="BH21">
        <f ca="1">IF(AND(ISNUMBER($BH$54),$B$38=1),$BH$54,HLOOKUP(INDIRECT(ADDRESS(2,COLUMN())),OFFSET($BN$2,0,0,ROW()-1,60),ROW()-1,FALSE))</f>
        <v>128.72200000000001</v>
      </c>
      <c r="BI21">
        <f ca="1">IF(AND(ISNUMBER($BI$54),$B$38=1),$BI$54,HLOOKUP(INDIRECT(ADDRESS(2,COLUMN())),OFFSET($BN$2,0,0,ROW()-1,60),ROW()-1,FALSE))</f>
        <v>125.72799999999999</v>
      </c>
      <c r="BJ21">
        <f ca="1">IF(AND(ISNUMBER($BJ$54),$B$38=1),$BJ$54,HLOOKUP(INDIRECT(ADDRESS(2,COLUMN())),OFFSET($BN$2,0,0,ROW()-1,60),ROW()-1,FALSE))</f>
        <v>120.956</v>
      </c>
      <c r="BK21">
        <f ca="1">IF(AND(ISNUMBER($BK$54),$B$38=1),$BK$54,HLOOKUP(INDIRECT(ADDRESS(2,COLUMN())),OFFSET($BN$2,0,0,ROW()-1,60),ROW()-1,FALSE))</f>
        <v>105.363</v>
      </c>
      <c r="BL21">
        <f ca="1">IF(AND(ISNUMBER($BL$54),$B$38=1),$BL$54,HLOOKUP(INDIRECT(ADDRESS(2,COLUMN())),OFFSET($BN$2,0,0,ROW()-1,60),ROW()-1,FALSE))</f>
        <v>95.948999999999998</v>
      </c>
      <c r="BM21">
        <f ca="1">IF(AND(ISNUMBER($BM$54),$B$38=1),$BM$54,HLOOKUP(INDIRECT(ADDRESS(2,COLUMN())),OFFSET($BN$2,0,0,ROW()-1,60),ROW()-1,FALSE))</f>
        <v>93.582999999999998</v>
      </c>
      <c r="BN21">
        <f>820.6086994</f>
        <v>820.60869939999998</v>
      </c>
      <c r="BO21">
        <f>817.018</f>
        <v>817.01800000000003</v>
      </c>
      <c r="BP21">
        <f>802.934</f>
        <v>802.93399999999997</v>
      </c>
      <c r="BQ21">
        <f>792.395</f>
        <v>792.39499999999998</v>
      </c>
      <c r="BR21">
        <f>778.627</f>
        <v>778.62699999999995</v>
      </c>
      <c r="BS21">
        <f>755.102</f>
        <v>755.10199999999998</v>
      </c>
      <c r="BT21">
        <f>665.103</f>
        <v>665.10299999999995</v>
      </c>
      <c r="BU21">
        <f>695.555</f>
        <v>695.55499999999995</v>
      </c>
      <c r="BV21">
        <f>686.256</f>
        <v>686.25599999999997</v>
      </c>
      <c r="BW21">
        <f>667.44</f>
        <v>667.44</v>
      </c>
      <c r="BX21">
        <f>606.377</f>
        <v>606.37699999999995</v>
      </c>
      <c r="BY21">
        <f>918.507</f>
        <v>918.50699999999995</v>
      </c>
      <c r="BZ21">
        <f>903.133</f>
        <v>903.13300000000004</v>
      </c>
      <c r="CA21">
        <f>855.845</f>
        <v>855.84500000000003</v>
      </c>
      <c r="CB21">
        <f>790.056</f>
        <v>790.05600000000004</v>
      </c>
      <c r="CC21">
        <f>708.783</f>
        <v>708.78300000000002</v>
      </c>
      <c r="CD21">
        <f>592.442</f>
        <v>592.44200000000001</v>
      </c>
      <c r="CE21">
        <f>670.918</f>
        <v>670.91800000000001</v>
      </c>
      <c r="CF21">
        <f>560.103</f>
        <v>560.10299999999995</v>
      </c>
      <c r="CG21">
        <f>388.429</f>
        <v>388.42899999999997</v>
      </c>
      <c r="CH21">
        <f>303.808</f>
        <v>303.80799999999999</v>
      </c>
      <c r="CI21">
        <f>331.258</f>
        <v>331.25799999999998</v>
      </c>
      <c r="CJ21">
        <f>261.619</f>
        <v>261.61900000000003</v>
      </c>
      <c r="CK21">
        <f>259.118</f>
        <v>259.11799999999999</v>
      </c>
      <c r="CL21">
        <f>211.349</f>
        <v>211.34899999999999</v>
      </c>
      <c r="CM21">
        <f>205.531</f>
        <v>205.53100000000001</v>
      </c>
      <c r="CN21">
        <f>189.763</f>
        <v>189.76300000000001</v>
      </c>
      <c r="CO21">
        <f>181.873</f>
        <v>181.87299999999999</v>
      </c>
      <c r="CP21">
        <f>172.513</f>
        <v>172.51300000000001</v>
      </c>
      <c r="CQ21">
        <f>165.388</f>
        <v>165.38800000000001</v>
      </c>
      <c r="CR21">
        <f>159.936</f>
        <v>159.93600000000001</v>
      </c>
      <c r="CS21">
        <f>158.669</f>
        <v>158.66900000000001</v>
      </c>
      <c r="CT21">
        <f>159.568</f>
        <v>159.56800000000001</v>
      </c>
      <c r="CU21">
        <f>155.771</f>
        <v>155.77099999999999</v>
      </c>
      <c r="CV21">
        <f>157.522</f>
        <v>157.52199999999999</v>
      </c>
      <c r="CW21">
        <f>156.663</f>
        <v>156.66300000000001</v>
      </c>
      <c r="CX21">
        <f>157.113</f>
        <v>157.113</v>
      </c>
      <c r="CY21">
        <f>191.561</f>
        <v>191.56100000000001</v>
      </c>
      <c r="CZ21">
        <f>190.792</f>
        <v>190.792</v>
      </c>
      <c r="DA21">
        <f>189.862</f>
        <v>189.86199999999999</v>
      </c>
      <c r="DB21">
        <f>174.1785</f>
        <v>174.17850000000001</v>
      </c>
      <c r="DC21">
        <f>173.064</f>
        <v>173.06399999999999</v>
      </c>
      <c r="DD21">
        <f>167.559</f>
        <v>167.559</v>
      </c>
      <c r="DE21">
        <f>161.252</f>
        <v>161.25200000000001</v>
      </c>
      <c r="DF21">
        <f>158.097</f>
        <v>158.09700000000001</v>
      </c>
      <c r="DG21">
        <f>187.061</f>
        <v>187.06100000000001</v>
      </c>
      <c r="DH21">
        <f>183.281</f>
        <v>183.28100000000001</v>
      </c>
      <c r="DI21">
        <f>180.706</f>
        <v>180.70599999999999</v>
      </c>
      <c r="DJ21">
        <f>177.575</f>
        <v>177.57499999999999</v>
      </c>
      <c r="DK21">
        <f>165.666</f>
        <v>165.666</v>
      </c>
      <c r="DL21">
        <f>162.448</f>
        <v>162.44800000000001</v>
      </c>
      <c r="DM21">
        <f>145.191</f>
        <v>145.191</v>
      </c>
      <c r="DN21">
        <f>122.661</f>
        <v>122.661</v>
      </c>
      <c r="DO21">
        <f>133.103</f>
        <v>133.10300000000001</v>
      </c>
      <c r="DP21">
        <f>128.722</f>
        <v>128.72200000000001</v>
      </c>
      <c r="DQ21">
        <f>125.728</f>
        <v>125.72799999999999</v>
      </c>
      <c r="DR21">
        <f>120.956</f>
        <v>120.956</v>
      </c>
      <c r="DS21">
        <f>105.363</f>
        <v>105.363</v>
      </c>
      <c r="DT21">
        <f>95.949</f>
        <v>95.948999999999998</v>
      </c>
      <c r="DU21">
        <f>93.583</f>
        <v>93.582999999999998</v>
      </c>
    </row>
    <row r="22" spans="1:125">
      <c r="A22" t="str">
        <f>"    独立式房地产投资信托总股利支付"</f>
        <v xml:space="preserve">    独立式房地产投资信托总股利支付</v>
      </c>
      <c r="B22" t="str">
        <f>"RECFTDFS Index"</f>
        <v>RECFTDFS Index</v>
      </c>
      <c r="C22" t="str">
        <f>"PR005"</f>
        <v>PR005</v>
      </c>
      <c r="D22" t="str">
        <f>"PX_LAST"</f>
        <v>PX_LAST</v>
      </c>
      <c r="E22" t="str">
        <f>"动态"</f>
        <v>动态</v>
      </c>
      <c r="F22">
        <f ca="1">IF(AND(ISNUMBER($F$55),$B$38=1),$F$55,HLOOKUP(INDIRECT(ADDRESS(2,COLUMN())),OFFSET($BN$2,0,0,ROW()-1,60),ROW()-1,FALSE))</f>
        <v>458.0312399</v>
      </c>
      <c r="G22">
        <f ca="1">IF(AND(ISNUMBER($G$55),$B$38=1),$G$55,HLOOKUP(INDIRECT(ADDRESS(2,COLUMN())),OFFSET($BN$2,0,0,ROW()-1,60),ROW()-1,FALSE))</f>
        <v>445.46499999999997</v>
      </c>
      <c r="H22">
        <f ca="1">IF(AND(ISNUMBER($H$55),$B$38=1),$H$55,HLOOKUP(INDIRECT(ADDRESS(2,COLUMN())),OFFSET($BN$2,0,0,ROW()-1,60),ROW()-1,FALSE))</f>
        <v>438.23200000000003</v>
      </c>
      <c r="I22">
        <f ca="1">IF(AND(ISNUMBER($I$55),$B$38=1),$I$55,HLOOKUP(INDIRECT(ADDRESS(2,COLUMN())),OFFSET($BN$2,0,0,ROW()-1,60),ROW()-1,FALSE))</f>
        <v>433.00099999999998</v>
      </c>
      <c r="J22">
        <f ca="1">IF(AND(ISNUMBER($J$55),$B$38=1),$J$55,HLOOKUP(INDIRECT(ADDRESS(2,COLUMN())),OFFSET($BN$2,0,0,ROW()-1,60),ROW()-1,FALSE))</f>
        <v>432.36500000000001</v>
      </c>
      <c r="K22">
        <f ca="1">IF(AND(ISNUMBER($K$55),$B$38=1),$K$55,HLOOKUP(INDIRECT(ADDRESS(2,COLUMN())),OFFSET($BN$2,0,0,ROW()-1,60),ROW()-1,FALSE))</f>
        <v>411.24400000000003</v>
      </c>
      <c r="L22">
        <f ca="1">IF(AND(ISNUMBER($L$55),$B$38=1),$L$55,HLOOKUP(INDIRECT(ADDRESS(2,COLUMN())),OFFSET($BN$2,0,0,ROW()-1,60),ROW()-1,FALSE))</f>
        <v>363.47</v>
      </c>
      <c r="M22">
        <f ca="1">IF(AND(ISNUMBER($M$55),$B$38=1),$M$55,HLOOKUP(INDIRECT(ADDRESS(2,COLUMN())),OFFSET($BN$2,0,0,ROW()-1,60),ROW()-1,FALSE))</f>
        <v>388.88900000000001</v>
      </c>
      <c r="N22">
        <f ca="1">IF(AND(ISNUMBER($N$55),$B$38=1),$N$55,HLOOKUP(INDIRECT(ADDRESS(2,COLUMN())),OFFSET($BN$2,0,0,ROW()-1,60),ROW()-1,FALSE))</f>
        <v>342.95</v>
      </c>
      <c r="O22">
        <f ca="1">IF(AND(ISNUMBER($O$55),$B$38=1),$O$55,HLOOKUP(INDIRECT(ADDRESS(2,COLUMN())),OFFSET($BN$2,0,0,ROW()-1,60),ROW()-1,FALSE))</f>
        <v>331.584</v>
      </c>
      <c r="P22">
        <f ca="1">IF(AND(ISNUMBER($P$55),$B$38=1),$P$55,HLOOKUP(INDIRECT(ADDRESS(2,COLUMN())),OFFSET($BN$2,0,0,ROW()-1,60),ROW()-1,FALSE))</f>
        <v>319.42700000000002</v>
      </c>
      <c r="Q22">
        <f ca="1">IF(AND(ISNUMBER($Q$55),$B$38=1),$Q$55,HLOOKUP(INDIRECT(ADDRESS(2,COLUMN())),OFFSET($BN$2,0,0,ROW()-1,60),ROW()-1,FALSE))</f>
        <v>319.96300000000002</v>
      </c>
      <c r="R22">
        <f ca="1">IF(AND(ISNUMBER($R$55),$B$38=1),$R$55,HLOOKUP(INDIRECT(ADDRESS(2,COLUMN())),OFFSET($BN$2,0,0,ROW()-1,60),ROW()-1,FALSE))</f>
        <v>532.41899999999998</v>
      </c>
      <c r="S22">
        <f ca="1">IF(AND(ISNUMBER($S$55),$B$38=1),$S$55,HLOOKUP(INDIRECT(ADDRESS(2,COLUMN())),OFFSET($BN$2,0,0,ROW()-1,60),ROW()-1,FALSE))</f>
        <v>528.16700000000003</v>
      </c>
      <c r="T22">
        <f ca="1">IF(AND(ISNUMBER($T$55),$B$38=1),$T$55,HLOOKUP(INDIRECT(ADDRESS(2,COLUMN())),OFFSET($BN$2,0,0,ROW()-1,60),ROW()-1,FALSE))</f>
        <v>498.09699999999998</v>
      </c>
      <c r="U22">
        <f ca="1">IF(AND(ISNUMBER($U$55),$B$38=1),$U$55,HLOOKUP(INDIRECT(ADDRESS(2,COLUMN())),OFFSET($BN$2,0,0,ROW()-1,60),ROW()-1,FALSE))</f>
        <v>471.00700000000001</v>
      </c>
      <c r="V22">
        <f ca="1">IF(AND(ISNUMBER($V$55),$B$38=1),$V$55,HLOOKUP(INDIRECT(ADDRESS(2,COLUMN())),OFFSET($BN$2,0,0,ROW()-1,60),ROW()-1,FALSE))</f>
        <v>322.05900000000003</v>
      </c>
      <c r="W22">
        <f ca="1">IF(AND(ISNUMBER($W$55),$B$38=1),$W$55,HLOOKUP(INDIRECT(ADDRESS(2,COLUMN())),OFFSET($BN$2,0,0,ROW()-1,60),ROW()-1,FALSE))</f>
        <v>382.322</v>
      </c>
      <c r="X22">
        <f ca="1">IF(AND(ISNUMBER($X$55),$B$38=1),$X$55,HLOOKUP(INDIRECT(ADDRESS(2,COLUMN())),OFFSET($BN$2,0,0,ROW()-1,60),ROW()-1,FALSE))</f>
        <v>327.51799999999997</v>
      </c>
      <c r="Y22">
        <f ca="1">IF(AND(ISNUMBER($Y$55),$B$38=1),$Y$55,HLOOKUP(INDIRECT(ADDRESS(2,COLUMN())),OFFSET($BN$2,0,0,ROW()-1,60),ROW()-1,FALSE))</f>
        <v>231.685</v>
      </c>
      <c r="Z22">
        <f ca="1">IF(AND(ISNUMBER($Z$55),$B$38=1),$Z$55,HLOOKUP(INDIRECT(ADDRESS(2,COLUMN())),OFFSET($BN$2,0,0,ROW()-1,60),ROW()-1,FALSE))</f>
        <v>128.14400000000001</v>
      </c>
      <c r="AA22">
        <f ca="1">IF(AND(ISNUMBER($AA$55),$B$38=1),$AA$55,HLOOKUP(INDIRECT(ADDRESS(2,COLUMN())),OFFSET($BN$2,0,0,ROW()-1,60),ROW()-1,FALSE))</f>
        <v>154.91300000000001</v>
      </c>
      <c r="AB22">
        <f ca="1">IF(AND(ISNUMBER($AB$55),$B$38=1),$AB$55,HLOOKUP(INDIRECT(ADDRESS(2,COLUMN())),OFFSET($BN$2,0,0,ROW()-1,60),ROW()-1,FALSE))</f>
        <v>149.358</v>
      </c>
      <c r="AC22">
        <f ca="1">IF(AND(ISNUMBER($AC$55),$B$38=1),$AC$55,HLOOKUP(INDIRECT(ADDRESS(2,COLUMN())),OFFSET($BN$2,0,0,ROW()-1,60),ROW()-1,FALSE))</f>
        <v>138.55099999999999</v>
      </c>
      <c r="AD22">
        <f ca="1">IF(AND(ISNUMBER($AD$55),$B$38=1),$AD$55,HLOOKUP(INDIRECT(ADDRESS(2,COLUMN())),OFFSET($BN$2,0,0,ROW()-1,60),ROW()-1,FALSE))</f>
        <v>124.099</v>
      </c>
      <c r="AE22">
        <f ca="1">IF(AND(ISNUMBER($AE$55),$B$38=1),$AE$55,HLOOKUP(INDIRECT(ADDRESS(2,COLUMN())),OFFSET($BN$2,0,0,ROW()-1,60),ROW()-1,FALSE))</f>
        <v>116.652</v>
      </c>
      <c r="AF22">
        <f ca="1">IF(AND(ISNUMBER($AF$55),$B$38=1),$AF$55,HLOOKUP(INDIRECT(ADDRESS(2,COLUMN())),OFFSET($BN$2,0,0,ROW()-1,60),ROW()-1,FALSE))</f>
        <v>115.898</v>
      </c>
      <c r="AG22">
        <f ca="1">IF(AND(ISNUMBER($AG$55),$B$38=1),$AG$55,HLOOKUP(INDIRECT(ADDRESS(2,COLUMN())),OFFSET($BN$2,0,0,ROW()-1,60),ROW()-1,FALSE))</f>
        <v>110.179</v>
      </c>
      <c r="AH22">
        <f ca="1">IF(AND(ISNUMBER($AH$55),$B$38=1),$AH$55,HLOOKUP(INDIRECT(ADDRESS(2,COLUMN())),OFFSET($BN$2,0,0,ROW()-1,60),ROW()-1,FALSE))</f>
        <v>106.76900000000001</v>
      </c>
      <c r="AI22">
        <f ca="1">IF(AND(ISNUMBER($AI$55),$B$38=1),$AI$55,HLOOKUP(INDIRECT(ADDRESS(2,COLUMN())),OFFSET($BN$2,0,0,ROW()-1,60),ROW()-1,FALSE))</f>
        <v>103.79300000000001</v>
      </c>
      <c r="AJ22">
        <f ca="1">IF(AND(ISNUMBER($AJ$55),$B$38=1),$AJ$55,HLOOKUP(INDIRECT(ADDRESS(2,COLUMN())),OFFSET($BN$2,0,0,ROW()-1,60),ROW()-1,FALSE))</f>
        <v>100.84699999999999</v>
      </c>
      <c r="AK22">
        <f ca="1">IF(AND(ISNUMBER($AK$55),$B$38=1),$AK$55,HLOOKUP(INDIRECT(ADDRESS(2,COLUMN())),OFFSET($BN$2,0,0,ROW()-1,60),ROW()-1,FALSE))</f>
        <v>99.765000000000001</v>
      </c>
      <c r="AL22">
        <f ca="1">IF(AND(ISNUMBER($AL$55),$B$38=1),$AL$55,HLOOKUP(INDIRECT(ADDRESS(2,COLUMN())),OFFSET($BN$2,0,0,ROW()-1,60),ROW()-1,FALSE))</f>
        <v>99.616</v>
      </c>
      <c r="AM22">
        <f ca="1">IF(AND(ISNUMBER($AM$55),$B$38=1),$AM$55,HLOOKUP(INDIRECT(ADDRESS(2,COLUMN())),OFFSET($BN$2,0,0,ROW()-1,60),ROW()-1,FALSE))</f>
        <v>98.457999999999998</v>
      </c>
      <c r="AN22">
        <f ca="1">IF(AND(ISNUMBER($AN$55),$B$38=1),$AN$55,HLOOKUP(INDIRECT(ADDRESS(2,COLUMN())),OFFSET($BN$2,0,0,ROW()-1,60),ROW()-1,FALSE))</f>
        <v>98.113</v>
      </c>
      <c r="AO22">
        <f ca="1">IF(AND(ISNUMBER($AO$55),$B$38=1),$AO$55,HLOOKUP(INDIRECT(ADDRESS(2,COLUMN())),OFFSET($BN$2,0,0,ROW()-1,60),ROW()-1,FALSE))</f>
        <v>97.63</v>
      </c>
      <c r="AP22">
        <f ca="1">IF(AND(ISNUMBER($AP$55),$B$38=1),$AP$55,HLOOKUP(INDIRECT(ADDRESS(2,COLUMN())),OFFSET($BN$2,0,0,ROW()-1,60),ROW()-1,FALSE))</f>
        <v>106.7855</v>
      </c>
      <c r="AQ22">
        <f ca="1">IF(AND(ISNUMBER($AQ$55),$B$38=1),$AQ$55,HLOOKUP(INDIRECT(ADDRESS(2,COLUMN())),OFFSET($BN$2,0,0,ROW()-1,60),ROW()-1,FALSE))</f>
        <v>114.81399999999999</v>
      </c>
      <c r="AR22">
        <f ca="1">IF(AND(ISNUMBER($AR$55),$B$38=1),$AR$55,HLOOKUP(INDIRECT(ADDRESS(2,COLUMN())),OFFSET($BN$2,0,0,ROW()-1,60),ROW()-1,FALSE))</f>
        <v>117.194</v>
      </c>
      <c r="AS22">
        <f ca="1">IF(AND(ISNUMBER($AS$55),$B$38=1),$AS$55,HLOOKUP(INDIRECT(ADDRESS(2,COLUMN())),OFFSET($BN$2,0,0,ROW()-1,60),ROW()-1,FALSE))</f>
        <v>92.055999999999997</v>
      </c>
      <c r="AT22">
        <f ca="1">IF(AND(ISNUMBER($AT$55),$B$38=1),$AT$55,HLOOKUP(INDIRECT(ADDRESS(2,COLUMN())),OFFSET($BN$2,0,0,ROW()-1,60),ROW()-1,FALSE))</f>
        <v>95.525999999999996</v>
      </c>
      <c r="AU22">
        <f ca="1">IF(AND(ISNUMBER($AU$55),$B$38=1),$AU$55,HLOOKUP(INDIRECT(ADDRESS(2,COLUMN())),OFFSET($BN$2,0,0,ROW()-1,60),ROW()-1,FALSE))</f>
        <v>97.62</v>
      </c>
      <c r="AV22">
        <f ca="1">IF(AND(ISNUMBER($AV$55),$B$38=1),$AV$55,HLOOKUP(INDIRECT(ADDRESS(2,COLUMN())),OFFSET($BN$2,0,0,ROW()-1,60),ROW()-1,FALSE))</f>
        <v>98.474000000000004</v>
      </c>
      <c r="AW22">
        <f ca="1">IF(AND(ISNUMBER($AW$55),$B$38=1),$AW$55,HLOOKUP(INDIRECT(ADDRESS(2,COLUMN())),OFFSET($BN$2,0,0,ROW()-1,60),ROW()-1,FALSE))</f>
        <v>81.948999999999998</v>
      </c>
      <c r="AX22">
        <f ca="1">IF(AND(ISNUMBER($AX$55),$B$38=1),$AX$55,HLOOKUP(INDIRECT(ADDRESS(2,COLUMN())),OFFSET($BN$2,0,0,ROW()-1,60),ROW()-1,FALSE))</f>
        <v>102.133</v>
      </c>
      <c r="AY22">
        <f ca="1">IF(AND(ISNUMBER($AY$55),$B$38=1),$AY$55,HLOOKUP(INDIRECT(ADDRESS(2,COLUMN())),OFFSET($BN$2,0,0,ROW()-1,60),ROW()-1,FALSE))</f>
        <v>112.59699999999999</v>
      </c>
      <c r="AZ22">
        <f ca="1">IF(AND(ISNUMBER($AZ$55),$B$38=1),$AZ$55,HLOOKUP(INDIRECT(ADDRESS(2,COLUMN())),OFFSET($BN$2,0,0,ROW()-1,60),ROW()-1,FALSE))</f>
        <v>105.92700000000001</v>
      </c>
      <c r="BA22">
        <f ca="1">IF(AND(ISNUMBER($BA$55),$B$38=1),$BA$55,HLOOKUP(INDIRECT(ADDRESS(2,COLUMN())),OFFSET($BN$2,0,0,ROW()-1,60),ROW()-1,FALSE))</f>
        <v>99.245999999999995</v>
      </c>
      <c r="BB22">
        <f ca="1">IF(AND(ISNUMBER($BB$55),$B$38=1),$BB$55,HLOOKUP(INDIRECT(ADDRESS(2,COLUMN())),OFFSET($BN$2,0,0,ROW()-1,60),ROW()-1,FALSE))</f>
        <v>116.86199999999999</v>
      </c>
      <c r="BC22">
        <f ca="1">IF(AND(ISNUMBER($BC$55),$B$38=1),$BC$55,HLOOKUP(INDIRECT(ADDRESS(2,COLUMN())),OFFSET($BN$2,0,0,ROW()-1,60),ROW()-1,FALSE))</f>
        <v>90.301000000000002</v>
      </c>
      <c r="BD22">
        <f ca="1">IF(AND(ISNUMBER($BD$55),$B$38=1),$BD$55,HLOOKUP(INDIRECT(ADDRESS(2,COLUMN())),OFFSET($BN$2,0,0,ROW()-1,60),ROW()-1,FALSE))</f>
        <v>89.387</v>
      </c>
      <c r="BE22">
        <f ca="1">IF(AND(ISNUMBER($BE$55),$B$38=1),$BE$55,HLOOKUP(INDIRECT(ADDRESS(2,COLUMN())),OFFSET($BN$2,0,0,ROW()-1,60),ROW()-1,FALSE))</f>
        <v>84.49</v>
      </c>
      <c r="BF22">
        <f ca="1">IF(AND(ISNUMBER($BF$55),$B$38=1),$BF$55,HLOOKUP(INDIRECT(ADDRESS(2,COLUMN())),OFFSET($BN$2,0,0,ROW()-1,60),ROW()-1,FALSE))</f>
        <v>61.841000000000001</v>
      </c>
      <c r="BG22">
        <f ca="1">IF(AND(ISNUMBER($BG$55),$B$38=1),$BG$55,HLOOKUP(INDIRECT(ADDRESS(2,COLUMN())),OFFSET($BN$2,0,0,ROW()-1,60),ROW()-1,FALSE))</f>
        <v>69.688000000000002</v>
      </c>
      <c r="BH22">
        <f ca="1">IF(AND(ISNUMBER($BH$55),$B$38=1),$BH$55,HLOOKUP(INDIRECT(ADDRESS(2,COLUMN())),OFFSET($BN$2,0,0,ROW()-1,60),ROW()-1,FALSE))</f>
        <v>69.183999999999997</v>
      </c>
      <c r="BI22">
        <f ca="1">IF(AND(ISNUMBER($BI$55),$B$38=1),$BI$55,HLOOKUP(INDIRECT(ADDRESS(2,COLUMN())),OFFSET($BN$2,0,0,ROW()-1,60),ROW()-1,FALSE))</f>
        <v>67.597999999999999</v>
      </c>
      <c r="BJ22">
        <f ca="1">IF(AND(ISNUMBER($BJ$55),$B$38=1),$BJ$55,HLOOKUP(INDIRECT(ADDRESS(2,COLUMN())),OFFSET($BN$2,0,0,ROW()-1,60),ROW()-1,FALSE))</f>
        <v>65.602999999999994</v>
      </c>
      <c r="BK22">
        <f ca="1">IF(AND(ISNUMBER($BK$55),$B$38=1),$BK$55,HLOOKUP(INDIRECT(ADDRESS(2,COLUMN())),OFFSET($BN$2,0,0,ROW()-1,60),ROW()-1,FALSE))</f>
        <v>62.322000000000003</v>
      </c>
      <c r="BL22">
        <f ca="1">IF(AND(ISNUMBER($BL$55),$B$38=1),$BL$55,HLOOKUP(INDIRECT(ADDRESS(2,COLUMN())),OFFSET($BN$2,0,0,ROW()-1,60),ROW()-1,FALSE))</f>
        <v>57.390999999999998</v>
      </c>
      <c r="BM22">
        <f ca="1">IF(AND(ISNUMBER($BM$55),$B$38=1),$BM$55,HLOOKUP(INDIRECT(ADDRESS(2,COLUMN())),OFFSET($BN$2,0,0,ROW()-1,60),ROW()-1,FALSE))</f>
        <v>57.505000000000003</v>
      </c>
      <c r="BN22">
        <f>458.0312399</f>
        <v>458.0312399</v>
      </c>
      <c r="BO22">
        <f>445.465</f>
        <v>445.46499999999997</v>
      </c>
      <c r="BP22">
        <f>438.232</f>
        <v>438.23200000000003</v>
      </c>
      <c r="BQ22">
        <f>433.001</f>
        <v>433.00099999999998</v>
      </c>
      <c r="BR22">
        <f>432.365</f>
        <v>432.36500000000001</v>
      </c>
      <c r="BS22">
        <f>411.244</f>
        <v>411.24400000000003</v>
      </c>
      <c r="BT22">
        <f>363.47</f>
        <v>363.47</v>
      </c>
      <c r="BU22">
        <f>388.889</f>
        <v>388.88900000000001</v>
      </c>
      <c r="BV22">
        <f>342.95</f>
        <v>342.95</v>
      </c>
      <c r="BW22">
        <f>331.584</f>
        <v>331.584</v>
      </c>
      <c r="BX22">
        <f>319.427</f>
        <v>319.42700000000002</v>
      </c>
      <c r="BY22">
        <f>319.963</f>
        <v>319.96300000000002</v>
      </c>
      <c r="BZ22">
        <f>532.419</f>
        <v>532.41899999999998</v>
      </c>
      <c r="CA22">
        <f>528.167</f>
        <v>528.16700000000003</v>
      </c>
      <c r="CB22">
        <f>498.097</f>
        <v>498.09699999999998</v>
      </c>
      <c r="CC22">
        <f>471.007</f>
        <v>471.00700000000001</v>
      </c>
      <c r="CD22">
        <f>322.059</f>
        <v>322.05900000000003</v>
      </c>
      <c r="CE22">
        <f>382.322</f>
        <v>382.322</v>
      </c>
      <c r="CF22">
        <f>327.518</f>
        <v>327.51799999999997</v>
      </c>
      <c r="CG22">
        <f>231.685</f>
        <v>231.685</v>
      </c>
      <c r="CH22">
        <f>128.144</f>
        <v>128.14400000000001</v>
      </c>
      <c r="CI22">
        <f>154.913</f>
        <v>154.91300000000001</v>
      </c>
      <c r="CJ22">
        <f>149.358</f>
        <v>149.358</v>
      </c>
      <c r="CK22">
        <f>138.551</f>
        <v>138.55099999999999</v>
      </c>
      <c r="CL22">
        <f>124.099</f>
        <v>124.099</v>
      </c>
      <c r="CM22">
        <f>116.652</f>
        <v>116.652</v>
      </c>
      <c r="CN22">
        <f>115.898</f>
        <v>115.898</v>
      </c>
      <c r="CO22">
        <f>110.179</f>
        <v>110.179</v>
      </c>
      <c r="CP22">
        <f>106.769</f>
        <v>106.76900000000001</v>
      </c>
      <c r="CQ22">
        <f>103.793</f>
        <v>103.79300000000001</v>
      </c>
      <c r="CR22">
        <f>100.847</f>
        <v>100.84699999999999</v>
      </c>
      <c r="CS22">
        <f>99.765</f>
        <v>99.765000000000001</v>
      </c>
      <c r="CT22">
        <f>99.616</f>
        <v>99.616</v>
      </c>
      <c r="CU22">
        <f>98.458</f>
        <v>98.457999999999998</v>
      </c>
      <c r="CV22">
        <f>98.113</f>
        <v>98.113</v>
      </c>
      <c r="CW22">
        <f>97.63</f>
        <v>97.63</v>
      </c>
      <c r="CX22">
        <f>106.7855</f>
        <v>106.7855</v>
      </c>
      <c r="CY22">
        <f>114.814</f>
        <v>114.81399999999999</v>
      </c>
      <c r="CZ22">
        <f>117.194</f>
        <v>117.194</v>
      </c>
      <c r="DA22">
        <f>92.056</f>
        <v>92.055999999999997</v>
      </c>
      <c r="DB22">
        <f>95.526</f>
        <v>95.525999999999996</v>
      </c>
      <c r="DC22">
        <f>97.62</f>
        <v>97.62</v>
      </c>
      <c r="DD22">
        <f>98.474</f>
        <v>98.474000000000004</v>
      </c>
      <c r="DE22">
        <f>81.949</f>
        <v>81.948999999999998</v>
      </c>
      <c r="DF22">
        <f>102.133</f>
        <v>102.133</v>
      </c>
      <c r="DG22">
        <f>112.597</f>
        <v>112.59699999999999</v>
      </c>
      <c r="DH22">
        <f>105.927</f>
        <v>105.92700000000001</v>
      </c>
      <c r="DI22">
        <f>99.246</f>
        <v>99.245999999999995</v>
      </c>
      <c r="DJ22">
        <f>116.862</f>
        <v>116.86199999999999</v>
      </c>
      <c r="DK22">
        <f>90.301</f>
        <v>90.301000000000002</v>
      </c>
      <c r="DL22">
        <f>89.387</f>
        <v>89.387</v>
      </c>
      <c r="DM22">
        <f>84.49</f>
        <v>84.49</v>
      </c>
      <c r="DN22">
        <f>61.841</f>
        <v>61.841000000000001</v>
      </c>
      <c r="DO22">
        <f>69.688</f>
        <v>69.688000000000002</v>
      </c>
      <c r="DP22">
        <f>69.184</f>
        <v>69.183999999999997</v>
      </c>
      <c r="DQ22">
        <f>67.598</f>
        <v>67.597999999999999</v>
      </c>
      <c r="DR22">
        <f>65.603</f>
        <v>65.602999999999994</v>
      </c>
      <c r="DS22">
        <f>62.322</f>
        <v>62.322000000000003</v>
      </c>
      <c r="DT22">
        <f>57.391</f>
        <v>57.390999999999998</v>
      </c>
      <c r="DU22">
        <f>57.505</f>
        <v>57.505000000000003</v>
      </c>
    </row>
    <row r="23" spans="1:125">
      <c r="BN23" t="str">
        <f>""</f>
        <v/>
      </c>
      <c r="BO23" t="str">
        <f>""</f>
        <v/>
      </c>
      <c r="BP23" t="str">
        <f>""</f>
        <v/>
      </c>
      <c r="BQ23" t="str">
        <f>""</f>
        <v/>
      </c>
      <c r="BR23" t="str">
        <f>""</f>
        <v/>
      </c>
      <c r="BS23" t="str">
        <f>""</f>
        <v/>
      </c>
      <c r="BT23" t="str">
        <f>""</f>
        <v/>
      </c>
      <c r="BU23" t="str">
        <f>""</f>
        <v/>
      </c>
      <c r="BV23" t="str">
        <f>""</f>
        <v/>
      </c>
      <c r="BW23" t="str">
        <f>""</f>
        <v/>
      </c>
      <c r="BX23" t="str">
        <f>""</f>
        <v/>
      </c>
      <c r="BY23" t="str">
        <f>""</f>
        <v/>
      </c>
      <c r="BZ23" t="str">
        <f>""</f>
        <v/>
      </c>
      <c r="CA23" t="str">
        <f>""</f>
        <v/>
      </c>
      <c r="CB23" t="str">
        <f>""</f>
        <v/>
      </c>
      <c r="CC23" t="str">
        <f>""</f>
        <v/>
      </c>
      <c r="CD23" t="str">
        <f>""</f>
        <v/>
      </c>
      <c r="CE23" t="str">
        <f>""</f>
        <v/>
      </c>
      <c r="CF23" t="str">
        <f>""</f>
        <v/>
      </c>
      <c r="CG23" t="str">
        <f>""</f>
        <v/>
      </c>
      <c r="CH23" t="str">
        <f>""</f>
        <v/>
      </c>
      <c r="CI23" t="str">
        <f>""</f>
        <v/>
      </c>
      <c r="CJ23" t="str">
        <f>""</f>
        <v/>
      </c>
      <c r="CK23" t="str">
        <f>""</f>
        <v/>
      </c>
      <c r="CL23" t="str">
        <f>""</f>
        <v/>
      </c>
      <c r="CM23" t="str">
        <f>""</f>
        <v/>
      </c>
      <c r="CN23" t="str">
        <f>""</f>
        <v/>
      </c>
      <c r="CO23" t="str">
        <f>""</f>
        <v/>
      </c>
      <c r="CP23" t="str">
        <f>""</f>
        <v/>
      </c>
      <c r="CQ23" t="str">
        <f>""</f>
        <v/>
      </c>
      <c r="CR23" t="str">
        <f>""</f>
        <v/>
      </c>
      <c r="CS23" t="str">
        <f>""</f>
        <v/>
      </c>
      <c r="CT23" t="str">
        <f>""</f>
        <v/>
      </c>
      <c r="CU23" t="str">
        <f>""</f>
        <v/>
      </c>
      <c r="CV23" t="str">
        <f>""</f>
        <v/>
      </c>
      <c r="CW23" t="str">
        <f>""</f>
        <v/>
      </c>
      <c r="CX23" t="str">
        <f>""</f>
        <v/>
      </c>
      <c r="CY23" t="str">
        <f>""</f>
        <v/>
      </c>
      <c r="CZ23" t="str">
        <f>""</f>
        <v/>
      </c>
      <c r="DA23" t="str">
        <f>""</f>
        <v/>
      </c>
      <c r="DB23" t="str">
        <f>""</f>
        <v/>
      </c>
      <c r="DC23" t="str">
        <f>""</f>
        <v/>
      </c>
      <c r="DD23" t="str">
        <f>""</f>
        <v/>
      </c>
      <c r="DE23" t="str">
        <f>""</f>
        <v/>
      </c>
      <c r="DF23" t="str">
        <f>""</f>
        <v/>
      </c>
      <c r="DG23" t="str">
        <f>""</f>
        <v/>
      </c>
      <c r="DH23" t="str">
        <f>""</f>
        <v/>
      </c>
      <c r="DI23" t="str">
        <f>""</f>
        <v/>
      </c>
      <c r="DJ23" t="str">
        <f>""</f>
        <v/>
      </c>
      <c r="DK23" t="str">
        <f>""</f>
        <v/>
      </c>
      <c r="DL23" t="str">
        <f>""</f>
        <v/>
      </c>
      <c r="DM23" t="str">
        <f>""</f>
        <v/>
      </c>
      <c r="DN23" t="str">
        <f>""</f>
        <v/>
      </c>
      <c r="DO23" t="str">
        <f>""</f>
        <v/>
      </c>
      <c r="DP23" t="str">
        <f>""</f>
        <v/>
      </c>
      <c r="DQ23" t="str">
        <f>""</f>
        <v/>
      </c>
      <c r="DR23" t="str">
        <f>""</f>
        <v/>
      </c>
      <c r="DS23" t="str">
        <f>""</f>
        <v/>
      </c>
      <c r="DT23" t="str">
        <f>""</f>
        <v/>
      </c>
      <c r="DU23" t="str">
        <f>""</f>
        <v/>
      </c>
    </row>
    <row r="24" spans="1:125">
      <c r="BN24" t="str">
        <f>""</f>
        <v/>
      </c>
      <c r="BO24" t="str">
        <f>""</f>
        <v/>
      </c>
      <c r="BP24" t="str">
        <f>""</f>
        <v/>
      </c>
      <c r="BQ24" t="str">
        <f>""</f>
        <v/>
      </c>
      <c r="BR24" t="str">
        <f>""</f>
        <v/>
      </c>
      <c r="BS24" t="str">
        <f>""</f>
        <v/>
      </c>
      <c r="BT24" t="str">
        <f>""</f>
        <v/>
      </c>
      <c r="BU24" t="str">
        <f>""</f>
        <v/>
      </c>
      <c r="BV24" t="str">
        <f>""</f>
        <v/>
      </c>
      <c r="BW24" t="str">
        <f>""</f>
        <v/>
      </c>
      <c r="BX24" t="str">
        <f>""</f>
        <v/>
      </c>
      <c r="BY24" t="str">
        <f>""</f>
        <v/>
      </c>
      <c r="BZ24" t="str">
        <f>""</f>
        <v/>
      </c>
      <c r="CA24" t="str">
        <f>""</f>
        <v/>
      </c>
      <c r="CB24" t="str">
        <f>""</f>
        <v/>
      </c>
      <c r="CC24" t="str">
        <f>""</f>
        <v/>
      </c>
      <c r="CD24" t="str">
        <f>""</f>
        <v/>
      </c>
      <c r="CE24" t="str">
        <f>""</f>
        <v/>
      </c>
      <c r="CF24" t="str">
        <f>""</f>
        <v/>
      </c>
      <c r="CG24" t="str">
        <f>""</f>
        <v/>
      </c>
      <c r="CH24" t="str">
        <f>""</f>
        <v/>
      </c>
      <c r="CI24" t="str">
        <f>""</f>
        <v/>
      </c>
      <c r="CJ24" t="str">
        <f>""</f>
        <v/>
      </c>
      <c r="CK24" t="str">
        <f>""</f>
        <v/>
      </c>
      <c r="CL24" t="str">
        <f>""</f>
        <v/>
      </c>
      <c r="CM24" t="str">
        <f>""</f>
        <v/>
      </c>
      <c r="CN24" t="str">
        <f>""</f>
        <v/>
      </c>
      <c r="CO24" t="str">
        <f>""</f>
        <v/>
      </c>
      <c r="CP24" t="str">
        <f>""</f>
        <v/>
      </c>
      <c r="CQ24" t="str">
        <f>""</f>
        <v/>
      </c>
      <c r="CR24" t="str">
        <f>""</f>
        <v/>
      </c>
      <c r="CS24" t="str">
        <f>""</f>
        <v/>
      </c>
      <c r="CT24" t="str">
        <f>""</f>
        <v/>
      </c>
      <c r="CU24" t="str">
        <f>""</f>
        <v/>
      </c>
      <c r="CV24" t="str">
        <f>""</f>
        <v/>
      </c>
      <c r="CW24" t="str">
        <f>""</f>
        <v/>
      </c>
      <c r="CX24" t="str">
        <f>""</f>
        <v/>
      </c>
      <c r="CY24" t="str">
        <f>""</f>
        <v/>
      </c>
      <c r="CZ24" t="str">
        <f>""</f>
        <v/>
      </c>
      <c r="DA24" t="str">
        <f>""</f>
        <v/>
      </c>
      <c r="DB24" t="str">
        <f>""</f>
        <v/>
      </c>
      <c r="DC24" t="str">
        <f>""</f>
        <v/>
      </c>
      <c r="DD24" t="str">
        <f>""</f>
        <v/>
      </c>
      <c r="DE24" t="str">
        <f>""</f>
        <v/>
      </c>
      <c r="DF24" t="str">
        <f>""</f>
        <v/>
      </c>
      <c r="DG24" t="str">
        <f>""</f>
        <v/>
      </c>
      <c r="DH24" t="str">
        <f>""</f>
        <v/>
      </c>
      <c r="DI24" t="str">
        <f>""</f>
        <v/>
      </c>
      <c r="DJ24" t="str">
        <f>""</f>
        <v/>
      </c>
      <c r="DK24" t="str">
        <f>""</f>
        <v/>
      </c>
      <c r="DL24" t="str">
        <f>""</f>
        <v/>
      </c>
      <c r="DM24" t="str">
        <f>""</f>
        <v/>
      </c>
      <c r="DN24" t="str">
        <f>""</f>
        <v/>
      </c>
      <c r="DO24" t="str">
        <f>""</f>
        <v/>
      </c>
      <c r="DP24" t="str">
        <f>""</f>
        <v/>
      </c>
      <c r="DQ24" t="str">
        <f>""</f>
        <v/>
      </c>
      <c r="DR24" t="str">
        <f>""</f>
        <v/>
      </c>
      <c r="DS24" t="str">
        <f>""</f>
        <v/>
      </c>
      <c r="DT24" t="str">
        <f>""</f>
        <v/>
      </c>
      <c r="DU24" t="str">
        <f>""</f>
        <v/>
      </c>
    </row>
    <row r="25" spans="1:125">
      <c r="BN25" t="str">
        <f>""</f>
        <v/>
      </c>
      <c r="BO25" t="str">
        <f>""</f>
        <v/>
      </c>
      <c r="BP25" t="str">
        <f>""</f>
        <v/>
      </c>
      <c r="BQ25" t="str">
        <f>""</f>
        <v/>
      </c>
      <c r="BR25" t="str">
        <f>""</f>
        <v/>
      </c>
      <c r="BS25" t="str">
        <f>""</f>
        <v/>
      </c>
      <c r="BT25" t="str">
        <f>""</f>
        <v/>
      </c>
      <c r="BU25" t="str">
        <f>""</f>
        <v/>
      </c>
      <c r="BV25" t="str">
        <f>""</f>
        <v/>
      </c>
      <c r="BW25" t="str">
        <f>""</f>
        <v/>
      </c>
      <c r="BX25" t="str">
        <f>""</f>
        <v/>
      </c>
      <c r="BY25" t="str">
        <f>""</f>
        <v/>
      </c>
      <c r="BZ25" t="str">
        <f>""</f>
        <v/>
      </c>
      <c r="CA25" t="str">
        <f>""</f>
        <v/>
      </c>
      <c r="CB25" t="str">
        <f>""</f>
        <v/>
      </c>
      <c r="CC25" t="str">
        <f>""</f>
        <v/>
      </c>
      <c r="CD25" t="str">
        <f>""</f>
        <v/>
      </c>
      <c r="CE25" t="str">
        <f>""</f>
        <v/>
      </c>
      <c r="CF25" t="str">
        <f>""</f>
        <v/>
      </c>
      <c r="CG25" t="str">
        <f>""</f>
        <v/>
      </c>
      <c r="CH25" t="str">
        <f>""</f>
        <v/>
      </c>
      <c r="CI25" t="str">
        <f>""</f>
        <v/>
      </c>
      <c r="CJ25" t="str">
        <f>""</f>
        <v/>
      </c>
      <c r="CK25" t="str">
        <f>""</f>
        <v/>
      </c>
      <c r="CL25" t="str">
        <f>""</f>
        <v/>
      </c>
      <c r="CM25" t="str">
        <f>""</f>
        <v/>
      </c>
      <c r="CN25" t="str">
        <f>""</f>
        <v/>
      </c>
      <c r="CO25" t="str">
        <f>""</f>
        <v/>
      </c>
      <c r="CP25" t="str">
        <f>""</f>
        <v/>
      </c>
      <c r="CQ25" t="str">
        <f>""</f>
        <v/>
      </c>
      <c r="CR25" t="str">
        <f>""</f>
        <v/>
      </c>
      <c r="CS25" t="str">
        <f>""</f>
        <v/>
      </c>
      <c r="CT25" t="str">
        <f>""</f>
        <v/>
      </c>
      <c r="CU25" t="str">
        <f>""</f>
        <v/>
      </c>
      <c r="CV25" t="str">
        <f>""</f>
        <v/>
      </c>
      <c r="CW25" t="str">
        <f>""</f>
        <v/>
      </c>
      <c r="CX25" t="str">
        <f>""</f>
        <v/>
      </c>
      <c r="CY25" t="str">
        <f>""</f>
        <v/>
      </c>
      <c r="CZ25" t="str">
        <f>""</f>
        <v/>
      </c>
      <c r="DA25" t="str">
        <f>""</f>
        <v/>
      </c>
      <c r="DB25" t="str">
        <f>""</f>
        <v/>
      </c>
      <c r="DC25" t="str">
        <f>""</f>
        <v/>
      </c>
      <c r="DD25" t="str">
        <f>""</f>
        <v/>
      </c>
      <c r="DE25" t="str">
        <f>""</f>
        <v/>
      </c>
      <c r="DF25" t="str">
        <f>""</f>
        <v/>
      </c>
      <c r="DG25" t="str">
        <f>""</f>
        <v/>
      </c>
      <c r="DH25" t="str">
        <f>""</f>
        <v/>
      </c>
      <c r="DI25" t="str">
        <f>""</f>
        <v/>
      </c>
      <c r="DJ25" t="str">
        <f>""</f>
        <v/>
      </c>
      <c r="DK25" t="str">
        <f>""</f>
        <v/>
      </c>
      <c r="DL25" t="str">
        <f>""</f>
        <v/>
      </c>
      <c r="DM25" t="str">
        <f>""</f>
        <v/>
      </c>
      <c r="DN25" t="str">
        <f>""</f>
        <v/>
      </c>
      <c r="DO25" t="str">
        <f>""</f>
        <v/>
      </c>
      <c r="DP25" t="str">
        <f>""</f>
        <v/>
      </c>
      <c r="DQ25" t="str">
        <f>""</f>
        <v/>
      </c>
      <c r="DR25" t="str">
        <f>""</f>
        <v/>
      </c>
      <c r="DS25" t="str">
        <f>""</f>
        <v/>
      </c>
      <c r="DT25" t="str">
        <f>""</f>
        <v/>
      </c>
      <c r="DU25" t="str">
        <f>""</f>
        <v/>
      </c>
    </row>
    <row r="26" spans="1:125">
      <c r="BN26" t="str">
        <f>""</f>
        <v/>
      </c>
      <c r="BO26" t="str">
        <f>""</f>
        <v/>
      </c>
      <c r="BP26" t="str">
        <f>""</f>
        <v/>
      </c>
      <c r="BQ26" t="str">
        <f>""</f>
        <v/>
      </c>
      <c r="BR26" t="str">
        <f>""</f>
        <v/>
      </c>
      <c r="BS26" t="str">
        <f>""</f>
        <v/>
      </c>
      <c r="BT26" t="str">
        <f>""</f>
        <v/>
      </c>
      <c r="BU26" t="str">
        <f>""</f>
        <v/>
      </c>
      <c r="BV26" t="str">
        <f>""</f>
        <v/>
      </c>
      <c r="BW26" t="str">
        <f>""</f>
        <v/>
      </c>
      <c r="BX26" t="str">
        <f>""</f>
        <v/>
      </c>
      <c r="BY26" t="str">
        <f>""</f>
        <v/>
      </c>
      <c r="BZ26" t="str">
        <f>""</f>
        <v/>
      </c>
      <c r="CA26" t="str">
        <f>""</f>
        <v/>
      </c>
      <c r="CB26" t="str">
        <f>""</f>
        <v/>
      </c>
      <c r="CC26" t="str">
        <f>""</f>
        <v/>
      </c>
      <c r="CD26" t="str">
        <f>""</f>
        <v/>
      </c>
      <c r="CE26" t="str">
        <f>""</f>
        <v/>
      </c>
      <c r="CF26" t="str">
        <f>""</f>
        <v/>
      </c>
      <c r="CG26" t="str">
        <f>""</f>
        <v/>
      </c>
      <c r="CH26" t="str">
        <f>""</f>
        <v/>
      </c>
      <c r="CI26" t="str">
        <f>""</f>
        <v/>
      </c>
      <c r="CJ26" t="str">
        <f>""</f>
        <v/>
      </c>
      <c r="CK26" t="str">
        <f>""</f>
        <v/>
      </c>
      <c r="CL26" t="str">
        <f>""</f>
        <v/>
      </c>
      <c r="CM26" t="str">
        <f>""</f>
        <v/>
      </c>
      <c r="CN26" t="str">
        <f>""</f>
        <v/>
      </c>
      <c r="CO26" t="str">
        <f>""</f>
        <v/>
      </c>
      <c r="CP26" t="str">
        <f>""</f>
        <v/>
      </c>
      <c r="CQ26" t="str">
        <f>""</f>
        <v/>
      </c>
      <c r="CR26" t="str">
        <f>""</f>
        <v/>
      </c>
      <c r="CS26" t="str">
        <f>""</f>
        <v/>
      </c>
      <c r="CT26" t="str">
        <f>""</f>
        <v/>
      </c>
      <c r="CU26" t="str">
        <f>""</f>
        <v/>
      </c>
      <c r="CV26" t="str">
        <f>""</f>
        <v/>
      </c>
      <c r="CW26" t="str">
        <f>""</f>
        <v/>
      </c>
      <c r="CX26" t="str">
        <f>""</f>
        <v/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>
      <c r="BN27" t="str">
        <f>""</f>
        <v/>
      </c>
      <c r="BO27" t="str">
        <f>""</f>
        <v/>
      </c>
      <c r="BP27" t="str">
        <f>""</f>
        <v/>
      </c>
      <c r="BQ27" t="str">
        <f>""</f>
        <v/>
      </c>
      <c r="BR27" t="str">
        <f>""</f>
        <v/>
      </c>
      <c r="BS27" t="str">
        <f>""</f>
        <v/>
      </c>
      <c r="BT27" t="str">
        <f>""</f>
        <v/>
      </c>
      <c r="BU27" t="str">
        <f>""</f>
        <v/>
      </c>
      <c r="BV27" t="str">
        <f>""</f>
        <v/>
      </c>
      <c r="BW27" t="str">
        <f>""</f>
        <v/>
      </c>
      <c r="BX27" t="str">
        <f>""</f>
        <v/>
      </c>
      <c r="BY27" t="str">
        <f>""</f>
        <v/>
      </c>
      <c r="BZ27" t="str">
        <f>""</f>
        <v/>
      </c>
      <c r="CA27" t="str">
        <f>""</f>
        <v/>
      </c>
      <c r="CB27" t="str">
        <f>""</f>
        <v/>
      </c>
      <c r="CC27" t="str">
        <f>""</f>
        <v/>
      </c>
      <c r="CD27" t="str">
        <f>""</f>
        <v/>
      </c>
      <c r="CE27" t="str">
        <f>""</f>
        <v/>
      </c>
      <c r="CF27" t="str">
        <f>""</f>
        <v/>
      </c>
      <c r="CG27" t="str">
        <f>""</f>
        <v/>
      </c>
      <c r="CH27" t="str">
        <f>""</f>
        <v/>
      </c>
      <c r="CI27" t="str">
        <f>""</f>
        <v/>
      </c>
      <c r="CJ27" t="str">
        <f>""</f>
        <v/>
      </c>
      <c r="CK27" t="str">
        <f>""</f>
        <v/>
      </c>
      <c r="CL27" t="str">
        <f>""</f>
        <v/>
      </c>
      <c r="CM27" t="str">
        <f>""</f>
        <v/>
      </c>
      <c r="CN27" t="str">
        <f>""</f>
        <v/>
      </c>
      <c r="CO27" t="str">
        <f>""</f>
        <v/>
      </c>
      <c r="CP27" t="str">
        <f>""</f>
        <v/>
      </c>
      <c r="CQ27" t="str">
        <f>""</f>
        <v/>
      </c>
      <c r="CR27" t="str">
        <f>""</f>
        <v/>
      </c>
      <c r="CS27" t="str">
        <f>""</f>
        <v/>
      </c>
      <c r="CT27" t="str">
        <f>""</f>
        <v/>
      </c>
      <c r="CU27" t="str">
        <f>""</f>
        <v/>
      </c>
      <c r="CV27" t="str">
        <f>""</f>
        <v/>
      </c>
      <c r="CW27" t="str">
        <f>""</f>
        <v/>
      </c>
      <c r="CX27" t="str">
        <f>""</f>
        <v/>
      </c>
      <c r="CY27" t="str">
        <f>""</f>
        <v/>
      </c>
      <c r="CZ27" t="str">
        <f>""</f>
        <v/>
      </c>
      <c r="DA27" t="str">
        <f>""</f>
        <v/>
      </c>
      <c r="DB27" t="str">
        <f>""</f>
        <v/>
      </c>
      <c r="DC27" t="str">
        <f>""</f>
        <v/>
      </c>
      <c r="DD27" t="str">
        <f>""</f>
        <v/>
      </c>
      <c r="DE27" t="str">
        <f>""</f>
        <v/>
      </c>
      <c r="DF27" t="str">
        <f>""</f>
        <v/>
      </c>
      <c r="DG27" t="str">
        <f>""</f>
        <v/>
      </c>
      <c r="DH27" t="str">
        <f>""</f>
        <v/>
      </c>
      <c r="DI27" t="str">
        <f>""</f>
        <v/>
      </c>
      <c r="DJ27" t="str">
        <f>""</f>
        <v/>
      </c>
      <c r="DK27" t="str">
        <f>""</f>
        <v/>
      </c>
      <c r="DL27" t="str">
        <f>""</f>
        <v/>
      </c>
      <c r="DM27" t="str">
        <f>""</f>
        <v/>
      </c>
      <c r="DN27" t="str">
        <f>""</f>
        <v/>
      </c>
      <c r="DO27" t="str">
        <f>""</f>
        <v/>
      </c>
      <c r="DP27" t="str">
        <f>""</f>
        <v/>
      </c>
      <c r="DQ27" t="str">
        <f>""</f>
        <v/>
      </c>
      <c r="DR27" t="str">
        <f>""</f>
        <v/>
      </c>
      <c r="DS27" t="str">
        <f>""</f>
        <v/>
      </c>
      <c r="DT27" t="str">
        <f>""</f>
        <v/>
      </c>
      <c r="DU27" t="str">
        <f>""</f>
        <v/>
      </c>
    </row>
    <row r="28" spans="1:125">
      <c r="BN28" t="str">
        <f>""</f>
        <v/>
      </c>
      <c r="BO28" t="str">
        <f>""</f>
        <v/>
      </c>
      <c r="BP28" t="str">
        <f>""</f>
        <v/>
      </c>
      <c r="BQ28" t="str">
        <f>""</f>
        <v/>
      </c>
      <c r="BR28" t="str">
        <f>""</f>
        <v/>
      </c>
      <c r="BS28" t="str">
        <f>""</f>
        <v/>
      </c>
      <c r="BT28" t="str">
        <f>""</f>
        <v/>
      </c>
      <c r="BU28" t="str">
        <f>""</f>
        <v/>
      </c>
      <c r="BV28" t="str">
        <f>""</f>
        <v/>
      </c>
      <c r="BW28" t="str">
        <f>""</f>
        <v/>
      </c>
      <c r="BX28" t="str">
        <f>""</f>
        <v/>
      </c>
      <c r="BY28" t="str">
        <f>""</f>
        <v/>
      </c>
      <c r="BZ28" t="str">
        <f>""</f>
        <v/>
      </c>
      <c r="CA28" t="str">
        <f>""</f>
        <v/>
      </c>
      <c r="CB28" t="str">
        <f>""</f>
        <v/>
      </c>
      <c r="CC28" t="str">
        <f>""</f>
        <v/>
      </c>
      <c r="CD28" t="str">
        <f>""</f>
        <v/>
      </c>
      <c r="CE28" t="str">
        <f>""</f>
        <v/>
      </c>
      <c r="CF28" t="str">
        <f>""</f>
        <v/>
      </c>
      <c r="CG28" t="str">
        <f>""</f>
        <v/>
      </c>
      <c r="CH28" t="str">
        <f>""</f>
        <v/>
      </c>
      <c r="CI28" t="str">
        <f>""</f>
        <v/>
      </c>
      <c r="CJ28" t="str">
        <f>""</f>
        <v/>
      </c>
      <c r="CK28" t="str">
        <f>""</f>
        <v/>
      </c>
      <c r="CL28" t="str">
        <f>""</f>
        <v/>
      </c>
      <c r="CM28" t="str">
        <f>""</f>
        <v/>
      </c>
      <c r="CN28" t="str">
        <f>""</f>
        <v/>
      </c>
      <c r="CO28" t="str">
        <f>""</f>
        <v/>
      </c>
      <c r="CP28" t="str">
        <f>""</f>
        <v/>
      </c>
      <c r="CQ28" t="str">
        <f>""</f>
        <v/>
      </c>
      <c r="CR28" t="str">
        <f>""</f>
        <v/>
      </c>
      <c r="CS28" t="str">
        <f>""</f>
        <v/>
      </c>
      <c r="CT28" t="str">
        <f>""</f>
        <v/>
      </c>
      <c r="CU28" t="str">
        <f>""</f>
        <v/>
      </c>
      <c r="CV28" t="str">
        <f>""</f>
        <v/>
      </c>
      <c r="CW28" t="str">
        <f>""</f>
        <v/>
      </c>
      <c r="CX28" t="str">
        <f>""</f>
        <v/>
      </c>
      <c r="CY28" t="str">
        <f>""</f>
        <v/>
      </c>
      <c r="CZ28" t="str">
        <f>""</f>
        <v/>
      </c>
      <c r="DA28" t="str">
        <f>""</f>
        <v/>
      </c>
      <c r="DB28" t="str">
        <f>""</f>
        <v/>
      </c>
      <c r="DC28" t="str">
        <f>""</f>
        <v/>
      </c>
      <c r="DD28" t="str">
        <f>""</f>
        <v/>
      </c>
      <c r="DE28" t="str">
        <f>""</f>
        <v/>
      </c>
      <c r="DF28" t="str">
        <f>""</f>
        <v/>
      </c>
      <c r="DG28" t="str">
        <f>""</f>
        <v/>
      </c>
      <c r="DH28" t="str">
        <f>""</f>
        <v/>
      </c>
      <c r="DI28" t="str">
        <f>""</f>
        <v/>
      </c>
      <c r="DJ28" t="str">
        <f>""</f>
        <v/>
      </c>
      <c r="DK28" t="str">
        <f>""</f>
        <v/>
      </c>
      <c r="DL28" t="str">
        <f>""</f>
        <v/>
      </c>
      <c r="DM28" t="str">
        <f>""</f>
        <v/>
      </c>
      <c r="DN28" t="str">
        <f>""</f>
        <v/>
      </c>
      <c r="DO28" t="str">
        <f>""</f>
        <v/>
      </c>
      <c r="DP28" t="str">
        <f>""</f>
        <v/>
      </c>
      <c r="DQ28" t="str">
        <f>""</f>
        <v/>
      </c>
      <c r="DR28" t="str">
        <f>""</f>
        <v/>
      </c>
      <c r="DS28" t="str">
        <f>""</f>
        <v/>
      </c>
      <c r="DT28" t="str">
        <f>""</f>
        <v/>
      </c>
      <c r="DU28" t="str">
        <f>""</f>
        <v/>
      </c>
    </row>
    <row r="29" spans="1:125"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  <c r="CH29" t="str">
        <f>""</f>
        <v/>
      </c>
      <c r="CI29" t="str">
        <f>""</f>
        <v/>
      </c>
      <c r="CJ29" t="str">
        <f>""</f>
        <v/>
      </c>
      <c r="CK29" t="str">
        <f>""</f>
        <v/>
      </c>
      <c r="CL29" t="str">
        <f>""</f>
        <v/>
      </c>
      <c r="CM29" t="str">
        <f>""</f>
        <v/>
      </c>
      <c r="CN29" t="str">
        <f>""</f>
        <v/>
      </c>
      <c r="CO29" t="str">
        <f>""</f>
        <v/>
      </c>
      <c r="CP29" t="str">
        <f>""</f>
        <v/>
      </c>
      <c r="CQ29" t="str">
        <f>""</f>
        <v/>
      </c>
      <c r="CR29" t="str">
        <f>""</f>
        <v/>
      </c>
      <c r="CS29" t="str">
        <f>""</f>
        <v/>
      </c>
      <c r="CT29" t="str">
        <f>""</f>
        <v/>
      </c>
      <c r="CU29" t="str">
        <f>""</f>
        <v/>
      </c>
      <c r="CV29" t="str">
        <f>""</f>
        <v/>
      </c>
      <c r="CW29" t="str">
        <f>""</f>
        <v/>
      </c>
      <c r="CX29" t="str">
        <f>""</f>
        <v/>
      </c>
      <c r="CY29" t="str">
        <f>""</f>
        <v/>
      </c>
      <c r="CZ29" t="str">
        <f>""</f>
        <v/>
      </c>
      <c r="DA29" t="str">
        <f>""</f>
        <v/>
      </c>
      <c r="DB29" t="str">
        <f>""</f>
        <v/>
      </c>
      <c r="DC29" t="str">
        <f>""</f>
        <v/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 t="str">
        <f>""</f>
        <v/>
      </c>
      <c r="DQ29" t="str">
        <f>""</f>
        <v/>
      </c>
      <c r="DR29" t="str">
        <f>""</f>
        <v/>
      </c>
      <c r="DS29" t="str">
        <f>""</f>
        <v/>
      </c>
      <c r="DT29" t="str">
        <f>""</f>
        <v/>
      </c>
      <c r="DU29" t="str">
        <f>""</f>
        <v/>
      </c>
    </row>
    <row r="30" spans="1:125">
      <c r="A30" t="str">
        <f t="shared" ref="A30:AF30" si="8">"~~~~~~~~~~"</f>
        <v>~~~~~~~~~~</v>
      </c>
      <c r="B30" t="str">
        <f t="shared" si="8"/>
        <v>~~~~~~~~~~</v>
      </c>
      <c r="C30" t="str">
        <f t="shared" si="8"/>
        <v>~~~~~~~~~~</v>
      </c>
      <c r="D30" t="str">
        <f t="shared" si="8"/>
        <v>~~~~~~~~~~</v>
      </c>
      <c r="E30" t="str">
        <f t="shared" si="8"/>
        <v>~~~~~~~~~~</v>
      </c>
      <c r="F30" t="str">
        <f t="shared" si="8"/>
        <v>~~~~~~~~~~</v>
      </c>
      <c r="G30" t="str">
        <f t="shared" si="8"/>
        <v>~~~~~~~~~~</v>
      </c>
      <c r="H30" t="str">
        <f t="shared" si="8"/>
        <v>~~~~~~~~~~</v>
      </c>
      <c r="I30" t="str">
        <f t="shared" si="8"/>
        <v>~~~~~~~~~~</v>
      </c>
      <c r="J30" t="str">
        <f t="shared" si="8"/>
        <v>~~~~~~~~~~</v>
      </c>
      <c r="K30" t="str">
        <f t="shared" si="8"/>
        <v>~~~~~~~~~~</v>
      </c>
      <c r="L30" t="str">
        <f t="shared" si="8"/>
        <v>~~~~~~~~~~</v>
      </c>
      <c r="M30" t="str">
        <f t="shared" si="8"/>
        <v>~~~~~~~~~~</v>
      </c>
      <c r="N30" t="str">
        <f t="shared" si="8"/>
        <v>~~~~~~~~~~</v>
      </c>
      <c r="O30" t="str">
        <f t="shared" si="8"/>
        <v>~~~~~~~~~~</v>
      </c>
      <c r="P30" t="str">
        <f t="shared" si="8"/>
        <v>~~~~~~~~~~</v>
      </c>
      <c r="Q30" t="str">
        <f t="shared" si="8"/>
        <v>~~~~~~~~~~</v>
      </c>
      <c r="R30" t="str">
        <f t="shared" si="8"/>
        <v>~~~~~~~~~~</v>
      </c>
      <c r="S30" t="str">
        <f t="shared" si="8"/>
        <v>~~~~~~~~~~</v>
      </c>
      <c r="T30" t="str">
        <f t="shared" si="8"/>
        <v>~~~~~~~~~~</v>
      </c>
      <c r="U30" t="str">
        <f t="shared" si="8"/>
        <v>~~~~~~~~~~</v>
      </c>
      <c r="V30" t="str">
        <f t="shared" si="8"/>
        <v>~~~~~~~~~~</v>
      </c>
      <c r="W30" t="str">
        <f t="shared" si="8"/>
        <v>~~~~~~~~~~</v>
      </c>
      <c r="X30" t="str">
        <f t="shared" si="8"/>
        <v>~~~~~~~~~~</v>
      </c>
      <c r="Y30" t="str">
        <f t="shared" si="8"/>
        <v>~~~~~~~~~~</v>
      </c>
      <c r="Z30" t="str">
        <f t="shared" si="8"/>
        <v>~~~~~~~~~~</v>
      </c>
      <c r="AA30" t="str">
        <f t="shared" si="8"/>
        <v>~~~~~~~~~~</v>
      </c>
      <c r="AB30" t="str">
        <f t="shared" si="8"/>
        <v>~~~~~~~~~~</v>
      </c>
      <c r="AC30" t="str">
        <f t="shared" si="8"/>
        <v>~~~~~~~~~~</v>
      </c>
      <c r="AD30" t="str">
        <f t="shared" si="8"/>
        <v>~~~~~~~~~~</v>
      </c>
      <c r="AE30" t="str">
        <f t="shared" si="8"/>
        <v>~~~~~~~~~~</v>
      </c>
      <c r="AF30" t="str">
        <f t="shared" si="8"/>
        <v>~~~~~~~~~~</v>
      </c>
      <c r="AG30" t="str">
        <f t="shared" ref="AG30:BM30" si="9">"~~~~~~~~~~"</f>
        <v>~~~~~~~~~~</v>
      </c>
      <c r="AH30" t="str">
        <f t="shared" si="9"/>
        <v>~~~~~~~~~~</v>
      </c>
      <c r="AI30" t="str">
        <f t="shared" si="9"/>
        <v>~~~~~~~~~~</v>
      </c>
      <c r="AJ30" t="str">
        <f t="shared" si="9"/>
        <v>~~~~~~~~~~</v>
      </c>
      <c r="AK30" t="str">
        <f t="shared" si="9"/>
        <v>~~~~~~~~~~</v>
      </c>
      <c r="AL30" t="str">
        <f t="shared" si="9"/>
        <v>~~~~~~~~~~</v>
      </c>
      <c r="AM30" t="str">
        <f t="shared" si="9"/>
        <v>~~~~~~~~~~</v>
      </c>
      <c r="AN30" t="str">
        <f t="shared" si="9"/>
        <v>~~~~~~~~~~</v>
      </c>
      <c r="AO30" t="str">
        <f t="shared" si="9"/>
        <v>~~~~~~~~~~</v>
      </c>
      <c r="AP30" t="str">
        <f t="shared" si="9"/>
        <v>~~~~~~~~~~</v>
      </c>
      <c r="AQ30" t="str">
        <f t="shared" si="9"/>
        <v>~~~~~~~~~~</v>
      </c>
      <c r="AR30" t="str">
        <f t="shared" si="9"/>
        <v>~~~~~~~~~~</v>
      </c>
      <c r="AS30" t="str">
        <f t="shared" si="9"/>
        <v>~~~~~~~~~~</v>
      </c>
      <c r="AT30" t="str">
        <f t="shared" si="9"/>
        <v>~~~~~~~~~~</v>
      </c>
      <c r="AU30" t="str">
        <f t="shared" si="9"/>
        <v>~~~~~~~~~~</v>
      </c>
      <c r="AV30" t="str">
        <f t="shared" si="9"/>
        <v>~~~~~~~~~~</v>
      </c>
      <c r="AW30" t="str">
        <f t="shared" si="9"/>
        <v>~~~~~~~~~~</v>
      </c>
      <c r="AX30" t="str">
        <f t="shared" si="9"/>
        <v>~~~~~~~~~~</v>
      </c>
      <c r="AY30" t="str">
        <f t="shared" si="9"/>
        <v>~~~~~~~~~~</v>
      </c>
      <c r="AZ30" t="str">
        <f t="shared" si="9"/>
        <v>~~~~~~~~~~</v>
      </c>
      <c r="BA30" t="str">
        <f t="shared" si="9"/>
        <v>~~~~~~~~~~</v>
      </c>
      <c r="BB30" t="str">
        <f t="shared" si="9"/>
        <v>~~~~~~~~~~</v>
      </c>
      <c r="BC30" t="str">
        <f t="shared" si="9"/>
        <v>~~~~~~~~~~</v>
      </c>
      <c r="BD30" t="str">
        <f t="shared" si="9"/>
        <v>~~~~~~~~~~</v>
      </c>
      <c r="BE30" t="str">
        <f t="shared" si="9"/>
        <v>~~~~~~~~~~</v>
      </c>
      <c r="BF30" t="str">
        <f t="shared" si="9"/>
        <v>~~~~~~~~~~</v>
      </c>
      <c r="BG30" t="str">
        <f t="shared" si="9"/>
        <v>~~~~~~~~~~</v>
      </c>
      <c r="BH30" t="str">
        <f t="shared" si="9"/>
        <v>~~~~~~~~~~</v>
      </c>
      <c r="BI30" t="str">
        <f t="shared" si="9"/>
        <v>~~~~~~~~~~</v>
      </c>
      <c r="BJ30" t="str">
        <f t="shared" si="9"/>
        <v>~~~~~~~~~~</v>
      </c>
      <c r="BK30" t="str">
        <f t="shared" si="9"/>
        <v>~~~~~~~~~~</v>
      </c>
      <c r="BL30" t="str">
        <f t="shared" si="9"/>
        <v>~~~~~~~~~~</v>
      </c>
      <c r="BM30" t="str">
        <f t="shared" si="9"/>
        <v>~~~~~~~~~~</v>
      </c>
      <c r="BN30" t="str">
        <f>""</f>
        <v/>
      </c>
      <c r="BO30" t="str">
        <f>""</f>
        <v/>
      </c>
      <c r="BP30" t="str">
        <f>""</f>
        <v/>
      </c>
      <c r="BQ30" t="str">
        <f>""</f>
        <v/>
      </c>
      <c r="BR30" t="str">
        <f>""</f>
        <v/>
      </c>
      <c r="BS30" t="str">
        <f>""</f>
        <v/>
      </c>
      <c r="BT30" t="str">
        <f>""</f>
        <v/>
      </c>
      <c r="BU30" t="str">
        <f>""</f>
        <v/>
      </c>
      <c r="BV30" t="str">
        <f>""</f>
        <v/>
      </c>
      <c r="BW30" t="str">
        <f>""</f>
        <v/>
      </c>
      <c r="BX30" t="str">
        <f>""</f>
        <v/>
      </c>
      <c r="BY30" t="str">
        <f>""</f>
        <v/>
      </c>
      <c r="BZ30" t="str">
        <f>""</f>
        <v/>
      </c>
      <c r="CA30" t="str">
        <f>""</f>
        <v/>
      </c>
      <c r="CB30" t="str">
        <f>""</f>
        <v/>
      </c>
      <c r="CC30" t="str">
        <f>""</f>
        <v/>
      </c>
      <c r="CD30" t="str">
        <f>""</f>
        <v/>
      </c>
      <c r="CE30" t="str">
        <f>""</f>
        <v/>
      </c>
      <c r="CF30" t="str">
        <f>""</f>
        <v/>
      </c>
      <c r="CG30" t="str">
        <f>""</f>
        <v/>
      </c>
      <c r="CH30" t="str">
        <f>""</f>
        <v/>
      </c>
      <c r="CI30" t="str">
        <f>""</f>
        <v/>
      </c>
      <c r="CJ30" t="str">
        <f>""</f>
        <v/>
      </c>
      <c r="CK30" t="str">
        <f>""</f>
        <v/>
      </c>
      <c r="CL30" t="str">
        <f>""</f>
        <v/>
      </c>
      <c r="CM30" t="str">
        <f>""</f>
        <v/>
      </c>
      <c r="CN30" t="str">
        <f>""</f>
        <v/>
      </c>
      <c r="CO30" t="str">
        <f>""</f>
        <v/>
      </c>
      <c r="CP30" t="str">
        <f>""</f>
        <v/>
      </c>
      <c r="CQ30" t="str">
        <f>""</f>
        <v/>
      </c>
      <c r="CR30" t="str">
        <f>""</f>
        <v/>
      </c>
      <c r="CS30" t="str">
        <f>""</f>
        <v/>
      </c>
      <c r="CT30" t="str">
        <f>""</f>
        <v/>
      </c>
      <c r="CU30" t="str">
        <f>""</f>
        <v/>
      </c>
      <c r="CV30" t="str">
        <f>""</f>
        <v/>
      </c>
      <c r="CW30" t="str">
        <f>""</f>
        <v/>
      </c>
      <c r="CX30" t="str">
        <f>""</f>
        <v/>
      </c>
      <c r="CY30" t="str">
        <f>""</f>
        <v/>
      </c>
      <c r="CZ30" t="str">
        <f>""</f>
        <v/>
      </c>
      <c r="DA30" t="str">
        <f>""</f>
        <v/>
      </c>
      <c r="DB30" t="str">
        <f>""</f>
        <v/>
      </c>
      <c r="DC30" t="str">
        <f>""</f>
        <v/>
      </c>
      <c r="DD30" t="str">
        <f>""</f>
        <v/>
      </c>
      <c r="DE30" t="str">
        <f>""</f>
        <v/>
      </c>
      <c r="DF30" t="str">
        <f>""</f>
        <v/>
      </c>
      <c r="DG30" t="str">
        <f>""</f>
        <v/>
      </c>
      <c r="DH30" t="str">
        <f>""</f>
        <v/>
      </c>
      <c r="DI30" t="str">
        <f>""</f>
        <v/>
      </c>
      <c r="DJ30" t="str">
        <f>""</f>
        <v/>
      </c>
      <c r="DK30" t="str">
        <f>""</f>
        <v/>
      </c>
      <c r="DL30" t="str">
        <f>""</f>
        <v/>
      </c>
      <c r="DM30" t="str">
        <f>""</f>
        <v/>
      </c>
      <c r="DN30" t="str">
        <f>""</f>
        <v/>
      </c>
      <c r="DO30" t="str">
        <f>""</f>
        <v/>
      </c>
      <c r="DP30" t="str">
        <f>""</f>
        <v/>
      </c>
      <c r="DQ30" t="str">
        <f>""</f>
        <v/>
      </c>
      <c r="DR30" t="str">
        <f>""</f>
        <v/>
      </c>
      <c r="DS30" t="str">
        <f>""</f>
        <v/>
      </c>
      <c r="DT30" t="str">
        <f>""</f>
        <v/>
      </c>
      <c r="DU30" t="str">
        <f>""</f>
        <v/>
      </c>
    </row>
    <row r="31" spans="1:125">
      <c r="A31" t="str">
        <f>"通过上面公式行而添加下列所有数据行以供参考之用。"</f>
        <v>通过上面公式行而添加下列所有数据行以供参考之用。</v>
      </c>
      <c r="BN31" t="str">
        <f>""</f>
        <v/>
      </c>
      <c r="BO31" t="str">
        <f>""</f>
        <v/>
      </c>
      <c r="BP31" t="str">
        <f>""</f>
        <v/>
      </c>
      <c r="BQ31" t="str">
        <f>""</f>
        <v/>
      </c>
      <c r="BR31" t="str">
        <f>""</f>
        <v/>
      </c>
      <c r="BS31" t="str">
        <f>""</f>
        <v/>
      </c>
      <c r="BT31" t="str">
        <f>""</f>
        <v/>
      </c>
      <c r="BU31" t="str">
        <f>""</f>
        <v/>
      </c>
      <c r="BV31" t="str">
        <f>""</f>
        <v/>
      </c>
      <c r="BW31" t="str">
        <f>""</f>
        <v/>
      </c>
      <c r="BX31" t="str">
        <f>""</f>
        <v/>
      </c>
      <c r="BY31" t="str">
        <f>""</f>
        <v/>
      </c>
      <c r="BZ31" t="str">
        <f>""</f>
        <v/>
      </c>
      <c r="CA31" t="str">
        <f>""</f>
        <v/>
      </c>
      <c r="CB31" t="str">
        <f>""</f>
        <v/>
      </c>
      <c r="CC31" t="str">
        <f>""</f>
        <v/>
      </c>
      <c r="CD31" t="str">
        <f>""</f>
        <v/>
      </c>
      <c r="CE31" t="str">
        <f>""</f>
        <v/>
      </c>
      <c r="CF31" t="str">
        <f>""</f>
        <v/>
      </c>
      <c r="CG31" t="str">
        <f>""</f>
        <v/>
      </c>
      <c r="CH31" t="str">
        <f>""</f>
        <v/>
      </c>
      <c r="CI31" t="str">
        <f>""</f>
        <v/>
      </c>
      <c r="CJ31" t="str">
        <f>""</f>
        <v/>
      </c>
      <c r="CK31" t="str">
        <f>""</f>
        <v/>
      </c>
      <c r="CL31" t="str">
        <f>""</f>
        <v/>
      </c>
      <c r="CM31" t="str">
        <f>""</f>
        <v/>
      </c>
      <c r="CN31" t="str">
        <f>""</f>
        <v/>
      </c>
      <c r="CO31" t="str">
        <f>""</f>
        <v/>
      </c>
      <c r="CP31" t="str">
        <f>""</f>
        <v/>
      </c>
      <c r="CQ31" t="str">
        <f>""</f>
        <v/>
      </c>
      <c r="CR31" t="str">
        <f>""</f>
        <v/>
      </c>
      <c r="CS31" t="str">
        <f>""</f>
        <v/>
      </c>
      <c r="CT31" t="str">
        <f>""</f>
        <v/>
      </c>
      <c r="CU31" t="str">
        <f>""</f>
        <v/>
      </c>
      <c r="CV31" t="str">
        <f>""</f>
        <v/>
      </c>
      <c r="CW31" t="str">
        <f>""</f>
        <v/>
      </c>
      <c r="CX31" t="str">
        <f>""</f>
        <v/>
      </c>
      <c r="CY31" t="str">
        <f>""</f>
        <v/>
      </c>
      <c r="CZ31" t="str">
        <f>""</f>
        <v/>
      </c>
      <c r="DA31" t="str">
        <f>""</f>
        <v/>
      </c>
      <c r="DB31" t="str">
        <f>""</f>
        <v/>
      </c>
      <c r="DC31" t="str">
        <f>""</f>
        <v/>
      </c>
      <c r="DD31" t="str">
        <f>""</f>
        <v/>
      </c>
      <c r="DE31" t="str">
        <f>""</f>
        <v/>
      </c>
      <c r="DF31" t="str">
        <f>""</f>
        <v/>
      </c>
      <c r="DG31" t="str">
        <f>""</f>
        <v/>
      </c>
      <c r="DH31" t="str">
        <f>""</f>
        <v/>
      </c>
      <c r="DI31" t="str">
        <f>""</f>
        <v/>
      </c>
      <c r="DJ31" t="str">
        <f>""</f>
        <v/>
      </c>
      <c r="DK31" t="str">
        <f>""</f>
        <v/>
      </c>
      <c r="DL31" t="str">
        <f>""</f>
        <v/>
      </c>
      <c r="DM31" t="str">
        <f>""</f>
        <v/>
      </c>
      <c r="DN31" t="str">
        <f>""</f>
        <v/>
      </c>
      <c r="DO31" t="str">
        <f>""</f>
        <v/>
      </c>
      <c r="DP31" t="str">
        <f>""</f>
        <v/>
      </c>
      <c r="DQ31" t="str">
        <f>""</f>
        <v/>
      </c>
      <c r="DR31" t="str">
        <f>""</f>
        <v/>
      </c>
      <c r="DS31" t="str">
        <f>""</f>
        <v/>
      </c>
      <c r="DT31" t="str">
        <f>""</f>
        <v/>
      </c>
      <c r="DU31" t="str">
        <f>""</f>
        <v/>
      </c>
    </row>
    <row r="32" spans="1:125">
      <c r="A32">
        <f>RTD("bloomberg.ccyreader", "", "#track", "DBG", "BIHITX", "1.0","RepeatHit")</f>
        <v>0</v>
      </c>
      <c r="BN32" t="str">
        <f>""</f>
        <v/>
      </c>
      <c r="BO32" t="str">
        <f>""</f>
        <v/>
      </c>
      <c r="BP32" t="str">
        <f>""</f>
        <v/>
      </c>
      <c r="BQ32" t="str">
        <f>""</f>
        <v/>
      </c>
      <c r="BR32" t="str">
        <f>""</f>
        <v/>
      </c>
      <c r="BS32" t="str">
        <f>""</f>
        <v/>
      </c>
      <c r="BT32" t="str">
        <f>""</f>
        <v/>
      </c>
      <c r="BU32" t="str">
        <f>""</f>
        <v/>
      </c>
      <c r="BV32" t="str">
        <f>""</f>
        <v/>
      </c>
      <c r="BW32" t="str">
        <f>""</f>
        <v/>
      </c>
      <c r="BX32" t="str">
        <f>""</f>
        <v/>
      </c>
      <c r="BY32" t="str">
        <f>""</f>
        <v/>
      </c>
      <c r="BZ32" t="str">
        <f>""</f>
        <v/>
      </c>
      <c r="CA32" t="str">
        <f>""</f>
        <v/>
      </c>
      <c r="CB32" t="str">
        <f>""</f>
        <v/>
      </c>
      <c r="CC32" t="str">
        <f>""</f>
        <v/>
      </c>
      <c r="CD32" t="str">
        <f>""</f>
        <v/>
      </c>
      <c r="CE32" t="str">
        <f>""</f>
        <v/>
      </c>
      <c r="CF32" t="str">
        <f>""</f>
        <v/>
      </c>
      <c r="CG32" t="str">
        <f>""</f>
        <v/>
      </c>
      <c r="CH32" t="str">
        <f>""</f>
        <v/>
      </c>
      <c r="CI32" t="str">
        <f>""</f>
        <v/>
      </c>
      <c r="CJ32" t="str">
        <f>""</f>
        <v/>
      </c>
      <c r="CK32" t="str">
        <f>""</f>
        <v/>
      </c>
      <c r="CL32" t="str">
        <f>""</f>
        <v/>
      </c>
      <c r="CM32" t="str">
        <f>""</f>
        <v/>
      </c>
      <c r="CN32" t="str">
        <f>""</f>
        <v/>
      </c>
      <c r="CO32" t="str">
        <f>""</f>
        <v/>
      </c>
      <c r="CP32" t="str">
        <f>""</f>
        <v/>
      </c>
      <c r="CQ32" t="str">
        <f>""</f>
        <v/>
      </c>
      <c r="CR32" t="str">
        <f>""</f>
        <v/>
      </c>
      <c r="CS32" t="str">
        <f>""</f>
        <v/>
      </c>
      <c r="CT32" t="str">
        <f>""</f>
        <v/>
      </c>
      <c r="CU32" t="str">
        <f>""</f>
        <v/>
      </c>
      <c r="CV32" t="str">
        <f>""</f>
        <v/>
      </c>
      <c r="CW32" t="str">
        <f>""</f>
        <v/>
      </c>
      <c r="CX32" t="str">
        <f>""</f>
        <v/>
      </c>
      <c r="CY32" t="str">
        <f>""</f>
        <v/>
      </c>
      <c r="CZ32" t="str">
        <f>""</f>
        <v/>
      </c>
      <c r="DA32" t="str">
        <f>""</f>
        <v/>
      </c>
      <c r="DB32" t="str">
        <f>""</f>
        <v/>
      </c>
      <c r="DC32" t="str">
        <f>""</f>
        <v/>
      </c>
      <c r="DD32" t="str">
        <f>""</f>
        <v/>
      </c>
      <c r="DE32" t="str">
        <f>""</f>
        <v/>
      </c>
      <c r="DF32" t="str">
        <f>""</f>
        <v/>
      </c>
      <c r="DG32" t="str">
        <f>""</f>
        <v/>
      </c>
      <c r="DH32" t="str">
        <f>""</f>
        <v/>
      </c>
      <c r="DI32" t="str">
        <f>""</f>
        <v/>
      </c>
      <c r="DJ32" t="str">
        <f>""</f>
        <v/>
      </c>
      <c r="DK32" t="str">
        <f>""</f>
        <v/>
      </c>
      <c r="DL32" t="str">
        <f>""</f>
        <v/>
      </c>
      <c r="DM32" t="str">
        <f>""</f>
        <v/>
      </c>
      <c r="DN32" t="str">
        <f>""</f>
        <v/>
      </c>
      <c r="DO32" t="str">
        <f>""</f>
        <v/>
      </c>
      <c r="DP32" t="str">
        <f>""</f>
        <v/>
      </c>
      <c r="DQ32" t="str">
        <f>""</f>
        <v/>
      </c>
      <c r="DR32" t="str">
        <f>""</f>
        <v/>
      </c>
      <c r="DS32" t="str">
        <f>""</f>
        <v/>
      </c>
      <c r="DT32" t="str">
        <f>""</f>
        <v/>
      </c>
      <c r="DU32" t="str">
        <f>""</f>
        <v/>
      </c>
    </row>
    <row r="33" spans="1:125">
      <c r="A33" t="str">
        <f>"货币"</f>
        <v>货币</v>
      </c>
      <c r="B33" t="str">
        <f>"USD"</f>
        <v>USD</v>
      </c>
      <c r="BN33" t="str">
        <f>""</f>
        <v/>
      </c>
      <c r="BO33" t="str">
        <f>""</f>
        <v/>
      </c>
      <c r="BP33" t="str">
        <f>""</f>
        <v/>
      </c>
      <c r="BQ33" t="str">
        <f>""</f>
        <v/>
      </c>
      <c r="BR33" t="str">
        <f>""</f>
        <v/>
      </c>
      <c r="BS33" t="str">
        <f>""</f>
        <v/>
      </c>
      <c r="BT33" t="str">
        <f>""</f>
        <v/>
      </c>
      <c r="BU33" t="str">
        <f>""</f>
        <v/>
      </c>
      <c r="BV33" t="str">
        <f>""</f>
        <v/>
      </c>
      <c r="BW33" t="str">
        <f>""</f>
        <v/>
      </c>
      <c r="BX33" t="str">
        <f>""</f>
        <v/>
      </c>
      <c r="BY33" t="str">
        <f>""</f>
        <v/>
      </c>
      <c r="BZ33" t="str">
        <f>""</f>
        <v/>
      </c>
      <c r="CA33" t="str">
        <f>""</f>
        <v/>
      </c>
      <c r="CB33" t="str">
        <f>""</f>
        <v/>
      </c>
      <c r="CC33" t="str">
        <f>""</f>
        <v/>
      </c>
      <c r="CD33" t="str">
        <f>""</f>
        <v/>
      </c>
      <c r="CE33" t="str">
        <f>""</f>
        <v/>
      </c>
      <c r="CF33" t="str">
        <f>""</f>
        <v/>
      </c>
      <c r="CG33" t="str">
        <f>""</f>
        <v/>
      </c>
      <c r="CH33" t="str">
        <f>""</f>
        <v/>
      </c>
      <c r="CI33" t="str">
        <f>""</f>
        <v/>
      </c>
      <c r="CJ33" t="str">
        <f>""</f>
        <v/>
      </c>
      <c r="CK33" t="str">
        <f>""</f>
        <v/>
      </c>
      <c r="CL33" t="str">
        <f>""</f>
        <v/>
      </c>
      <c r="CM33" t="str">
        <f>""</f>
        <v/>
      </c>
      <c r="CN33" t="str">
        <f>""</f>
        <v/>
      </c>
      <c r="CO33" t="str">
        <f>""</f>
        <v/>
      </c>
      <c r="CP33" t="str">
        <f>""</f>
        <v/>
      </c>
      <c r="CQ33" t="str">
        <f>""</f>
        <v/>
      </c>
      <c r="CR33" t="str">
        <f>""</f>
        <v/>
      </c>
      <c r="CS33" t="str">
        <f>""</f>
        <v/>
      </c>
      <c r="CT33" t="str">
        <f>""</f>
        <v/>
      </c>
      <c r="CU33" t="str">
        <f>""</f>
        <v/>
      </c>
      <c r="CV33" t="str">
        <f>""</f>
        <v/>
      </c>
      <c r="CW33" t="str">
        <f>""</f>
        <v/>
      </c>
      <c r="CX33" t="str">
        <f>""</f>
        <v/>
      </c>
      <c r="CY33" t="str">
        <f>""</f>
        <v/>
      </c>
      <c r="CZ33" t="str">
        <f>""</f>
        <v/>
      </c>
      <c r="DA33" t="str">
        <f>""</f>
        <v/>
      </c>
      <c r="DB33" t="str">
        <f>""</f>
        <v/>
      </c>
      <c r="DC33" t="str">
        <f>""</f>
        <v/>
      </c>
      <c r="DD33" t="str">
        <f>""</f>
        <v/>
      </c>
      <c r="DE33" t="str">
        <f>""</f>
        <v/>
      </c>
      <c r="DF33" t="str">
        <f>""</f>
        <v/>
      </c>
      <c r="DG33" t="str">
        <f>""</f>
        <v/>
      </c>
      <c r="DH33" t="str">
        <f>""</f>
        <v/>
      </c>
      <c r="DI33" t="str">
        <f>""</f>
        <v/>
      </c>
      <c r="DJ33" t="str">
        <f>""</f>
        <v/>
      </c>
      <c r="DK33" t="str">
        <f>""</f>
        <v/>
      </c>
      <c r="DL33" t="str">
        <f>""</f>
        <v/>
      </c>
      <c r="DM33" t="str">
        <f>""</f>
        <v/>
      </c>
      <c r="DN33" t="str">
        <f>""</f>
        <v/>
      </c>
      <c r="DO33" t="str">
        <f>""</f>
        <v/>
      </c>
      <c r="DP33" t="str">
        <f>""</f>
        <v/>
      </c>
      <c r="DQ33" t="str">
        <f>""</f>
        <v/>
      </c>
      <c r="DR33" t="str">
        <f>""</f>
        <v/>
      </c>
      <c r="DS33" t="str">
        <f>""</f>
        <v/>
      </c>
      <c r="DT33" t="str">
        <f>""</f>
        <v/>
      </c>
      <c r="DU33" t="str">
        <f>""</f>
        <v/>
      </c>
    </row>
    <row r="34" spans="1:125">
      <c r="A34" t="str">
        <f>"周期"</f>
        <v>周期</v>
      </c>
      <c r="B34" t="str">
        <f>"CQ"</f>
        <v>CQ</v>
      </c>
      <c r="C34" t="str">
        <f>"AQ"</f>
        <v>AQ</v>
      </c>
      <c r="BN34" t="str">
        <f>""</f>
        <v/>
      </c>
      <c r="BO34" t="str">
        <f>""</f>
        <v/>
      </c>
      <c r="BP34" t="str">
        <f>""</f>
        <v/>
      </c>
      <c r="BQ34" t="str">
        <f>""</f>
        <v/>
      </c>
      <c r="BR34" t="str">
        <f>""</f>
        <v/>
      </c>
      <c r="BS34" t="str">
        <f>""</f>
        <v/>
      </c>
      <c r="BT34" t="str">
        <f>""</f>
        <v/>
      </c>
      <c r="BU34" t="str">
        <f>""</f>
        <v/>
      </c>
      <c r="BV34" t="str">
        <f>""</f>
        <v/>
      </c>
      <c r="BW34" t="str">
        <f>""</f>
        <v/>
      </c>
      <c r="BX34" t="str">
        <f>""</f>
        <v/>
      </c>
      <c r="BY34" t="str">
        <f>""</f>
        <v/>
      </c>
      <c r="BZ34" t="str">
        <f>""</f>
        <v/>
      </c>
      <c r="CA34" t="str">
        <f>""</f>
        <v/>
      </c>
      <c r="CB34" t="str">
        <f>""</f>
        <v/>
      </c>
      <c r="CC34" t="str">
        <f>""</f>
        <v/>
      </c>
      <c r="CD34" t="str">
        <f>""</f>
        <v/>
      </c>
      <c r="CE34" t="str">
        <f>""</f>
        <v/>
      </c>
      <c r="CF34" t="str">
        <f>""</f>
        <v/>
      </c>
      <c r="CG34" t="str">
        <f>""</f>
        <v/>
      </c>
      <c r="CH34" t="str">
        <f>""</f>
        <v/>
      </c>
      <c r="CI34" t="str">
        <f>""</f>
        <v/>
      </c>
      <c r="CJ34" t="str">
        <f>""</f>
        <v/>
      </c>
      <c r="CK34" t="str">
        <f>""</f>
        <v/>
      </c>
      <c r="CL34" t="str">
        <f>""</f>
        <v/>
      </c>
      <c r="CM34" t="str">
        <f>""</f>
        <v/>
      </c>
      <c r="CN34" t="str">
        <f>""</f>
        <v/>
      </c>
      <c r="CO34" t="str">
        <f>""</f>
        <v/>
      </c>
      <c r="CP34" t="str">
        <f>""</f>
        <v/>
      </c>
      <c r="CQ34" t="str">
        <f>""</f>
        <v/>
      </c>
      <c r="CR34" t="str">
        <f>""</f>
        <v/>
      </c>
      <c r="CS34" t="str">
        <f>""</f>
        <v/>
      </c>
      <c r="CT34" t="str">
        <f>""</f>
        <v/>
      </c>
      <c r="CU34" t="str">
        <f>""</f>
        <v/>
      </c>
      <c r="CV34" t="str">
        <f>""</f>
        <v/>
      </c>
      <c r="CW34" t="str">
        <f>""</f>
        <v/>
      </c>
      <c r="CX34" t="str">
        <f>""</f>
        <v/>
      </c>
      <c r="CY34" t="str">
        <f>""</f>
        <v/>
      </c>
      <c r="CZ34" t="str">
        <f>""</f>
        <v/>
      </c>
      <c r="DA34" t="str">
        <f>""</f>
        <v/>
      </c>
      <c r="DB34" t="str">
        <f>""</f>
        <v/>
      </c>
      <c r="DC34" t="str">
        <f>""</f>
        <v/>
      </c>
      <c r="DD34" t="str">
        <f>""</f>
        <v/>
      </c>
      <c r="DE34" t="str">
        <f>""</f>
        <v/>
      </c>
      <c r="DF34" t="str">
        <f>""</f>
        <v/>
      </c>
      <c r="DG34" t="str">
        <f>""</f>
        <v/>
      </c>
      <c r="DH34" t="str">
        <f>""</f>
        <v/>
      </c>
      <c r="DI34" t="str">
        <f>""</f>
        <v/>
      </c>
      <c r="DJ34" t="str">
        <f>""</f>
        <v/>
      </c>
      <c r="DK34" t="str">
        <f>""</f>
        <v/>
      </c>
      <c r="DL34" t="str">
        <f>""</f>
        <v/>
      </c>
      <c r="DM34" t="str">
        <f>""</f>
        <v/>
      </c>
      <c r="DN34" t="str">
        <f>""</f>
        <v/>
      </c>
      <c r="DO34" t="str">
        <f>""</f>
        <v/>
      </c>
      <c r="DP34" t="str">
        <f>""</f>
        <v/>
      </c>
      <c r="DQ34" t="str">
        <f>""</f>
        <v/>
      </c>
      <c r="DR34" t="str">
        <f>""</f>
        <v/>
      </c>
      <c r="DS34" t="str">
        <f>""</f>
        <v/>
      </c>
      <c r="DT34" t="str">
        <f>""</f>
        <v/>
      </c>
      <c r="DU34" t="str">
        <f>""</f>
        <v/>
      </c>
    </row>
    <row r="35" spans="1:125">
      <c r="A35" t="str">
        <f>"周期数"</f>
        <v>周期数</v>
      </c>
      <c r="B35">
        <f>60</f>
        <v>60</v>
      </c>
      <c r="BN35" t="str">
        <f>""</f>
        <v/>
      </c>
      <c r="BO35" t="str">
        <f>""</f>
        <v/>
      </c>
      <c r="BP35" t="str">
        <f>""</f>
        <v/>
      </c>
      <c r="BQ35" t="str">
        <f>""</f>
        <v/>
      </c>
      <c r="BR35" t="str">
        <f>""</f>
        <v/>
      </c>
      <c r="BS35" t="str">
        <f>""</f>
        <v/>
      </c>
      <c r="BT35" t="str">
        <f>""</f>
        <v/>
      </c>
      <c r="BU35" t="str">
        <f>""</f>
        <v/>
      </c>
      <c r="BV35" t="str">
        <f>""</f>
        <v/>
      </c>
      <c r="BW35" t="str">
        <f>""</f>
        <v/>
      </c>
      <c r="BX35" t="str">
        <f>""</f>
        <v/>
      </c>
      <c r="BY35" t="str">
        <f>""</f>
        <v/>
      </c>
      <c r="BZ35" t="str">
        <f>""</f>
        <v/>
      </c>
      <c r="CA35" t="str">
        <f>""</f>
        <v/>
      </c>
      <c r="CB35" t="str">
        <f>""</f>
        <v/>
      </c>
      <c r="CC35" t="str">
        <f>""</f>
        <v/>
      </c>
      <c r="CD35" t="str">
        <f>""</f>
        <v/>
      </c>
      <c r="CE35" t="str">
        <f>""</f>
        <v/>
      </c>
      <c r="CF35" t="str">
        <f>""</f>
        <v/>
      </c>
      <c r="CG35" t="str">
        <f>""</f>
        <v/>
      </c>
      <c r="CH35" t="str">
        <f>""</f>
        <v/>
      </c>
      <c r="CI35" t="str">
        <f>""</f>
        <v/>
      </c>
      <c r="CJ35" t="str">
        <f>""</f>
        <v/>
      </c>
      <c r="CK35" t="str">
        <f>""</f>
        <v/>
      </c>
      <c r="CL35" t="str">
        <f>""</f>
        <v/>
      </c>
      <c r="CM35" t="str">
        <f>""</f>
        <v/>
      </c>
      <c r="CN35" t="str">
        <f>""</f>
        <v/>
      </c>
      <c r="CO35" t="str">
        <f>""</f>
        <v/>
      </c>
      <c r="CP35" t="str">
        <f>""</f>
        <v/>
      </c>
      <c r="CQ35" t="str">
        <f>""</f>
        <v/>
      </c>
      <c r="CR35" t="str">
        <f>""</f>
        <v/>
      </c>
      <c r="CS35" t="str">
        <f>""</f>
        <v/>
      </c>
      <c r="CT35" t="str">
        <f>""</f>
        <v/>
      </c>
      <c r="CU35" t="str">
        <f>""</f>
        <v/>
      </c>
      <c r="CV35" t="str">
        <f>""</f>
        <v/>
      </c>
      <c r="CW35" t="str">
        <f>""</f>
        <v/>
      </c>
      <c r="CX35" t="str">
        <f>""</f>
        <v/>
      </c>
      <c r="CY35" t="str">
        <f>""</f>
        <v/>
      </c>
      <c r="CZ35" t="str">
        <f>""</f>
        <v/>
      </c>
      <c r="DA35" t="str">
        <f>""</f>
        <v/>
      </c>
      <c r="DB35" t="str">
        <f>""</f>
        <v/>
      </c>
      <c r="DC35" t="str">
        <f>""</f>
        <v/>
      </c>
      <c r="DD35" t="str">
        <f>""</f>
        <v/>
      </c>
      <c r="DE35" t="str">
        <f>""</f>
        <v/>
      </c>
      <c r="DF35" t="str">
        <f>""</f>
        <v/>
      </c>
      <c r="DG35" t="str">
        <f>""</f>
        <v/>
      </c>
      <c r="DH35" t="str">
        <f>""</f>
        <v/>
      </c>
      <c r="DI35" t="str">
        <f>""</f>
        <v/>
      </c>
      <c r="DJ35" t="str">
        <f>""</f>
        <v/>
      </c>
      <c r="DK35" t="str">
        <f>""</f>
        <v/>
      </c>
      <c r="DL35" t="str">
        <f>""</f>
        <v/>
      </c>
      <c r="DM35" t="str">
        <f>""</f>
        <v/>
      </c>
      <c r="DN35" t="str">
        <f>""</f>
        <v/>
      </c>
      <c r="DO35" t="str">
        <f>""</f>
        <v/>
      </c>
      <c r="DP35" t="str">
        <f>""</f>
        <v/>
      </c>
      <c r="DQ35" t="str">
        <f>""</f>
        <v/>
      </c>
      <c r="DR35" t="str">
        <f>""</f>
        <v/>
      </c>
      <c r="DS35" t="str">
        <f>""</f>
        <v/>
      </c>
      <c r="DT35" t="str">
        <f>""</f>
        <v/>
      </c>
      <c r="DU35" t="str">
        <f>""</f>
        <v/>
      </c>
    </row>
    <row r="36" spans="1:125">
      <c r="A36" t="str">
        <f>"起始日期"</f>
        <v>起始日期</v>
      </c>
      <c r="B36" t="str">
        <f>CONCATENATE("-",$B$35,$B$34)</f>
        <v>-60CQ</v>
      </c>
      <c r="C36" t="str">
        <f>CONCATENATE("-",$B$35,$C$34)</f>
        <v>-60AQ</v>
      </c>
      <c r="BN36" t="str">
        <f>""</f>
        <v/>
      </c>
      <c r="BO36" t="str">
        <f>""</f>
        <v/>
      </c>
      <c r="BP36" t="str">
        <f>""</f>
        <v/>
      </c>
      <c r="BQ36" t="str">
        <f>""</f>
        <v/>
      </c>
      <c r="BR36" t="str">
        <f>""</f>
        <v/>
      </c>
      <c r="BS36" t="str">
        <f>""</f>
        <v/>
      </c>
      <c r="BT36" t="str">
        <f>""</f>
        <v/>
      </c>
      <c r="BU36" t="str">
        <f>""</f>
        <v/>
      </c>
      <c r="BV36" t="str">
        <f>""</f>
        <v/>
      </c>
      <c r="BW36" t="str">
        <f>""</f>
        <v/>
      </c>
      <c r="BX36" t="str">
        <f>""</f>
        <v/>
      </c>
      <c r="BY36" t="str">
        <f>""</f>
        <v/>
      </c>
      <c r="BZ36" t="str">
        <f>""</f>
        <v/>
      </c>
      <c r="CA36" t="str">
        <f>""</f>
        <v/>
      </c>
      <c r="CB36" t="str">
        <f>""</f>
        <v/>
      </c>
      <c r="CC36" t="str">
        <f>""</f>
        <v/>
      </c>
      <c r="CD36" t="str">
        <f>""</f>
        <v/>
      </c>
      <c r="CE36" t="str">
        <f>""</f>
        <v/>
      </c>
      <c r="CF36" t="str">
        <f>""</f>
        <v/>
      </c>
      <c r="CG36" t="str">
        <f>""</f>
        <v/>
      </c>
      <c r="CH36" t="str">
        <f>""</f>
        <v/>
      </c>
      <c r="CI36" t="str">
        <f>""</f>
        <v/>
      </c>
      <c r="CJ36" t="str">
        <f>""</f>
        <v/>
      </c>
      <c r="CK36" t="str">
        <f>""</f>
        <v/>
      </c>
      <c r="CL36" t="str">
        <f>""</f>
        <v/>
      </c>
      <c r="CM36" t="str">
        <f>""</f>
        <v/>
      </c>
      <c r="CN36" t="str">
        <f>""</f>
        <v/>
      </c>
      <c r="CO36" t="str">
        <f>""</f>
        <v/>
      </c>
      <c r="CP36" t="str">
        <f>""</f>
        <v/>
      </c>
      <c r="CQ36" t="str">
        <f>""</f>
        <v/>
      </c>
      <c r="CR36" t="str">
        <f>""</f>
        <v/>
      </c>
      <c r="CS36" t="str">
        <f>""</f>
        <v/>
      </c>
      <c r="CT36" t="str">
        <f>""</f>
        <v/>
      </c>
      <c r="CU36" t="str">
        <f>""</f>
        <v/>
      </c>
      <c r="CV36" t="str">
        <f>""</f>
        <v/>
      </c>
      <c r="CW36" t="str">
        <f>""</f>
        <v/>
      </c>
      <c r="CX36" t="str">
        <f>""</f>
        <v/>
      </c>
      <c r="CY36" t="str">
        <f>""</f>
        <v/>
      </c>
      <c r="CZ36" t="str">
        <f>""</f>
        <v/>
      </c>
      <c r="DA36" t="str">
        <f>""</f>
        <v/>
      </c>
      <c r="DB36" t="str">
        <f>""</f>
        <v/>
      </c>
      <c r="DC36" t="str">
        <f>""</f>
        <v/>
      </c>
      <c r="DD36" t="str">
        <f>""</f>
        <v/>
      </c>
      <c r="DE36" t="str">
        <f>""</f>
        <v/>
      </c>
      <c r="DF36" t="str">
        <f>""</f>
        <v/>
      </c>
      <c r="DG36" t="str">
        <f>""</f>
        <v/>
      </c>
      <c r="DH36" t="str">
        <f>""</f>
        <v/>
      </c>
      <c r="DI36" t="str">
        <f>""</f>
        <v/>
      </c>
      <c r="DJ36" t="str">
        <f>""</f>
        <v/>
      </c>
      <c r="DK36" t="str">
        <f>""</f>
        <v/>
      </c>
      <c r="DL36" t="str">
        <f>""</f>
        <v/>
      </c>
      <c r="DM36" t="str">
        <f>""</f>
        <v/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  <c r="DT36" t="str">
        <f>""</f>
        <v/>
      </c>
      <c r="DU36" t="str">
        <f>""</f>
        <v/>
      </c>
    </row>
    <row r="37" spans="1:125">
      <c r="A37" t="str">
        <f>"End Date"</f>
        <v>End Date</v>
      </c>
      <c r="B37">
        <f ca="1">TODAY()</f>
        <v>43173</v>
      </c>
      <c r="BN37" t="str">
        <f>""</f>
        <v/>
      </c>
      <c r="BO37" t="str">
        <f>""</f>
        <v/>
      </c>
      <c r="BP37" t="str">
        <f>""</f>
        <v/>
      </c>
      <c r="BQ37" t="str">
        <f>""</f>
        <v/>
      </c>
      <c r="BR37" t="str">
        <f>""</f>
        <v/>
      </c>
      <c r="BS37" t="str">
        <f>""</f>
        <v/>
      </c>
      <c r="BT37" t="str">
        <f>""</f>
        <v/>
      </c>
      <c r="BU37" t="str">
        <f>""</f>
        <v/>
      </c>
      <c r="BV37" t="str">
        <f>""</f>
        <v/>
      </c>
      <c r="BW37" t="str">
        <f>""</f>
        <v/>
      </c>
      <c r="BX37" t="str">
        <f>""</f>
        <v/>
      </c>
      <c r="BY37" t="str">
        <f>""</f>
        <v/>
      </c>
      <c r="BZ37" t="str">
        <f>""</f>
        <v/>
      </c>
      <c r="CA37" t="str">
        <f>""</f>
        <v/>
      </c>
      <c r="CB37" t="str">
        <f>""</f>
        <v/>
      </c>
      <c r="CC37" t="str">
        <f>""</f>
        <v/>
      </c>
      <c r="CD37" t="str">
        <f>""</f>
        <v/>
      </c>
      <c r="CE37" t="str">
        <f>""</f>
        <v/>
      </c>
      <c r="CF37" t="str">
        <f>""</f>
        <v/>
      </c>
      <c r="CG37" t="str">
        <f>""</f>
        <v/>
      </c>
      <c r="CH37" t="str">
        <f>""</f>
        <v/>
      </c>
      <c r="CI37" t="str">
        <f>""</f>
        <v/>
      </c>
      <c r="CJ37" t="str">
        <f>""</f>
        <v/>
      </c>
      <c r="CK37" t="str">
        <f>""</f>
        <v/>
      </c>
      <c r="CL37" t="str">
        <f>""</f>
        <v/>
      </c>
      <c r="CM37" t="str">
        <f>""</f>
        <v/>
      </c>
      <c r="CN37" t="str">
        <f>""</f>
        <v/>
      </c>
      <c r="CO37" t="str">
        <f>""</f>
        <v/>
      </c>
      <c r="CP37" t="str">
        <f>""</f>
        <v/>
      </c>
      <c r="CQ37" t="str">
        <f>""</f>
        <v/>
      </c>
      <c r="CR37" t="str">
        <f>""</f>
        <v/>
      </c>
      <c r="CS37" t="str">
        <f>""</f>
        <v/>
      </c>
      <c r="CT37" t="str">
        <f>""</f>
        <v/>
      </c>
      <c r="CU37" t="str">
        <f>""</f>
        <v/>
      </c>
      <c r="CV37" t="str">
        <f>""</f>
        <v/>
      </c>
      <c r="CW37" t="str">
        <f>""</f>
        <v/>
      </c>
      <c r="CX37" t="str">
        <f>""</f>
        <v/>
      </c>
      <c r="CY37" t="str">
        <f>""</f>
        <v/>
      </c>
      <c r="CZ37" t="str">
        <f>""</f>
        <v/>
      </c>
      <c r="DA37" t="str">
        <f>""</f>
        <v/>
      </c>
      <c r="DB37" t="str">
        <f>""</f>
        <v/>
      </c>
      <c r="DC37" t="str">
        <f>""</f>
        <v/>
      </c>
      <c r="DD37" t="str">
        <f>""</f>
        <v/>
      </c>
      <c r="DE37" t="str">
        <f>""</f>
        <v/>
      </c>
      <c r="DF37" t="str">
        <f>""</f>
        <v/>
      </c>
      <c r="DG37" t="str">
        <f>""</f>
        <v/>
      </c>
      <c r="DH37" t="str">
        <f>""</f>
        <v/>
      </c>
      <c r="DI37" t="str">
        <f>""</f>
        <v/>
      </c>
      <c r="DJ37" t="str">
        <f>""</f>
        <v/>
      </c>
      <c r="DK37" t="str">
        <f>""</f>
        <v/>
      </c>
      <c r="DL37" t="str">
        <f>""</f>
        <v/>
      </c>
      <c r="DM37" t="str">
        <f>""</f>
        <v/>
      </c>
      <c r="DN37" t="str">
        <f>""</f>
        <v/>
      </c>
      <c r="DO37" t="str">
        <f>""</f>
        <v/>
      </c>
      <c r="DP37" t="str">
        <f>""</f>
        <v/>
      </c>
      <c r="DQ37" t="str">
        <f>""</f>
        <v/>
      </c>
      <c r="DR37" t="str">
        <f>""</f>
        <v/>
      </c>
      <c r="DS37" t="str">
        <f>""</f>
        <v/>
      </c>
      <c r="DT37" t="str">
        <f>""</f>
        <v/>
      </c>
      <c r="DU37" t="str">
        <f>""</f>
        <v/>
      </c>
    </row>
    <row r="38" spans="1:125">
      <c r="A38" t="str">
        <f>"HeaderStatus"</f>
        <v>HeaderStatus</v>
      </c>
      <c r="B38">
        <f ca="1">$B$75*$B$83</f>
        <v>4</v>
      </c>
      <c r="BN38" t="str">
        <f>""</f>
        <v/>
      </c>
      <c r="BO38" t="str">
        <f>""</f>
        <v/>
      </c>
      <c r="BP38" t="str">
        <f>""</f>
        <v/>
      </c>
      <c r="BQ38" t="str">
        <f>""</f>
        <v/>
      </c>
      <c r="BR38" t="str">
        <f>""</f>
        <v/>
      </c>
      <c r="BS38" t="str">
        <f>""</f>
        <v/>
      </c>
      <c r="BT38" t="str">
        <f>""</f>
        <v/>
      </c>
      <c r="BU38" t="str">
        <f>""</f>
        <v/>
      </c>
      <c r="BV38" t="str">
        <f>""</f>
        <v/>
      </c>
      <c r="BW38" t="str">
        <f>""</f>
        <v/>
      </c>
      <c r="BX38" t="str">
        <f>""</f>
        <v/>
      </c>
      <c r="BY38" t="str">
        <f>""</f>
        <v/>
      </c>
      <c r="BZ38" t="str">
        <f>""</f>
        <v/>
      </c>
      <c r="CA38" t="str">
        <f>""</f>
        <v/>
      </c>
      <c r="CB38" t="str">
        <f>""</f>
        <v/>
      </c>
      <c r="CC38" t="str">
        <f>""</f>
        <v/>
      </c>
      <c r="CD38" t="str">
        <f>""</f>
        <v/>
      </c>
      <c r="CE38" t="str">
        <f>""</f>
        <v/>
      </c>
      <c r="CF38" t="str">
        <f>""</f>
        <v/>
      </c>
      <c r="CG38" t="str">
        <f>""</f>
        <v/>
      </c>
      <c r="CH38" t="str">
        <f>""</f>
        <v/>
      </c>
      <c r="CI38" t="str">
        <f>""</f>
        <v/>
      </c>
      <c r="CJ38" t="str">
        <f>""</f>
        <v/>
      </c>
      <c r="CK38" t="str">
        <f>""</f>
        <v/>
      </c>
      <c r="CL38" t="str">
        <f>""</f>
        <v/>
      </c>
      <c r="CM38" t="str">
        <f>""</f>
        <v/>
      </c>
      <c r="CN38" t="str">
        <f>""</f>
        <v/>
      </c>
      <c r="CO38" t="str">
        <f>""</f>
        <v/>
      </c>
      <c r="CP38" t="str">
        <f>""</f>
        <v/>
      </c>
      <c r="CQ38" t="str">
        <f>""</f>
        <v/>
      </c>
      <c r="CR38" t="str">
        <f>""</f>
        <v/>
      </c>
      <c r="CS38" t="str">
        <f>""</f>
        <v/>
      </c>
      <c r="CT38" t="str">
        <f>""</f>
        <v/>
      </c>
      <c r="CU38" t="str">
        <f>""</f>
        <v/>
      </c>
      <c r="CV38" t="str">
        <f>""</f>
        <v/>
      </c>
      <c r="CW38" t="str">
        <f>""</f>
        <v/>
      </c>
      <c r="CX38" t="str">
        <f>""</f>
        <v/>
      </c>
      <c r="CY38" t="str">
        <f>""</f>
        <v/>
      </c>
      <c r="CZ38" t="str">
        <f>""</f>
        <v/>
      </c>
      <c r="DA38" t="str">
        <f>""</f>
        <v/>
      </c>
      <c r="DB38" t="str">
        <f>""</f>
        <v/>
      </c>
      <c r="DC38" t="str">
        <f>""</f>
        <v/>
      </c>
      <c r="DD38" t="str">
        <f>""</f>
        <v/>
      </c>
      <c r="DE38" t="str">
        <f>""</f>
        <v/>
      </c>
      <c r="DF38" t="str">
        <f>""</f>
        <v/>
      </c>
      <c r="DG38" t="str">
        <f>""</f>
        <v/>
      </c>
      <c r="DH38" t="str">
        <f>""</f>
        <v/>
      </c>
      <c r="DI38" t="str">
        <f>""</f>
        <v/>
      </c>
      <c r="DJ38" t="str">
        <f>""</f>
        <v/>
      </c>
      <c r="DK38" t="str">
        <f>""</f>
        <v/>
      </c>
      <c r="DL38" t="str">
        <f>""</f>
        <v/>
      </c>
      <c r="DM38" t="str">
        <f>""</f>
        <v/>
      </c>
      <c r="DN38" t="str">
        <f>""</f>
        <v/>
      </c>
      <c r="DO38" t="str">
        <f>""</f>
        <v/>
      </c>
      <c r="DP38" t="str">
        <f>""</f>
        <v/>
      </c>
      <c r="DQ38" t="str">
        <f>""</f>
        <v/>
      </c>
      <c r="DR38" t="str">
        <f>""</f>
        <v/>
      </c>
      <c r="DS38" t="str">
        <f>""</f>
        <v/>
      </c>
      <c r="DT38" t="str">
        <f>""</f>
        <v/>
      </c>
      <c r="DU38" t="str">
        <f>""</f>
        <v/>
      </c>
    </row>
    <row r="39" spans="1:125">
      <c r="BN39" t="str">
        <f>""</f>
        <v/>
      </c>
      <c r="BO39" t="str">
        <f>""</f>
        <v/>
      </c>
      <c r="BP39" t="str">
        <f>""</f>
        <v/>
      </c>
      <c r="BQ39" t="str">
        <f>""</f>
        <v/>
      </c>
      <c r="BR39" t="str">
        <f>""</f>
        <v/>
      </c>
      <c r="BS39" t="str">
        <f>""</f>
        <v/>
      </c>
      <c r="BT39" t="str">
        <f>""</f>
        <v/>
      </c>
      <c r="BU39" t="str">
        <f>""</f>
        <v/>
      </c>
      <c r="BV39" t="str">
        <f>""</f>
        <v/>
      </c>
      <c r="BW39" t="str">
        <f>""</f>
        <v/>
      </c>
      <c r="BX39" t="str">
        <f>""</f>
        <v/>
      </c>
      <c r="BY39" t="str">
        <f>""</f>
        <v/>
      </c>
      <c r="BZ39" t="str">
        <f>""</f>
        <v/>
      </c>
      <c r="CA39" t="str">
        <f>""</f>
        <v/>
      </c>
      <c r="CB39" t="str">
        <f>""</f>
        <v/>
      </c>
      <c r="CC39" t="str">
        <f>""</f>
        <v/>
      </c>
      <c r="CD39" t="str">
        <f>""</f>
        <v/>
      </c>
      <c r="CE39" t="str">
        <f>""</f>
        <v/>
      </c>
      <c r="CF39" t="str">
        <f>""</f>
        <v/>
      </c>
      <c r="CG39" t="str">
        <f>""</f>
        <v/>
      </c>
      <c r="CH39" t="str">
        <f>""</f>
        <v/>
      </c>
      <c r="CI39" t="str">
        <f>""</f>
        <v/>
      </c>
      <c r="CJ39" t="str">
        <f>""</f>
        <v/>
      </c>
      <c r="CK39" t="str">
        <f>""</f>
        <v/>
      </c>
      <c r="CL39" t="str">
        <f>""</f>
        <v/>
      </c>
      <c r="CM39" t="str">
        <f>""</f>
        <v/>
      </c>
      <c r="CN39" t="str">
        <f>""</f>
        <v/>
      </c>
      <c r="CO39" t="str">
        <f>""</f>
        <v/>
      </c>
      <c r="CP39" t="str">
        <f>""</f>
        <v/>
      </c>
      <c r="CQ39" t="str">
        <f>""</f>
        <v/>
      </c>
      <c r="CR39" t="str">
        <f>""</f>
        <v/>
      </c>
      <c r="CS39" t="str">
        <f>""</f>
        <v/>
      </c>
      <c r="CT39" t="str">
        <f>""</f>
        <v/>
      </c>
      <c r="CU39" t="str">
        <f>""</f>
        <v/>
      </c>
      <c r="CV39" t="str">
        <f>""</f>
        <v/>
      </c>
      <c r="CW39" t="str">
        <f>""</f>
        <v/>
      </c>
      <c r="CX39" t="str">
        <f>""</f>
        <v/>
      </c>
      <c r="CY39" t="str">
        <f>""</f>
        <v/>
      </c>
      <c r="CZ39" t="str">
        <f>""</f>
        <v/>
      </c>
      <c r="DA39" t="str">
        <f>""</f>
        <v/>
      </c>
      <c r="DB39" t="str">
        <f>""</f>
        <v/>
      </c>
      <c r="DC39" t="str">
        <f>""</f>
        <v/>
      </c>
      <c r="DD39" t="str">
        <f>""</f>
        <v/>
      </c>
      <c r="DE39" t="str">
        <f>""</f>
        <v/>
      </c>
      <c r="DF39" t="str">
        <f>""</f>
        <v/>
      </c>
      <c r="DG39" t="str">
        <f>""</f>
        <v/>
      </c>
      <c r="DH39" t="str">
        <f>""</f>
        <v/>
      </c>
      <c r="DI39" t="str">
        <f>""</f>
        <v/>
      </c>
      <c r="DJ39" t="str">
        <f>""</f>
        <v/>
      </c>
      <c r="DK39" t="str">
        <f>""</f>
        <v/>
      </c>
      <c r="DL39" t="str">
        <f>""</f>
        <v/>
      </c>
      <c r="DM39" t="str">
        <f>""</f>
        <v/>
      </c>
      <c r="DN39" t="str">
        <f>""</f>
        <v/>
      </c>
      <c r="DO39" t="str">
        <f>""</f>
        <v/>
      </c>
      <c r="DP39" t="str">
        <f>""</f>
        <v/>
      </c>
      <c r="DQ39" t="str">
        <f>""</f>
        <v/>
      </c>
      <c r="DR39" t="str">
        <f>""</f>
        <v/>
      </c>
      <c r="DS39" t="str">
        <f>""</f>
        <v/>
      </c>
      <c r="DT39" t="str">
        <f>""</f>
        <v/>
      </c>
      <c r="DU39" t="str">
        <f>""</f>
        <v/>
      </c>
    </row>
    <row r="40" spans="1:125">
      <c r="A40" t="str">
        <f>$A$4</f>
        <v xml:space="preserve">    零售业房地产投资信托平均入住率</v>
      </c>
      <c r="B40" t="str">
        <f>$B$4</f>
        <v>RECFAVRT Index</v>
      </c>
      <c r="C40" t="str">
        <f>$C$4</f>
        <v>PR005</v>
      </c>
      <c r="D40" t="str">
        <f>$D$4</f>
        <v>PX_LAST</v>
      </c>
      <c r="E40" t="str">
        <f>$E$4</f>
        <v>动态</v>
      </c>
      <c r="F40" t="str">
        <f ca="1">BDH($B$4,$C$4,$B$36,$B$37,CONCATENATE("Per=",$B$34),"Dts=H","Dir=H",CONCATENATE("Points=",$B$35),"Sort=R","Days=A","Fill=B",CONCATENATE("FX=", $B$33) )</f>
        <v>#N/A Authorization</v>
      </c>
      <c r="BN40" t="str">
        <f>""</f>
        <v/>
      </c>
      <c r="BO40" t="str">
        <f>""</f>
        <v/>
      </c>
      <c r="BP40" t="str">
        <f>""</f>
        <v/>
      </c>
      <c r="BQ40" t="str">
        <f>""</f>
        <v/>
      </c>
      <c r="BR40" t="str">
        <f>""</f>
        <v/>
      </c>
      <c r="BS40" t="str">
        <f>""</f>
        <v/>
      </c>
      <c r="BT40" t="str">
        <f>""</f>
        <v/>
      </c>
      <c r="BU40" t="str">
        <f>""</f>
        <v/>
      </c>
      <c r="BV40" t="str">
        <f>""</f>
        <v/>
      </c>
      <c r="BW40" t="str">
        <f>""</f>
        <v/>
      </c>
      <c r="BX40" t="str">
        <f>""</f>
        <v/>
      </c>
      <c r="BY40" t="str">
        <f>""</f>
        <v/>
      </c>
      <c r="BZ40" t="str">
        <f>""</f>
        <v/>
      </c>
      <c r="CA40" t="str">
        <f>""</f>
        <v/>
      </c>
      <c r="CB40" t="str">
        <f>""</f>
        <v/>
      </c>
      <c r="CC40" t="str">
        <f>""</f>
        <v/>
      </c>
      <c r="CD40" t="str">
        <f>""</f>
        <v/>
      </c>
      <c r="CE40" t="str">
        <f>""</f>
        <v/>
      </c>
      <c r="CF40" t="str">
        <f>""</f>
        <v/>
      </c>
      <c r="CG40" t="str">
        <f>""</f>
        <v/>
      </c>
      <c r="CH40" t="str">
        <f>""</f>
        <v/>
      </c>
      <c r="CI40" t="str">
        <f>""</f>
        <v/>
      </c>
      <c r="CJ40" t="str">
        <f>""</f>
        <v/>
      </c>
      <c r="CK40" t="str">
        <f>""</f>
        <v/>
      </c>
      <c r="CL40" t="str">
        <f>""</f>
        <v/>
      </c>
      <c r="CM40" t="str">
        <f>""</f>
        <v/>
      </c>
      <c r="CN40" t="str">
        <f>""</f>
        <v/>
      </c>
      <c r="CO40" t="str">
        <f>""</f>
        <v/>
      </c>
      <c r="CP40" t="str">
        <f>""</f>
        <v/>
      </c>
      <c r="CQ40" t="str">
        <f>""</f>
        <v/>
      </c>
      <c r="CR40" t="str">
        <f>""</f>
        <v/>
      </c>
      <c r="CS40" t="str">
        <f>""</f>
        <v/>
      </c>
      <c r="CT40" t="str">
        <f>""</f>
        <v/>
      </c>
      <c r="CU40" t="str">
        <f>""</f>
        <v/>
      </c>
      <c r="CV40" t="str">
        <f>""</f>
        <v/>
      </c>
      <c r="CW40" t="str">
        <f>""</f>
        <v/>
      </c>
      <c r="CX40" t="str">
        <f>""</f>
        <v/>
      </c>
      <c r="CY40" t="str">
        <f>""</f>
        <v/>
      </c>
      <c r="CZ40" t="str">
        <f>""</f>
        <v/>
      </c>
      <c r="DA40" t="str">
        <f>""</f>
        <v/>
      </c>
      <c r="DB40" t="str">
        <f>""</f>
        <v/>
      </c>
      <c r="DC40" t="str">
        <f>""</f>
        <v/>
      </c>
      <c r="DD40" t="str">
        <f>""</f>
        <v/>
      </c>
      <c r="DE40" t="str">
        <f>""</f>
        <v/>
      </c>
      <c r="DF40" t="str">
        <f>""</f>
        <v/>
      </c>
      <c r="DG40" t="str">
        <f>""</f>
        <v/>
      </c>
      <c r="DH40" t="str">
        <f>""</f>
        <v/>
      </c>
      <c r="DI40" t="str">
        <f>""</f>
        <v/>
      </c>
      <c r="DJ40" t="str">
        <f>""</f>
        <v/>
      </c>
      <c r="DK40" t="str">
        <f>""</f>
        <v/>
      </c>
      <c r="DL40" t="str">
        <f>""</f>
        <v/>
      </c>
      <c r="DM40" t="str">
        <f>""</f>
        <v/>
      </c>
      <c r="DN40" t="str">
        <f>""</f>
        <v/>
      </c>
      <c r="DO40" t="str">
        <f>""</f>
        <v/>
      </c>
      <c r="DP40" t="str">
        <f>""</f>
        <v/>
      </c>
      <c r="DQ40" t="str">
        <f>""</f>
        <v/>
      </c>
      <c r="DR40" t="str">
        <f>""</f>
        <v/>
      </c>
      <c r="DS40" t="str">
        <f>""</f>
        <v/>
      </c>
      <c r="DT40" t="str">
        <f>""</f>
        <v/>
      </c>
      <c r="DU40" t="str">
        <f>""</f>
        <v/>
      </c>
    </row>
    <row r="41" spans="1:125">
      <c r="A41" t="str">
        <f>$A$5</f>
        <v xml:space="preserve">    零售业房地产投资信托同店净营业利润增长</v>
      </c>
      <c r="B41" t="str">
        <f>$B$5</f>
        <v>RECFSSRT Index</v>
      </c>
      <c r="C41" t="str">
        <f>$C$5</f>
        <v>PR005</v>
      </c>
      <c r="D41" t="str">
        <f>$D$5</f>
        <v>PX_LAST</v>
      </c>
      <c r="E41" t="str">
        <f>$E$5</f>
        <v>动态</v>
      </c>
      <c r="F41" t="str">
        <f ca="1">BDH($B$5,$C$5,$B$36,$B$37,CONCATENATE("Per=",$B$34),"Dts=H","Dir=H",CONCATENATE("Points=",$B$35),"Sort=R","Days=A","Fill=B",CONCATENATE("FX=", $B$33) )</f>
        <v>#N/A Authorization</v>
      </c>
      <c r="BN41" t="str">
        <f>""</f>
        <v/>
      </c>
      <c r="BO41" t="str">
        <f>""</f>
        <v/>
      </c>
      <c r="BP41" t="str">
        <f>""</f>
        <v/>
      </c>
      <c r="BQ41" t="str">
        <f>""</f>
        <v/>
      </c>
      <c r="BR41" t="str">
        <f>""</f>
        <v/>
      </c>
      <c r="BS41" t="str">
        <f>""</f>
        <v/>
      </c>
      <c r="BT41" t="str">
        <f>""</f>
        <v/>
      </c>
      <c r="BU41" t="str">
        <f>""</f>
        <v/>
      </c>
      <c r="BV41" t="str">
        <f>""</f>
        <v/>
      </c>
      <c r="BW41" t="str">
        <f>""</f>
        <v/>
      </c>
      <c r="BX41" t="str">
        <f>""</f>
        <v/>
      </c>
      <c r="BY41" t="str">
        <f>""</f>
        <v/>
      </c>
      <c r="BZ41" t="str">
        <f>""</f>
        <v/>
      </c>
      <c r="CA41" t="str">
        <f>""</f>
        <v/>
      </c>
      <c r="CB41" t="str">
        <f>""</f>
        <v/>
      </c>
      <c r="CC41" t="str">
        <f>""</f>
        <v/>
      </c>
      <c r="CD41" t="str">
        <f>""</f>
        <v/>
      </c>
      <c r="CE41" t="str">
        <f>""</f>
        <v/>
      </c>
      <c r="CF41" t="str">
        <f>""</f>
        <v/>
      </c>
      <c r="CG41" t="str">
        <f>""</f>
        <v/>
      </c>
      <c r="CH41" t="str">
        <f>""</f>
        <v/>
      </c>
      <c r="CI41" t="str">
        <f>""</f>
        <v/>
      </c>
      <c r="CJ41" t="str">
        <f>""</f>
        <v/>
      </c>
      <c r="CK41" t="str">
        <f>""</f>
        <v/>
      </c>
      <c r="CL41" t="str">
        <f>""</f>
        <v/>
      </c>
      <c r="CM41" t="str">
        <f>""</f>
        <v/>
      </c>
      <c r="CN41" t="str">
        <f>""</f>
        <v/>
      </c>
      <c r="CO41" t="str">
        <f>""</f>
        <v/>
      </c>
      <c r="CP41" t="str">
        <f>""</f>
        <v/>
      </c>
      <c r="CQ41" t="str">
        <f>""</f>
        <v/>
      </c>
      <c r="CR41" t="str">
        <f>""</f>
        <v/>
      </c>
      <c r="CS41" t="str">
        <f>""</f>
        <v/>
      </c>
      <c r="CT41" t="str">
        <f>""</f>
        <v/>
      </c>
      <c r="CU41" t="str">
        <f>""</f>
        <v/>
      </c>
      <c r="CV41" t="str">
        <f>""</f>
        <v/>
      </c>
      <c r="CW41" t="str">
        <f>""</f>
        <v/>
      </c>
      <c r="CX41" t="str">
        <f>""</f>
        <v/>
      </c>
      <c r="CY41" t="str">
        <f>""</f>
        <v/>
      </c>
      <c r="CZ41" t="str">
        <f>""</f>
        <v/>
      </c>
      <c r="DA41" t="str">
        <f>""</f>
        <v/>
      </c>
      <c r="DB41" t="str">
        <f>""</f>
        <v/>
      </c>
      <c r="DC41" t="str">
        <f>""</f>
        <v/>
      </c>
      <c r="DD41" t="str">
        <f>""</f>
        <v/>
      </c>
      <c r="DE41" t="str">
        <f>""</f>
        <v/>
      </c>
      <c r="DF41" t="str">
        <f>""</f>
        <v/>
      </c>
      <c r="DG41" t="str">
        <f>""</f>
        <v/>
      </c>
      <c r="DH41" t="str">
        <f>""</f>
        <v/>
      </c>
      <c r="DI41" t="str">
        <f>""</f>
        <v/>
      </c>
      <c r="DJ41" t="str">
        <f>""</f>
        <v/>
      </c>
      <c r="DK41" t="str">
        <f>""</f>
        <v/>
      </c>
      <c r="DL41" t="str">
        <f>""</f>
        <v/>
      </c>
      <c r="DM41" t="str">
        <f>""</f>
        <v/>
      </c>
      <c r="DN41" t="str">
        <f>""</f>
        <v/>
      </c>
      <c r="DO41" t="str">
        <f>""</f>
        <v/>
      </c>
      <c r="DP41" t="str">
        <f>""</f>
        <v/>
      </c>
      <c r="DQ41" t="str">
        <f>""</f>
        <v/>
      </c>
      <c r="DR41" t="str">
        <f>""</f>
        <v/>
      </c>
      <c r="DS41" t="str">
        <f>""</f>
        <v/>
      </c>
      <c r="DT41" t="str">
        <f>""</f>
        <v/>
      </c>
      <c r="DU41" t="str">
        <f>""</f>
        <v/>
      </c>
    </row>
    <row r="42" spans="1:125">
      <c r="A42" t="str">
        <f>$A$6</f>
        <v xml:space="preserve">    零售业房地产投资信托总营运现金流</v>
      </c>
      <c r="B42" t="str">
        <f>$B$6</f>
        <v>RECFFORT Index</v>
      </c>
      <c r="C42" t="str">
        <f>$C$6</f>
        <v>PR005</v>
      </c>
      <c r="D42" t="str">
        <f>$D$6</f>
        <v>PX_LAST</v>
      </c>
      <c r="E42" t="str">
        <f>$E$6</f>
        <v>动态</v>
      </c>
      <c r="F42" t="str">
        <f ca="1">BDH($B$6,$C$6,$B$36,$B$37,CONCATENATE("Per=",$B$34),"Dts=H","Dir=H",CONCATENATE("Points=",$B$35),"Sort=R","Days=A","Fill=B",CONCATENATE("FX=", $B$33) )</f>
        <v>#N/A Authorization</v>
      </c>
      <c r="BN42" t="str">
        <f>""</f>
        <v/>
      </c>
      <c r="BO42" t="str">
        <f>""</f>
        <v/>
      </c>
      <c r="BP42" t="str">
        <f>""</f>
        <v/>
      </c>
      <c r="BQ42" t="str">
        <f>""</f>
        <v/>
      </c>
      <c r="BR42" t="str">
        <f>""</f>
        <v/>
      </c>
      <c r="BS42" t="str">
        <f>""</f>
        <v/>
      </c>
      <c r="BT42" t="str">
        <f>""</f>
        <v/>
      </c>
      <c r="BU42" t="str">
        <f>""</f>
        <v/>
      </c>
      <c r="BV42" t="str">
        <f>""</f>
        <v/>
      </c>
      <c r="BW42" t="str">
        <f>""</f>
        <v/>
      </c>
      <c r="BX42" t="str">
        <f>""</f>
        <v/>
      </c>
      <c r="BY42" t="str">
        <f>""</f>
        <v/>
      </c>
      <c r="BZ42" t="str">
        <f>""</f>
        <v/>
      </c>
      <c r="CA42" t="str">
        <f>""</f>
        <v/>
      </c>
      <c r="CB42" t="str">
        <f>""</f>
        <v/>
      </c>
      <c r="CC42" t="str">
        <f>""</f>
        <v/>
      </c>
      <c r="CD42" t="str">
        <f>""</f>
        <v/>
      </c>
      <c r="CE42" t="str">
        <f>""</f>
        <v/>
      </c>
      <c r="CF42" t="str">
        <f>""</f>
        <v/>
      </c>
      <c r="CG42" t="str">
        <f>""</f>
        <v/>
      </c>
      <c r="CH42" t="str">
        <f>""</f>
        <v/>
      </c>
      <c r="CI42" t="str">
        <f>""</f>
        <v/>
      </c>
      <c r="CJ42" t="str">
        <f>""</f>
        <v/>
      </c>
      <c r="CK42" t="str">
        <f>""</f>
        <v/>
      </c>
      <c r="CL42" t="str">
        <f>""</f>
        <v/>
      </c>
      <c r="CM42" t="str">
        <f>""</f>
        <v/>
      </c>
      <c r="CN42" t="str">
        <f>""</f>
        <v/>
      </c>
      <c r="CO42" t="str">
        <f>""</f>
        <v/>
      </c>
      <c r="CP42" t="str">
        <f>""</f>
        <v/>
      </c>
      <c r="CQ42" t="str">
        <f>""</f>
        <v/>
      </c>
      <c r="CR42" t="str">
        <f>""</f>
        <v/>
      </c>
      <c r="CS42" t="str">
        <f>""</f>
        <v/>
      </c>
      <c r="CT42" t="str">
        <f>""</f>
        <v/>
      </c>
      <c r="CU42" t="str">
        <f>""</f>
        <v/>
      </c>
      <c r="CV42" t="str">
        <f>""</f>
        <v/>
      </c>
      <c r="CW42" t="str">
        <f>""</f>
        <v/>
      </c>
      <c r="CX42" t="str">
        <f>""</f>
        <v/>
      </c>
      <c r="CY42" t="str">
        <f>""</f>
        <v/>
      </c>
      <c r="CZ42" t="str">
        <f>""</f>
        <v/>
      </c>
      <c r="DA42" t="str">
        <f>""</f>
        <v/>
      </c>
      <c r="DB42" t="str">
        <f>""</f>
        <v/>
      </c>
      <c r="DC42" t="str">
        <f>""</f>
        <v/>
      </c>
      <c r="DD42" t="str">
        <f>""</f>
        <v/>
      </c>
      <c r="DE42" t="str">
        <f>""</f>
        <v/>
      </c>
      <c r="DF42" t="str">
        <f>""</f>
        <v/>
      </c>
      <c r="DG42" t="str">
        <f>""</f>
        <v/>
      </c>
      <c r="DH42" t="str">
        <f>""</f>
        <v/>
      </c>
      <c r="DI42" t="str">
        <f>""</f>
        <v/>
      </c>
      <c r="DJ42" t="str">
        <f>""</f>
        <v/>
      </c>
      <c r="DK42" t="str">
        <f>""</f>
        <v/>
      </c>
      <c r="DL42" t="str">
        <f>""</f>
        <v/>
      </c>
      <c r="DM42" t="str">
        <f>""</f>
        <v/>
      </c>
      <c r="DN42" t="str">
        <f>""</f>
        <v/>
      </c>
      <c r="DO42" t="str">
        <f>""</f>
        <v/>
      </c>
      <c r="DP42" t="str">
        <f>""</f>
        <v/>
      </c>
      <c r="DQ42" t="str">
        <f>""</f>
        <v/>
      </c>
      <c r="DR42" t="str">
        <f>""</f>
        <v/>
      </c>
      <c r="DS42" t="str">
        <f>""</f>
        <v/>
      </c>
      <c r="DT42" t="str">
        <f>""</f>
        <v/>
      </c>
      <c r="DU42" t="str">
        <f>""</f>
        <v/>
      </c>
    </row>
    <row r="43" spans="1:125">
      <c r="A43" t="str">
        <f>$A$7</f>
        <v xml:space="preserve">    零售业房地产投资信托净营业利润</v>
      </c>
      <c r="B43" t="str">
        <f>$B$7</f>
        <v>RECFNORT Index</v>
      </c>
      <c r="C43" t="str">
        <f>$C$7</f>
        <v>PR005</v>
      </c>
      <c r="D43" t="str">
        <f>$D$7</f>
        <v>PX_LAST</v>
      </c>
      <c r="E43" t="str">
        <f>$E$7</f>
        <v>动态</v>
      </c>
      <c r="F43" t="str">
        <f ca="1">BDH($B$7,$C$7,$B$36,$B$37,CONCATENATE("Per=",$B$34),"Dts=H","Dir=H",CONCATENATE("Points=",$B$35),"Sort=R","Days=A","Fill=B",CONCATENATE("FX=", $B$33) )</f>
        <v>#N/A Authorization</v>
      </c>
      <c r="BN43" t="str">
        <f>""</f>
        <v/>
      </c>
      <c r="BO43" t="str">
        <f>""</f>
        <v/>
      </c>
      <c r="BP43" t="str">
        <f>""</f>
        <v/>
      </c>
      <c r="BQ43" t="str">
        <f>""</f>
        <v/>
      </c>
      <c r="BR43" t="str">
        <f>""</f>
        <v/>
      </c>
      <c r="BS43" t="str">
        <f>""</f>
        <v/>
      </c>
      <c r="BT43" t="str">
        <f>""</f>
        <v/>
      </c>
      <c r="BU43" t="str">
        <f>""</f>
        <v/>
      </c>
      <c r="BV43" t="str">
        <f>""</f>
        <v/>
      </c>
      <c r="BW43" t="str">
        <f>""</f>
        <v/>
      </c>
      <c r="BX43" t="str">
        <f>""</f>
        <v/>
      </c>
      <c r="BY43" t="str">
        <f>""</f>
        <v/>
      </c>
      <c r="BZ43" t="str">
        <f>""</f>
        <v/>
      </c>
      <c r="CA43" t="str">
        <f>""</f>
        <v/>
      </c>
      <c r="CB43" t="str">
        <f>""</f>
        <v/>
      </c>
      <c r="CC43" t="str">
        <f>""</f>
        <v/>
      </c>
      <c r="CD43" t="str">
        <f>""</f>
        <v/>
      </c>
      <c r="CE43" t="str">
        <f>""</f>
        <v/>
      </c>
      <c r="CF43" t="str">
        <f>""</f>
        <v/>
      </c>
      <c r="CG43" t="str">
        <f>""</f>
        <v/>
      </c>
      <c r="CH43" t="str">
        <f>""</f>
        <v/>
      </c>
      <c r="CI43" t="str">
        <f>""</f>
        <v/>
      </c>
      <c r="CJ43" t="str">
        <f>""</f>
        <v/>
      </c>
      <c r="CK43" t="str">
        <f>""</f>
        <v/>
      </c>
      <c r="CL43" t="str">
        <f>""</f>
        <v/>
      </c>
      <c r="CM43" t="str">
        <f>""</f>
        <v/>
      </c>
      <c r="CN43" t="str">
        <f>""</f>
        <v/>
      </c>
      <c r="CO43" t="str">
        <f>""</f>
        <v/>
      </c>
      <c r="CP43" t="str">
        <f>""</f>
        <v/>
      </c>
      <c r="CQ43" t="str">
        <f>""</f>
        <v/>
      </c>
      <c r="CR43" t="str">
        <f>""</f>
        <v/>
      </c>
      <c r="CS43" t="str">
        <f>""</f>
        <v/>
      </c>
      <c r="CT43" t="str">
        <f>""</f>
        <v/>
      </c>
      <c r="CU43" t="str">
        <f>""</f>
        <v/>
      </c>
      <c r="CV43" t="str">
        <f>""</f>
        <v/>
      </c>
      <c r="CW43" t="str">
        <f>""</f>
        <v/>
      </c>
      <c r="CX43" t="str">
        <f>""</f>
        <v/>
      </c>
      <c r="CY43" t="str">
        <f>""</f>
        <v/>
      </c>
      <c r="CZ43" t="str">
        <f>""</f>
        <v/>
      </c>
      <c r="DA43" t="str">
        <f>""</f>
        <v/>
      </c>
      <c r="DB43" t="str">
        <f>""</f>
        <v/>
      </c>
      <c r="DC43" t="str">
        <f>""</f>
        <v/>
      </c>
      <c r="DD43" t="str">
        <f>""</f>
        <v/>
      </c>
      <c r="DE43" t="str">
        <f>""</f>
        <v/>
      </c>
      <c r="DF43" t="str">
        <f>""</f>
        <v/>
      </c>
      <c r="DG43" t="str">
        <f>""</f>
        <v/>
      </c>
      <c r="DH43" t="str">
        <f>""</f>
        <v/>
      </c>
      <c r="DI43" t="str">
        <f>""</f>
        <v/>
      </c>
      <c r="DJ43" t="str">
        <f>""</f>
        <v/>
      </c>
      <c r="DK43" t="str">
        <f>""</f>
        <v/>
      </c>
      <c r="DL43" t="str">
        <f>""</f>
        <v/>
      </c>
      <c r="DM43" t="str">
        <f>""</f>
        <v/>
      </c>
      <c r="DN43" t="str">
        <f>""</f>
        <v/>
      </c>
      <c r="DO43" t="str">
        <f>""</f>
        <v/>
      </c>
      <c r="DP43" t="str">
        <f>""</f>
        <v/>
      </c>
      <c r="DQ43" t="str">
        <f>""</f>
        <v/>
      </c>
      <c r="DR43" t="str">
        <f>""</f>
        <v/>
      </c>
      <c r="DS43" t="str">
        <f>""</f>
        <v/>
      </c>
      <c r="DT43" t="str">
        <f>""</f>
        <v/>
      </c>
      <c r="DU43" t="str">
        <f>""</f>
        <v/>
      </c>
    </row>
    <row r="44" spans="1:125">
      <c r="A44" t="str">
        <f>$A$8</f>
        <v xml:space="preserve">    零售业房地产投资信托总股利支付</v>
      </c>
      <c r="B44" t="str">
        <f>$B$8</f>
        <v>RECFTDRT Index</v>
      </c>
      <c r="C44" t="str">
        <f>$C$8</f>
        <v>PR005</v>
      </c>
      <c r="D44" t="str">
        <f>$D$8</f>
        <v>PX_LAST</v>
      </c>
      <c r="E44" t="str">
        <f>$E$8</f>
        <v>动态</v>
      </c>
      <c r="F44" t="str">
        <f ca="1">BDH($B$8,$C$8,$B$36,$B$37,CONCATENATE("Per=",$B$34),"Dts=H","Dir=H",CONCATENATE("Points=",$B$35),"Sort=R","Days=A","Fill=B",CONCATENATE("FX=", $B$33) )</f>
        <v>#N/A Authorization</v>
      </c>
      <c r="BN44" t="str">
        <f>""</f>
        <v/>
      </c>
      <c r="BO44" t="str">
        <f>""</f>
        <v/>
      </c>
      <c r="BP44" t="str">
        <f>""</f>
        <v/>
      </c>
      <c r="BQ44" t="str">
        <f>""</f>
        <v/>
      </c>
      <c r="BR44" t="str">
        <f>""</f>
        <v/>
      </c>
      <c r="BS44" t="str">
        <f>""</f>
        <v/>
      </c>
      <c r="BT44" t="str">
        <f>""</f>
        <v/>
      </c>
      <c r="BU44" t="str">
        <f>""</f>
        <v/>
      </c>
      <c r="BV44" t="str">
        <f>""</f>
        <v/>
      </c>
      <c r="BW44" t="str">
        <f>""</f>
        <v/>
      </c>
      <c r="BX44" t="str">
        <f>""</f>
        <v/>
      </c>
      <c r="BY44" t="str">
        <f>""</f>
        <v/>
      </c>
      <c r="BZ44" t="str">
        <f>""</f>
        <v/>
      </c>
      <c r="CA44" t="str">
        <f>""</f>
        <v/>
      </c>
      <c r="CB44" t="str">
        <f>""</f>
        <v/>
      </c>
      <c r="CC44" t="str">
        <f>""</f>
        <v/>
      </c>
      <c r="CD44" t="str">
        <f>""</f>
        <v/>
      </c>
      <c r="CE44" t="str">
        <f>""</f>
        <v/>
      </c>
      <c r="CF44" t="str">
        <f>""</f>
        <v/>
      </c>
      <c r="CG44" t="str">
        <f>""</f>
        <v/>
      </c>
      <c r="CH44" t="str">
        <f>""</f>
        <v/>
      </c>
      <c r="CI44" t="str">
        <f>""</f>
        <v/>
      </c>
      <c r="CJ44" t="str">
        <f>""</f>
        <v/>
      </c>
      <c r="CK44" t="str">
        <f>""</f>
        <v/>
      </c>
      <c r="CL44" t="str">
        <f>""</f>
        <v/>
      </c>
      <c r="CM44" t="str">
        <f>""</f>
        <v/>
      </c>
      <c r="CN44" t="str">
        <f>""</f>
        <v/>
      </c>
      <c r="CO44" t="str">
        <f>""</f>
        <v/>
      </c>
      <c r="CP44" t="str">
        <f>""</f>
        <v/>
      </c>
      <c r="CQ44" t="str">
        <f>""</f>
        <v/>
      </c>
      <c r="CR44" t="str">
        <f>""</f>
        <v/>
      </c>
      <c r="CS44" t="str">
        <f>""</f>
        <v/>
      </c>
      <c r="CT44" t="str">
        <f>""</f>
        <v/>
      </c>
      <c r="CU44" t="str">
        <f>""</f>
        <v/>
      </c>
      <c r="CV44" t="str">
        <f>""</f>
        <v/>
      </c>
      <c r="CW44" t="str">
        <f>""</f>
        <v/>
      </c>
      <c r="CX44" t="str">
        <f>""</f>
        <v/>
      </c>
      <c r="CY44" t="str">
        <f>""</f>
        <v/>
      </c>
      <c r="CZ44" t="str">
        <f>""</f>
        <v/>
      </c>
      <c r="DA44" t="str">
        <f>""</f>
        <v/>
      </c>
      <c r="DB44" t="str">
        <f>""</f>
        <v/>
      </c>
      <c r="DC44" t="str">
        <f>""</f>
        <v/>
      </c>
      <c r="DD44" t="str">
        <f>""</f>
        <v/>
      </c>
      <c r="DE44" t="str">
        <f>""</f>
        <v/>
      </c>
      <c r="DF44" t="str">
        <f>""</f>
        <v/>
      </c>
      <c r="DG44" t="str">
        <f>""</f>
        <v/>
      </c>
      <c r="DH44" t="str">
        <f>""</f>
        <v/>
      </c>
      <c r="DI44" t="str">
        <f>""</f>
        <v/>
      </c>
      <c r="DJ44" t="str">
        <f>""</f>
        <v/>
      </c>
      <c r="DK44" t="str">
        <f>""</f>
        <v/>
      </c>
      <c r="DL44" t="str">
        <f>""</f>
        <v/>
      </c>
      <c r="DM44" t="str">
        <f>""</f>
        <v/>
      </c>
      <c r="DN44" t="str">
        <f>""</f>
        <v/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  <c r="DT44" t="str">
        <f>""</f>
        <v/>
      </c>
      <c r="DU44" t="str">
        <f>""</f>
        <v/>
      </c>
    </row>
    <row r="45" spans="1:125">
      <c r="A45" t="str">
        <f>$A$10</f>
        <v xml:space="preserve">    购物中心房地产投资信托总营运现金流</v>
      </c>
      <c r="B45" t="str">
        <f>$B$10</f>
        <v>RECFFOSC Index</v>
      </c>
      <c r="C45" t="str">
        <f>$C$10</f>
        <v>PR005</v>
      </c>
      <c r="D45" t="str">
        <f>$D$10</f>
        <v>PX_LAST</v>
      </c>
      <c r="E45" t="str">
        <f>$E$10</f>
        <v>动态</v>
      </c>
      <c r="F45" t="str">
        <f ca="1">BDH($B$10,$C$10,$B$36,$B$37,CONCATENATE("Per=",$B$34),"Dts=H","Dir=H",CONCATENATE("Points=",$B$35),"Sort=R","Days=A","Fill=B",CONCATENATE("FX=", $B$33) )</f>
        <v>#N/A Authorization</v>
      </c>
      <c r="BN45" t="str">
        <f>""</f>
        <v/>
      </c>
      <c r="BO45" t="str">
        <f>""</f>
        <v/>
      </c>
      <c r="BP45" t="str">
        <f>""</f>
        <v/>
      </c>
      <c r="BQ45" t="str">
        <f>""</f>
        <v/>
      </c>
      <c r="BR45" t="str">
        <f>""</f>
        <v/>
      </c>
      <c r="BS45" t="str">
        <f>""</f>
        <v/>
      </c>
      <c r="BT45" t="str">
        <f>""</f>
        <v/>
      </c>
      <c r="BU45" t="str">
        <f>""</f>
        <v/>
      </c>
      <c r="BV45" t="str">
        <f>""</f>
        <v/>
      </c>
      <c r="BW45" t="str">
        <f>""</f>
        <v/>
      </c>
      <c r="BX45" t="str">
        <f>""</f>
        <v/>
      </c>
      <c r="BY45" t="str">
        <f>""</f>
        <v/>
      </c>
      <c r="BZ45" t="str">
        <f>""</f>
        <v/>
      </c>
      <c r="CA45" t="str">
        <f>""</f>
        <v/>
      </c>
      <c r="CB45" t="str">
        <f>""</f>
        <v/>
      </c>
      <c r="CC45" t="str">
        <f>""</f>
        <v/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  <c r="CH45" t="str">
        <f>""</f>
        <v/>
      </c>
      <c r="CI45" t="str">
        <f>""</f>
        <v/>
      </c>
      <c r="CJ45" t="str">
        <f>""</f>
        <v/>
      </c>
      <c r="CK45" t="str">
        <f>""</f>
        <v/>
      </c>
      <c r="CL45" t="str">
        <f>""</f>
        <v/>
      </c>
      <c r="CM45" t="str">
        <f>""</f>
        <v/>
      </c>
      <c r="CN45" t="str">
        <f>""</f>
        <v/>
      </c>
      <c r="CO45" t="str">
        <f>""</f>
        <v/>
      </c>
      <c r="CP45" t="str">
        <f>""</f>
        <v/>
      </c>
      <c r="CQ45" t="str">
        <f>""</f>
        <v/>
      </c>
      <c r="CR45" t="str">
        <f>""</f>
        <v/>
      </c>
      <c r="CS45" t="str">
        <f>""</f>
        <v/>
      </c>
      <c r="CT45" t="str">
        <f>""</f>
        <v/>
      </c>
      <c r="CU45" t="str">
        <f>""</f>
        <v/>
      </c>
      <c r="CV45" t="str">
        <f>""</f>
        <v/>
      </c>
      <c r="CW45" t="str">
        <f>""</f>
        <v/>
      </c>
      <c r="CX45" t="str">
        <f>""</f>
        <v/>
      </c>
      <c r="CY45" t="str">
        <f>""</f>
        <v/>
      </c>
      <c r="CZ45" t="str">
        <f>""</f>
        <v/>
      </c>
      <c r="DA45" t="str">
        <f>""</f>
        <v/>
      </c>
      <c r="DB45" t="str">
        <f>""</f>
        <v/>
      </c>
      <c r="DC45" t="str">
        <f>""</f>
        <v/>
      </c>
      <c r="DD45" t="str">
        <f>""</f>
        <v/>
      </c>
      <c r="DE45" t="str">
        <f>""</f>
        <v/>
      </c>
      <c r="DF45" t="str">
        <f>""</f>
        <v/>
      </c>
      <c r="DG45" t="str">
        <f>""</f>
        <v/>
      </c>
      <c r="DH45" t="str">
        <f>""</f>
        <v/>
      </c>
      <c r="DI45" t="str">
        <f>""</f>
        <v/>
      </c>
      <c r="DJ45" t="str">
        <f>""</f>
        <v/>
      </c>
      <c r="DK45" t="str">
        <f>""</f>
        <v/>
      </c>
      <c r="DL45" t="str">
        <f>""</f>
        <v/>
      </c>
      <c r="DM45" t="str">
        <f>""</f>
        <v/>
      </c>
      <c r="DN45" t="str">
        <f>""</f>
        <v/>
      </c>
      <c r="DO45" t="str">
        <f>""</f>
        <v/>
      </c>
      <c r="DP45" t="str">
        <f>""</f>
        <v/>
      </c>
      <c r="DQ45" t="str">
        <f>""</f>
        <v/>
      </c>
      <c r="DR45" t="str">
        <f>""</f>
        <v/>
      </c>
      <c r="DS45" t="str">
        <f>""</f>
        <v/>
      </c>
      <c r="DT45" t="str">
        <f>""</f>
        <v/>
      </c>
      <c r="DU45" t="str">
        <f>""</f>
        <v/>
      </c>
    </row>
    <row r="46" spans="1:125">
      <c r="A46" t="str">
        <f>$A$11</f>
        <v xml:space="preserve">    购物中心房地产投资信托总净营业利润</v>
      </c>
      <c r="B46" t="str">
        <f>$B$11</f>
        <v>RECFNOSC Index</v>
      </c>
      <c r="C46" t="str">
        <f>$C$11</f>
        <v>PR005</v>
      </c>
      <c r="D46" t="str">
        <f>$D$11</f>
        <v>PX_LAST</v>
      </c>
      <c r="E46" t="str">
        <f>$E$11</f>
        <v>动态</v>
      </c>
      <c r="F46" t="str">
        <f ca="1">BDH($B$11,$C$11,$B$36,$B$37,CONCATENATE("Per=",$B$34),"Dts=H","Dir=H",CONCATENATE("Points=",$B$35),"Sort=R","Days=A","Fill=B",CONCATENATE("FX=", $B$33) )</f>
        <v>#N/A Authorization</v>
      </c>
      <c r="BN46" t="str">
        <f>""</f>
        <v/>
      </c>
      <c r="BO46" t="str">
        <f>""</f>
        <v/>
      </c>
      <c r="BP46" t="str">
        <f>""</f>
        <v/>
      </c>
      <c r="BQ46" t="str">
        <f>""</f>
        <v/>
      </c>
      <c r="BR46" t="str">
        <f>""</f>
        <v/>
      </c>
      <c r="BS46" t="str">
        <f>""</f>
        <v/>
      </c>
      <c r="BT46" t="str">
        <f>""</f>
        <v/>
      </c>
      <c r="BU46" t="str">
        <f>""</f>
        <v/>
      </c>
      <c r="BV46" t="str">
        <f>""</f>
        <v/>
      </c>
      <c r="BW46" t="str">
        <f>""</f>
        <v/>
      </c>
      <c r="BX46" t="str">
        <f>""</f>
        <v/>
      </c>
      <c r="BY46" t="str">
        <f>""</f>
        <v/>
      </c>
      <c r="BZ46" t="str">
        <f>""</f>
        <v/>
      </c>
      <c r="CA46" t="str">
        <f>""</f>
        <v/>
      </c>
      <c r="CB46" t="str">
        <f>""</f>
        <v/>
      </c>
      <c r="CC46" t="str">
        <f>""</f>
        <v/>
      </c>
      <c r="CD46" t="str">
        <f>""</f>
        <v/>
      </c>
      <c r="CE46" t="str">
        <f>""</f>
        <v/>
      </c>
      <c r="CF46" t="str">
        <f>""</f>
        <v/>
      </c>
      <c r="CG46" t="str">
        <f>""</f>
        <v/>
      </c>
      <c r="CH46" t="str">
        <f>""</f>
        <v/>
      </c>
      <c r="CI46" t="str">
        <f>""</f>
        <v/>
      </c>
      <c r="CJ46" t="str">
        <f>""</f>
        <v/>
      </c>
      <c r="CK46" t="str">
        <f>""</f>
        <v/>
      </c>
      <c r="CL46" t="str">
        <f>""</f>
        <v/>
      </c>
      <c r="CM46" t="str">
        <f>""</f>
        <v/>
      </c>
      <c r="CN46" t="str">
        <f>""</f>
        <v/>
      </c>
      <c r="CO46" t="str">
        <f>""</f>
        <v/>
      </c>
      <c r="CP46" t="str">
        <f>""</f>
        <v/>
      </c>
      <c r="CQ46" t="str">
        <f>""</f>
        <v/>
      </c>
      <c r="CR46" t="str">
        <f>""</f>
        <v/>
      </c>
      <c r="CS46" t="str">
        <f>""</f>
        <v/>
      </c>
      <c r="CT46" t="str">
        <f>""</f>
        <v/>
      </c>
      <c r="CU46" t="str">
        <f>""</f>
        <v/>
      </c>
      <c r="CV46" t="str">
        <f>""</f>
        <v/>
      </c>
      <c r="CW46" t="str">
        <f>""</f>
        <v/>
      </c>
      <c r="CX46" t="str">
        <f>""</f>
        <v/>
      </c>
      <c r="CY46" t="str">
        <f>""</f>
        <v/>
      </c>
      <c r="CZ46" t="str">
        <f>""</f>
        <v/>
      </c>
      <c r="DA46" t="str">
        <f>""</f>
        <v/>
      </c>
      <c r="DB46" t="str">
        <f>""</f>
        <v/>
      </c>
      <c r="DC46" t="str">
        <f>""</f>
        <v/>
      </c>
      <c r="DD46" t="str">
        <f>""</f>
        <v/>
      </c>
      <c r="DE46" t="str">
        <f>""</f>
        <v/>
      </c>
      <c r="DF46" t="str">
        <f>""</f>
        <v/>
      </c>
      <c r="DG46" t="str">
        <f>""</f>
        <v/>
      </c>
      <c r="DH46" t="str">
        <f>""</f>
        <v/>
      </c>
      <c r="DI46" t="str">
        <f>""</f>
        <v/>
      </c>
      <c r="DJ46" t="str">
        <f>""</f>
        <v/>
      </c>
      <c r="DK46" t="str">
        <f>""</f>
        <v/>
      </c>
      <c r="DL46" t="str">
        <f>""</f>
        <v/>
      </c>
      <c r="DM46" t="str">
        <f>""</f>
        <v/>
      </c>
      <c r="DN46" t="str">
        <f>""</f>
        <v/>
      </c>
      <c r="DO46" t="str">
        <f>""</f>
        <v/>
      </c>
      <c r="DP46" t="str">
        <f>""</f>
        <v/>
      </c>
      <c r="DQ46" t="str">
        <f>""</f>
        <v/>
      </c>
      <c r="DR46" t="str">
        <f>""</f>
        <v/>
      </c>
      <c r="DS46" t="str">
        <f>""</f>
        <v/>
      </c>
      <c r="DT46" t="str">
        <f>""</f>
        <v/>
      </c>
      <c r="DU46" t="str">
        <f>""</f>
        <v/>
      </c>
    </row>
    <row r="47" spans="1:125">
      <c r="A47" t="str">
        <f>$A$12</f>
        <v xml:space="preserve">    购物中心房地产投资信托同店净营业利润增长</v>
      </c>
      <c r="B47" t="str">
        <f>$B$12</f>
        <v>RECFSSSC Index</v>
      </c>
      <c r="C47" t="str">
        <f>$C$12</f>
        <v>PR005</v>
      </c>
      <c r="D47" t="str">
        <f>$D$12</f>
        <v>PX_LAST</v>
      </c>
      <c r="E47" t="str">
        <f>$E$12</f>
        <v>动态</v>
      </c>
      <c r="F47" t="str">
        <f ca="1">BDH($B$12,$C$12,$B$36,$B$37,CONCATENATE("Per=",$B$34),"Dts=H","Dir=H",CONCATENATE("Points=",$B$35),"Sort=R","Days=A","Fill=B",CONCATENATE("FX=", $B$33) )</f>
        <v>#N/A Authorization</v>
      </c>
      <c r="BN47" t="str">
        <f>""</f>
        <v/>
      </c>
      <c r="BO47" t="str">
        <f>""</f>
        <v/>
      </c>
      <c r="BP47" t="str">
        <f>""</f>
        <v/>
      </c>
      <c r="BQ47" t="str">
        <f>""</f>
        <v/>
      </c>
      <c r="BR47" t="str">
        <f>""</f>
        <v/>
      </c>
      <c r="BS47" t="str">
        <f>""</f>
        <v/>
      </c>
      <c r="BT47" t="str">
        <f>""</f>
        <v/>
      </c>
      <c r="BU47" t="str">
        <f>""</f>
        <v/>
      </c>
      <c r="BV47" t="str">
        <f>""</f>
        <v/>
      </c>
      <c r="BW47" t="str">
        <f>""</f>
        <v/>
      </c>
      <c r="BX47" t="str">
        <f>""</f>
        <v/>
      </c>
      <c r="BY47" t="str">
        <f>""</f>
        <v/>
      </c>
      <c r="BZ47" t="str">
        <f>""</f>
        <v/>
      </c>
      <c r="CA47" t="str">
        <f>""</f>
        <v/>
      </c>
      <c r="CB47" t="str">
        <f>""</f>
        <v/>
      </c>
      <c r="CC47" t="str">
        <f>""</f>
        <v/>
      </c>
      <c r="CD47" t="str">
        <f>""</f>
        <v/>
      </c>
      <c r="CE47" t="str">
        <f>""</f>
        <v/>
      </c>
      <c r="CF47" t="str">
        <f>""</f>
        <v/>
      </c>
      <c r="CG47" t="str">
        <f>""</f>
        <v/>
      </c>
      <c r="CH47" t="str">
        <f>""</f>
        <v/>
      </c>
      <c r="CI47" t="str">
        <f>""</f>
        <v/>
      </c>
      <c r="CJ47" t="str">
        <f>""</f>
        <v/>
      </c>
      <c r="CK47" t="str">
        <f>""</f>
        <v/>
      </c>
      <c r="CL47" t="str">
        <f>""</f>
        <v/>
      </c>
      <c r="CM47" t="str">
        <f>""</f>
        <v/>
      </c>
      <c r="CN47" t="str">
        <f>""</f>
        <v/>
      </c>
      <c r="CO47" t="str">
        <f>""</f>
        <v/>
      </c>
      <c r="CP47" t="str">
        <f>""</f>
        <v/>
      </c>
      <c r="CQ47" t="str">
        <f>""</f>
        <v/>
      </c>
      <c r="CR47" t="str">
        <f>""</f>
        <v/>
      </c>
      <c r="CS47" t="str">
        <f>""</f>
        <v/>
      </c>
      <c r="CT47" t="str">
        <f>""</f>
        <v/>
      </c>
      <c r="CU47" t="str">
        <f>""</f>
        <v/>
      </c>
      <c r="CV47" t="str">
        <f>""</f>
        <v/>
      </c>
      <c r="CW47" t="str">
        <f>""</f>
        <v/>
      </c>
      <c r="CX47" t="str">
        <f>""</f>
        <v/>
      </c>
      <c r="CY47" t="str">
        <f>""</f>
        <v/>
      </c>
      <c r="CZ47" t="str">
        <f>""</f>
        <v/>
      </c>
      <c r="DA47" t="str">
        <f>""</f>
        <v/>
      </c>
      <c r="DB47" t="str">
        <f>""</f>
        <v/>
      </c>
      <c r="DC47" t="str">
        <f>""</f>
        <v/>
      </c>
      <c r="DD47" t="str">
        <f>""</f>
        <v/>
      </c>
      <c r="DE47" t="str">
        <f>""</f>
        <v/>
      </c>
      <c r="DF47" t="str">
        <f>""</f>
        <v/>
      </c>
      <c r="DG47" t="str">
        <f>""</f>
        <v/>
      </c>
      <c r="DH47" t="str">
        <f>""</f>
        <v/>
      </c>
      <c r="DI47" t="str">
        <f>""</f>
        <v/>
      </c>
      <c r="DJ47" t="str">
        <f>""</f>
        <v/>
      </c>
      <c r="DK47" t="str">
        <f>""</f>
        <v/>
      </c>
      <c r="DL47" t="str">
        <f>""</f>
        <v/>
      </c>
      <c r="DM47" t="str">
        <f>""</f>
        <v/>
      </c>
      <c r="DN47" t="str">
        <f>""</f>
        <v/>
      </c>
      <c r="DO47" t="str">
        <f>""</f>
        <v/>
      </c>
      <c r="DP47" t="str">
        <f>""</f>
        <v/>
      </c>
      <c r="DQ47" t="str">
        <f>""</f>
        <v/>
      </c>
      <c r="DR47" t="str">
        <f>""</f>
        <v/>
      </c>
      <c r="DS47" t="str">
        <f>""</f>
        <v/>
      </c>
      <c r="DT47" t="str">
        <f>""</f>
        <v/>
      </c>
      <c r="DU47" t="str">
        <f>""</f>
        <v/>
      </c>
    </row>
    <row r="48" spans="1:125">
      <c r="A48" t="str">
        <f>$A$13</f>
        <v xml:space="preserve">    购物中心房地产投资信托总股利支付</v>
      </c>
      <c r="B48" t="str">
        <f>$B$13</f>
        <v>RECFTDSC Index</v>
      </c>
      <c r="C48" t="str">
        <f>$C$13</f>
        <v>PR005</v>
      </c>
      <c r="D48" t="str">
        <f>$D$13</f>
        <v>PX_LAST</v>
      </c>
      <c r="E48" t="str">
        <f>$E$13</f>
        <v>动态</v>
      </c>
      <c r="F48" t="str">
        <f ca="1">BDH($B$13,$C$13,$B$36,$B$37,CONCATENATE("Per=",$B$34),"Dts=H","Dir=H",CONCATENATE("Points=",$B$35),"Sort=R","Days=A","Fill=B",CONCATENATE("FX=", $B$33) )</f>
        <v>#N/A Authorization</v>
      </c>
      <c r="BN48" t="str">
        <f>""</f>
        <v/>
      </c>
      <c r="BO48" t="str">
        <f>""</f>
        <v/>
      </c>
      <c r="BP48" t="str">
        <f>""</f>
        <v/>
      </c>
      <c r="BQ48" t="str">
        <f>""</f>
        <v/>
      </c>
      <c r="BR48" t="str">
        <f>""</f>
        <v/>
      </c>
      <c r="BS48" t="str">
        <f>""</f>
        <v/>
      </c>
      <c r="BT48" t="str">
        <f>""</f>
        <v/>
      </c>
      <c r="BU48" t="str">
        <f>""</f>
        <v/>
      </c>
      <c r="BV48" t="str">
        <f>""</f>
        <v/>
      </c>
      <c r="BW48" t="str">
        <f>""</f>
        <v/>
      </c>
      <c r="BX48" t="str">
        <f>""</f>
        <v/>
      </c>
      <c r="BY48" t="str">
        <f>""</f>
        <v/>
      </c>
      <c r="BZ48" t="str">
        <f>""</f>
        <v/>
      </c>
      <c r="CA48" t="str">
        <f>""</f>
        <v/>
      </c>
      <c r="CB48" t="str">
        <f>""</f>
        <v/>
      </c>
      <c r="CC48" t="str">
        <f>""</f>
        <v/>
      </c>
      <c r="CD48" t="str">
        <f>""</f>
        <v/>
      </c>
      <c r="CE48" t="str">
        <f>""</f>
        <v/>
      </c>
      <c r="CF48" t="str">
        <f>""</f>
        <v/>
      </c>
      <c r="CG48" t="str">
        <f>""</f>
        <v/>
      </c>
      <c r="CH48" t="str">
        <f>""</f>
        <v/>
      </c>
      <c r="CI48" t="str">
        <f>""</f>
        <v/>
      </c>
      <c r="CJ48" t="str">
        <f>""</f>
        <v/>
      </c>
      <c r="CK48" t="str">
        <f>""</f>
        <v/>
      </c>
      <c r="CL48" t="str">
        <f>""</f>
        <v/>
      </c>
      <c r="CM48" t="str">
        <f>""</f>
        <v/>
      </c>
      <c r="CN48" t="str">
        <f>""</f>
        <v/>
      </c>
      <c r="CO48" t="str">
        <f>""</f>
        <v/>
      </c>
      <c r="CP48" t="str">
        <f>""</f>
        <v/>
      </c>
      <c r="CQ48" t="str">
        <f>""</f>
        <v/>
      </c>
      <c r="CR48" t="str">
        <f>""</f>
        <v/>
      </c>
      <c r="CS48" t="str">
        <f>""</f>
        <v/>
      </c>
      <c r="CT48" t="str">
        <f>""</f>
        <v/>
      </c>
      <c r="CU48" t="str">
        <f>""</f>
        <v/>
      </c>
      <c r="CV48" t="str">
        <f>""</f>
        <v/>
      </c>
      <c r="CW48" t="str">
        <f>""</f>
        <v/>
      </c>
      <c r="CX48" t="str">
        <f>""</f>
        <v/>
      </c>
      <c r="CY48" t="str">
        <f>""</f>
        <v/>
      </c>
      <c r="CZ48" t="str">
        <f>""</f>
        <v/>
      </c>
      <c r="DA48" t="str">
        <f>""</f>
        <v/>
      </c>
      <c r="DB48" t="str">
        <f>""</f>
        <v/>
      </c>
      <c r="DC48" t="str">
        <f>""</f>
        <v/>
      </c>
      <c r="DD48" t="str">
        <f>""</f>
        <v/>
      </c>
      <c r="DE48" t="str">
        <f>""</f>
        <v/>
      </c>
      <c r="DF48" t="str">
        <f>""</f>
        <v/>
      </c>
      <c r="DG48" t="str">
        <f>""</f>
        <v/>
      </c>
      <c r="DH48" t="str">
        <f>""</f>
        <v/>
      </c>
      <c r="DI48" t="str">
        <f>""</f>
        <v/>
      </c>
      <c r="DJ48" t="str">
        <f>""</f>
        <v/>
      </c>
      <c r="DK48" t="str">
        <f>""</f>
        <v/>
      </c>
      <c r="DL48" t="str">
        <f>""</f>
        <v/>
      </c>
      <c r="DM48" t="str">
        <f>""</f>
        <v/>
      </c>
      <c r="DN48" t="str">
        <f>""</f>
        <v/>
      </c>
      <c r="DO48" t="str">
        <f>""</f>
        <v/>
      </c>
      <c r="DP48" t="str">
        <f>""</f>
        <v/>
      </c>
      <c r="DQ48" t="str">
        <f>""</f>
        <v/>
      </c>
      <c r="DR48" t="str">
        <f>""</f>
        <v/>
      </c>
      <c r="DS48" t="str">
        <f>""</f>
        <v/>
      </c>
      <c r="DT48" t="str">
        <f>""</f>
        <v/>
      </c>
      <c r="DU48" t="str">
        <f>""</f>
        <v/>
      </c>
    </row>
    <row r="49" spans="1:125">
      <c r="A49" t="str">
        <f>$A$15</f>
        <v xml:space="preserve">    购物商城房地产投资信托总营运现金流</v>
      </c>
      <c r="B49" t="str">
        <f>$B$15</f>
        <v>RECFFORM Index</v>
      </c>
      <c r="C49" t="str">
        <f>$C$15</f>
        <v>PR005</v>
      </c>
      <c r="D49" t="str">
        <f>$D$15</f>
        <v>PX_LAST</v>
      </c>
      <c r="E49" t="str">
        <f>$E$15</f>
        <v>动态</v>
      </c>
      <c r="F49" t="str">
        <f ca="1">BDH($B$15,$C$15,$B$36,$B$37,CONCATENATE("Per=",$B$34),"Dts=H","Dir=H",CONCATENATE("Points=",$B$35),"Sort=R","Days=A","Fill=B",CONCATENATE("FX=", $B$33) )</f>
        <v>#N/A Authorization</v>
      </c>
      <c r="BN49" t="str">
        <f>""</f>
        <v/>
      </c>
      <c r="BO49" t="str">
        <f>""</f>
        <v/>
      </c>
      <c r="BP49" t="str">
        <f>""</f>
        <v/>
      </c>
      <c r="BQ49" t="str">
        <f>""</f>
        <v/>
      </c>
      <c r="BR49" t="str">
        <f>""</f>
        <v/>
      </c>
      <c r="BS49" t="str">
        <f>""</f>
        <v/>
      </c>
      <c r="BT49" t="str">
        <f>""</f>
        <v/>
      </c>
      <c r="BU49" t="str">
        <f>""</f>
        <v/>
      </c>
      <c r="BV49" t="str">
        <f>""</f>
        <v/>
      </c>
      <c r="BW49" t="str">
        <f>""</f>
        <v/>
      </c>
      <c r="BX49" t="str">
        <f>""</f>
        <v/>
      </c>
      <c r="BY49" t="str">
        <f>""</f>
        <v/>
      </c>
      <c r="BZ49" t="str">
        <f>""</f>
        <v/>
      </c>
      <c r="CA49" t="str">
        <f>""</f>
        <v/>
      </c>
      <c r="CB49" t="str">
        <f>""</f>
        <v/>
      </c>
      <c r="CC49" t="str">
        <f>""</f>
        <v/>
      </c>
      <c r="CD49" t="str">
        <f>""</f>
        <v/>
      </c>
      <c r="CE49" t="str">
        <f>""</f>
        <v/>
      </c>
      <c r="CF49" t="str">
        <f>""</f>
        <v/>
      </c>
      <c r="CG49" t="str">
        <f>""</f>
        <v/>
      </c>
      <c r="CH49" t="str">
        <f>""</f>
        <v/>
      </c>
      <c r="CI49" t="str">
        <f>""</f>
        <v/>
      </c>
      <c r="CJ49" t="str">
        <f>""</f>
        <v/>
      </c>
      <c r="CK49" t="str">
        <f>""</f>
        <v/>
      </c>
      <c r="CL49" t="str">
        <f>""</f>
        <v/>
      </c>
      <c r="CM49" t="str">
        <f>""</f>
        <v/>
      </c>
      <c r="CN49" t="str">
        <f>""</f>
        <v/>
      </c>
      <c r="CO49" t="str">
        <f>""</f>
        <v/>
      </c>
      <c r="CP49" t="str">
        <f>""</f>
        <v/>
      </c>
      <c r="CQ49" t="str">
        <f>""</f>
        <v/>
      </c>
      <c r="CR49" t="str">
        <f>""</f>
        <v/>
      </c>
      <c r="CS49" t="str">
        <f>""</f>
        <v/>
      </c>
      <c r="CT49" t="str">
        <f>""</f>
        <v/>
      </c>
      <c r="CU49" t="str">
        <f>""</f>
        <v/>
      </c>
      <c r="CV49" t="str">
        <f>""</f>
        <v/>
      </c>
      <c r="CW49" t="str">
        <f>""</f>
        <v/>
      </c>
      <c r="CX49" t="str">
        <f>""</f>
        <v/>
      </c>
      <c r="CY49" t="str">
        <f>""</f>
        <v/>
      </c>
      <c r="CZ49" t="str">
        <f>""</f>
        <v/>
      </c>
      <c r="DA49" t="str">
        <f>""</f>
        <v/>
      </c>
      <c r="DB49" t="str">
        <f>""</f>
        <v/>
      </c>
      <c r="DC49" t="str">
        <f>""</f>
        <v/>
      </c>
      <c r="DD49" t="str">
        <f>""</f>
        <v/>
      </c>
      <c r="DE49" t="str">
        <f>""</f>
        <v/>
      </c>
      <c r="DF49" t="str">
        <f>""</f>
        <v/>
      </c>
      <c r="DG49" t="str">
        <f>""</f>
        <v/>
      </c>
      <c r="DH49" t="str">
        <f>""</f>
        <v/>
      </c>
      <c r="DI49" t="str">
        <f>""</f>
        <v/>
      </c>
      <c r="DJ49" t="str">
        <f>""</f>
        <v/>
      </c>
      <c r="DK49" t="str">
        <f>""</f>
        <v/>
      </c>
      <c r="DL49" t="str">
        <f>""</f>
        <v/>
      </c>
      <c r="DM49" t="str">
        <f>""</f>
        <v/>
      </c>
      <c r="DN49" t="str">
        <f>""</f>
        <v/>
      </c>
      <c r="DO49" t="str">
        <f>""</f>
        <v/>
      </c>
      <c r="DP49" t="str">
        <f>""</f>
        <v/>
      </c>
      <c r="DQ49" t="str">
        <f>""</f>
        <v/>
      </c>
      <c r="DR49" t="str">
        <f>""</f>
        <v/>
      </c>
      <c r="DS49" t="str">
        <f>""</f>
        <v/>
      </c>
      <c r="DT49" t="str">
        <f>""</f>
        <v/>
      </c>
      <c r="DU49" t="str">
        <f>""</f>
        <v/>
      </c>
    </row>
    <row r="50" spans="1:125">
      <c r="A50" t="str">
        <f>$A$16</f>
        <v xml:space="preserve">    购物商城房地产投资信托净营业利润</v>
      </c>
      <c r="B50" t="str">
        <f>$B$16</f>
        <v>RECFNORM Index</v>
      </c>
      <c r="C50" t="str">
        <f>$C$16</f>
        <v>PR005</v>
      </c>
      <c r="D50" t="str">
        <f>$D$16</f>
        <v>PX_LAST</v>
      </c>
      <c r="E50" t="str">
        <f>$E$16</f>
        <v>动态</v>
      </c>
      <c r="F50" t="str">
        <f ca="1">BDH($B$16,$C$16,$B$36,$B$37,CONCATENATE("Per=",$B$34),"Dts=H","Dir=H",CONCATENATE("Points=",$B$35),"Sort=R","Days=A","Fill=B",CONCATENATE("FX=", $B$33) )</f>
        <v>#N/A Authorization</v>
      </c>
      <c r="BN50" t="str">
        <f>""</f>
        <v/>
      </c>
      <c r="BO50" t="str">
        <f>""</f>
        <v/>
      </c>
      <c r="BP50" t="str">
        <f>""</f>
        <v/>
      </c>
      <c r="BQ50" t="str">
        <f>""</f>
        <v/>
      </c>
      <c r="BR50" t="str">
        <f>""</f>
        <v/>
      </c>
      <c r="BS50" t="str">
        <f>""</f>
        <v/>
      </c>
      <c r="BT50" t="str">
        <f>""</f>
        <v/>
      </c>
      <c r="BU50" t="str">
        <f>""</f>
        <v/>
      </c>
      <c r="BV50" t="str">
        <f>""</f>
        <v/>
      </c>
      <c r="BW50" t="str">
        <f>""</f>
        <v/>
      </c>
      <c r="BX50" t="str">
        <f>""</f>
        <v/>
      </c>
      <c r="BY50" t="str">
        <f>""</f>
        <v/>
      </c>
      <c r="BZ50" t="str">
        <f>""</f>
        <v/>
      </c>
      <c r="CA50" t="str">
        <f>""</f>
        <v/>
      </c>
      <c r="CB50" t="str">
        <f>""</f>
        <v/>
      </c>
      <c r="CC50" t="str">
        <f>""</f>
        <v/>
      </c>
      <c r="CD50" t="str">
        <f>""</f>
        <v/>
      </c>
      <c r="CE50" t="str">
        <f>""</f>
        <v/>
      </c>
      <c r="CF50" t="str">
        <f>""</f>
        <v/>
      </c>
      <c r="CG50" t="str">
        <f>""</f>
        <v/>
      </c>
      <c r="CH50" t="str">
        <f>""</f>
        <v/>
      </c>
      <c r="CI50" t="str">
        <f>""</f>
        <v/>
      </c>
      <c r="CJ50" t="str">
        <f>""</f>
        <v/>
      </c>
      <c r="CK50" t="str">
        <f>""</f>
        <v/>
      </c>
      <c r="CL50" t="str">
        <f>""</f>
        <v/>
      </c>
      <c r="CM50" t="str">
        <f>""</f>
        <v/>
      </c>
      <c r="CN50" t="str">
        <f>""</f>
        <v/>
      </c>
      <c r="CO50" t="str">
        <f>""</f>
        <v/>
      </c>
      <c r="CP50" t="str">
        <f>""</f>
        <v/>
      </c>
      <c r="CQ50" t="str">
        <f>""</f>
        <v/>
      </c>
      <c r="CR50" t="str">
        <f>""</f>
        <v/>
      </c>
      <c r="CS50" t="str">
        <f>""</f>
        <v/>
      </c>
      <c r="CT50" t="str">
        <f>""</f>
        <v/>
      </c>
      <c r="CU50" t="str">
        <f>""</f>
        <v/>
      </c>
      <c r="CV50" t="str">
        <f>""</f>
        <v/>
      </c>
      <c r="CW50" t="str">
        <f>""</f>
        <v/>
      </c>
      <c r="CX50" t="str">
        <f>""</f>
        <v/>
      </c>
      <c r="CY50" t="str">
        <f>""</f>
        <v/>
      </c>
      <c r="CZ50" t="str">
        <f>""</f>
        <v/>
      </c>
      <c r="DA50" t="str">
        <f>""</f>
        <v/>
      </c>
      <c r="DB50" t="str">
        <f>""</f>
        <v/>
      </c>
      <c r="DC50" t="str">
        <f>""</f>
        <v/>
      </c>
      <c r="DD50" t="str">
        <f>""</f>
        <v/>
      </c>
      <c r="DE50" t="str">
        <f>""</f>
        <v/>
      </c>
      <c r="DF50" t="str">
        <f>""</f>
        <v/>
      </c>
      <c r="DG50" t="str">
        <f>""</f>
        <v/>
      </c>
      <c r="DH50" t="str">
        <f>""</f>
        <v/>
      </c>
      <c r="DI50" t="str">
        <f>""</f>
        <v/>
      </c>
      <c r="DJ50" t="str">
        <f>""</f>
        <v/>
      </c>
      <c r="DK50" t="str">
        <f>""</f>
        <v/>
      </c>
      <c r="DL50" t="str">
        <f>""</f>
        <v/>
      </c>
      <c r="DM50" t="str">
        <f>""</f>
        <v/>
      </c>
      <c r="DN50" t="str">
        <f>""</f>
        <v/>
      </c>
      <c r="DO50" t="str">
        <f>""</f>
        <v/>
      </c>
      <c r="DP50" t="str">
        <f>""</f>
        <v/>
      </c>
      <c r="DQ50" t="str">
        <f>""</f>
        <v/>
      </c>
      <c r="DR50" t="str">
        <f>""</f>
        <v/>
      </c>
      <c r="DS50" t="str">
        <f>""</f>
        <v/>
      </c>
      <c r="DT50" t="str">
        <f>""</f>
        <v/>
      </c>
      <c r="DU50" t="str">
        <f>""</f>
        <v/>
      </c>
    </row>
    <row r="51" spans="1:125">
      <c r="A51" t="str">
        <f>$A$17</f>
        <v xml:space="preserve">    购物商城房地产投资信托同店净营业利润增长</v>
      </c>
      <c r="B51" t="str">
        <f>$B$17</f>
        <v>RECFSSRM Index</v>
      </c>
      <c r="C51" t="str">
        <f>$C$17</f>
        <v>PR005</v>
      </c>
      <c r="D51" t="str">
        <f>$D$17</f>
        <v>PX_LAST</v>
      </c>
      <c r="E51" t="str">
        <f>$E$17</f>
        <v>动态</v>
      </c>
      <c r="F51" t="str">
        <f ca="1">BDH($B$17,$C$17,$B$36,$B$37,CONCATENATE("Per=",$B$34),"Dts=H","Dir=H",CONCATENATE("Points=",$B$35),"Sort=R","Days=A","Fill=B",CONCATENATE("FX=", $B$33) )</f>
        <v>#N/A Authorization</v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  <c r="CH51" t="str">
        <f>""</f>
        <v/>
      </c>
      <c r="CI51" t="str">
        <f>""</f>
        <v/>
      </c>
      <c r="CJ51" t="str">
        <f>""</f>
        <v/>
      </c>
      <c r="CK51" t="str">
        <f>""</f>
        <v/>
      </c>
      <c r="CL51" t="str">
        <f>""</f>
        <v/>
      </c>
      <c r="CM51" t="str">
        <f>""</f>
        <v/>
      </c>
      <c r="CN51" t="str">
        <f>""</f>
        <v/>
      </c>
      <c r="CO51" t="str">
        <f>""</f>
        <v/>
      </c>
      <c r="CP51" t="str">
        <f>""</f>
        <v/>
      </c>
      <c r="CQ51" t="str">
        <f>""</f>
        <v/>
      </c>
      <c r="CR51" t="str">
        <f>""</f>
        <v/>
      </c>
      <c r="CS51" t="str">
        <f>""</f>
        <v/>
      </c>
      <c r="CT51" t="str">
        <f>""</f>
        <v/>
      </c>
      <c r="CU51" t="str">
        <f>""</f>
        <v/>
      </c>
      <c r="CV51" t="str">
        <f>""</f>
        <v/>
      </c>
      <c r="CW51" t="str">
        <f>""</f>
        <v/>
      </c>
      <c r="CX51" t="str">
        <f>""</f>
        <v/>
      </c>
      <c r="CY51" t="str">
        <f>""</f>
        <v/>
      </c>
      <c r="CZ51" t="str">
        <f>""</f>
        <v/>
      </c>
      <c r="DA51" t="str">
        <f>""</f>
        <v/>
      </c>
      <c r="DB51" t="str">
        <f>""</f>
        <v/>
      </c>
      <c r="DC51" t="str">
        <f>""</f>
        <v/>
      </c>
      <c r="DD51" t="str">
        <f>""</f>
        <v/>
      </c>
      <c r="DE51" t="str">
        <f>""</f>
        <v/>
      </c>
      <c r="DF51" t="str">
        <f>""</f>
        <v/>
      </c>
      <c r="DG51" t="str">
        <f>""</f>
        <v/>
      </c>
      <c r="DH51" t="str">
        <f>""</f>
        <v/>
      </c>
      <c r="DI51" t="str">
        <f>""</f>
        <v/>
      </c>
      <c r="DJ51" t="str">
        <f>""</f>
        <v/>
      </c>
      <c r="DK51" t="str">
        <f>""</f>
        <v/>
      </c>
      <c r="DL51" t="str">
        <f>""</f>
        <v/>
      </c>
      <c r="DM51" t="str">
        <f>""</f>
        <v/>
      </c>
      <c r="DN51" t="str">
        <f>""</f>
        <v/>
      </c>
      <c r="DO51" t="str">
        <f>""</f>
        <v/>
      </c>
      <c r="DP51" t="str">
        <f>""</f>
        <v/>
      </c>
      <c r="DQ51" t="str">
        <f>""</f>
        <v/>
      </c>
      <c r="DR51" t="str">
        <f>""</f>
        <v/>
      </c>
      <c r="DS51" t="str">
        <f>""</f>
        <v/>
      </c>
      <c r="DT51" t="str">
        <f>""</f>
        <v/>
      </c>
      <c r="DU51" t="str">
        <f>""</f>
        <v/>
      </c>
    </row>
    <row r="52" spans="1:125">
      <c r="A52" t="str">
        <f>$A$18</f>
        <v xml:space="preserve">    购物商城房地产投资信托总股利支付</v>
      </c>
      <c r="B52" t="str">
        <f>$B$18</f>
        <v>RECFTDRM Index</v>
      </c>
      <c r="C52" t="str">
        <f>$C$18</f>
        <v>PR005</v>
      </c>
      <c r="D52" t="str">
        <f>$D$18</f>
        <v>PX_LAST</v>
      </c>
      <c r="E52" t="str">
        <f>$E$18</f>
        <v>动态</v>
      </c>
      <c r="F52" t="str">
        <f ca="1">BDH($B$18,$C$18,$B$36,$B$37,CONCATENATE("Per=",$B$34),"Dts=H","Dir=H",CONCATENATE("Points=",$B$35),"Sort=R","Days=A","Fill=B",CONCATENATE("FX=", $B$33) )</f>
        <v>#N/A Authorization</v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 t="str">
        <f>""</f>
        <v/>
      </c>
      <c r="BS52" t="str">
        <f>""</f>
        <v/>
      </c>
      <c r="BT52" t="str">
        <f>""</f>
        <v/>
      </c>
      <c r="BU52" t="str">
        <f>""</f>
        <v/>
      </c>
      <c r="BV52" t="str">
        <f>""</f>
        <v/>
      </c>
      <c r="BW52" t="str">
        <f>""</f>
        <v/>
      </c>
      <c r="BX52" t="str">
        <f>""</f>
        <v/>
      </c>
      <c r="BY52" t="str">
        <f>""</f>
        <v/>
      </c>
      <c r="BZ52" t="str">
        <f>""</f>
        <v/>
      </c>
      <c r="CA52" t="str">
        <f>""</f>
        <v/>
      </c>
      <c r="CB52" t="str">
        <f>""</f>
        <v/>
      </c>
      <c r="CC52" t="str">
        <f>""</f>
        <v/>
      </c>
      <c r="CD52" t="str">
        <f>""</f>
        <v/>
      </c>
      <c r="CE52" t="str">
        <f>""</f>
        <v/>
      </c>
      <c r="CF52" t="str">
        <f>""</f>
        <v/>
      </c>
      <c r="CG52" t="str">
        <f>""</f>
        <v/>
      </c>
      <c r="CH52" t="str">
        <f>""</f>
        <v/>
      </c>
      <c r="CI52" t="str">
        <f>""</f>
        <v/>
      </c>
      <c r="CJ52" t="str">
        <f>""</f>
        <v/>
      </c>
      <c r="CK52" t="str">
        <f>""</f>
        <v/>
      </c>
      <c r="CL52" t="str">
        <f>""</f>
        <v/>
      </c>
      <c r="CM52" t="str">
        <f>""</f>
        <v/>
      </c>
      <c r="CN52" t="str">
        <f>""</f>
        <v/>
      </c>
      <c r="CO52" t="str">
        <f>""</f>
        <v/>
      </c>
      <c r="CP52" t="str">
        <f>""</f>
        <v/>
      </c>
      <c r="CQ52" t="str">
        <f>""</f>
        <v/>
      </c>
      <c r="CR52" t="str">
        <f>""</f>
        <v/>
      </c>
      <c r="CS52" t="str">
        <f>""</f>
        <v/>
      </c>
      <c r="CT52" t="str">
        <f>""</f>
        <v/>
      </c>
      <c r="CU52" t="str">
        <f>""</f>
        <v/>
      </c>
      <c r="CV52" t="str">
        <f>""</f>
        <v/>
      </c>
      <c r="CW52" t="str">
        <f>""</f>
        <v/>
      </c>
      <c r="CX52" t="str">
        <f>""</f>
        <v/>
      </c>
      <c r="CY52" t="str">
        <f>""</f>
        <v/>
      </c>
      <c r="CZ52" t="str">
        <f>""</f>
        <v/>
      </c>
      <c r="DA52" t="str">
        <f>""</f>
        <v/>
      </c>
      <c r="DB52" t="str">
        <f>""</f>
        <v/>
      </c>
      <c r="DC52" t="str">
        <f>""</f>
        <v/>
      </c>
      <c r="DD52" t="str">
        <f>""</f>
        <v/>
      </c>
      <c r="DE52" t="str">
        <f>""</f>
        <v/>
      </c>
      <c r="DF52" t="str">
        <f>""</f>
        <v/>
      </c>
      <c r="DG52" t="str">
        <f>""</f>
        <v/>
      </c>
      <c r="DH52" t="str">
        <f>""</f>
        <v/>
      </c>
      <c r="DI52" t="str">
        <f>""</f>
        <v/>
      </c>
      <c r="DJ52" t="str">
        <f>""</f>
        <v/>
      </c>
      <c r="DK52" t="str">
        <f>""</f>
        <v/>
      </c>
      <c r="DL52" t="str">
        <f>""</f>
        <v/>
      </c>
      <c r="DM52" t="str">
        <f>""</f>
        <v/>
      </c>
      <c r="DN52" t="str">
        <f>""</f>
        <v/>
      </c>
      <c r="DO52" t="str">
        <f>""</f>
        <v/>
      </c>
      <c r="DP52" t="str">
        <f>""</f>
        <v/>
      </c>
      <c r="DQ52" t="str">
        <f>""</f>
        <v/>
      </c>
      <c r="DR52" t="str">
        <f>""</f>
        <v/>
      </c>
      <c r="DS52" t="str">
        <f>""</f>
        <v/>
      </c>
      <c r="DT52" t="str">
        <f>""</f>
        <v/>
      </c>
      <c r="DU52" t="str">
        <f>""</f>
        <v/>
      </c>
    </row>
    <row r="53" spans="1:125">
      <c r="A53" t="str">
        <f>$A$20</f>
        <v xml:space="preserve">    独立式房地产投资信托总营运现金流</v>
      </c>
      <c r="B53" t="str">
        <f>$B$20</f>
        <v>RECFFOFS Index</v>
      </c>
      <c r="C53" t="str">
        <f>$C$20</f>
        <v>PR005</v>
      </c>
      <c r="D53" t="str">
        <f>$D$20</f>
        <v>PX_LAST</v>
      </c>
      <c r="E53" t="str">
        <f>$E$20</f>
        <v>动态</v>
      </c>
      <c r="F53" t="str">
        <f ca="1">BDH($B$20,$C$20,$B$36,$B$37,CONCATENATE("Per=",$B$34),"Dts=H","Dir=H",CONCATENATE("Points=",$B$35),"Sort=R","Days=A","Fill=B",CONCATENATE("FX=", $B$33) )</f>
        <v>#N/A Authorization</v>
      </c>
      <c r="BN53" t="str">
        <f>""</f>
        <v/>
      </c>
      <c r="BO53" t="str">
        <f>""</f>
        <v/>
      </c>
      <c r="BP53" t="str">
        <f>""</f>
        <v/>
      </c>
      <c r="BQ53" t="str">
        <f>""</f>
        <v/>
      </c>
      <c r="BR53" t="str">
        <f>""</f>
        <v/>
      </c>
      <c r="BS53" t="str">
        <f>""</f>
        <v/>
      </c>
      <c r="BT53" t="str">
        <f>""</f>
        <v/>
      </c>
      <c r="BU53" t="str">
        <f>""</f>
        <v/>
      </c>
      <c r="BV53" t="str">
        <f>""</f>
        <v/>
      </c>
      <c r="BW53" t="str">
        <f>""</f>
        <v/>
      </c>
      <c r="BX53" t="str">
        <f>""</f>
        <v/>
      </c>
      <c r="BY53" t="str">
        <f>""</f>
        <v/>
      </c>
      <c r="BZ53" t="str">
        <f>""</f>
        <v/>
      </c>
      <c r="CA53" t="str">
        <f>""</f>
        <v/>
      </c>
      <c r="CB53" t="str">
        <f>""</f>
        <v/>
      </c>
      <c r="CC53" t="str">
        <f>""</f>
        <v/>
      </c>
      <c r="CD53" t="str">
        <f>""</f>
        <v/>
      </c>
      <c r="CE53" t="str">
        <f>""</f>
        <v/>
      </c>
      <c r="CF53" t="str">
        <f>""</f>
        <v/>
      </c>
      <c r="CG53" t="str">
        <f>""</f>
        <v/>
      </c>
      <c r="CH53" t="str">
        <f>""</f>
        <v/>
      </c>
      <c r="CI53" t="str">
        <f>""</f>
        <v/>
      </c>
      <c r="CJ53" t="str">
        <f>""</f>
        <v/>
      </c>
      <c r="CK53" t="str">
        <f>""</f>
        <v/>
      </c>
      <c r="CL53" t="str">
        <f>""</f>
        <v/>
      </c>
      <c r="CM53" t="str">
        <f>""</f>
        <v/>
      </c>
      <c r="CN53" t="str">
        <f>""</f>
        <v/>
      </c>
      <c r="CO53" t="str">
        <f>""</f>
        <v/>
      </c>
      <c r="CP53" t="str">
        <f>""</f>
        <v/>
      </c>
      <c r="CQ53" t="str">
        <f>""</f>
        <v/>
      </c>
      <c r="CR53" t="str">
        <f>""</f>
        <v/>
      </c>
      <c r="CS53" t="str">
        <f>""</f>
        <v/>
      </c>
      <c r="CT53" t="str">
        <f>""</f>
        <v/>
      </c>
      <c r="CU53" t="str">
        <f>""</f>
        <v/>
      </c>
      <c r="CV53" t="str">
        <f>""</f>
        <v/>
      </c>
      <c r="CW53" t="str">
        <f>""</f>
        <v/>
      </c>
      <c r="CX53" t="str">
        <f>""</f>
        <v/>
      </c>
      <c r="CY53" t="str">
        <f>""</f>
        <v/>
      </c>
      <c r="CZ53" t="str">
        <f>""</f>
        <v/>
      </c>
      <c r="DA53" t="str">
        <f>""</f>
        <v/>
      </c>
      <c r="DB53" t="str">
        <f>""</f>
        <v/>
      </c>
      <c r="DC53" t="str">
        <f>""</f>
        <v/>
      </c>
      <c r="DD53" t="str">
        <f>""</f>
        <v/>
      </c>
      <c r="DE53" t="str">
        <f>""</f>
        <v/>
      </c>
      <c r="DF53" t="str">
        <f>""</f>
        <v/>
      </c>
      <c r="DG53" t="str">
        <f>""</f>
        <v/>
      </c>
      <c r="DH53" t="str">
        <f>""</f>
        <v/>
      </c>
      <c r="DI53" t="str">
        <f>""</f>
        <v/>
      </c>
      <c r="DJ53" t="str">
        <f>""</f>
        <v/>
      </c>
      <c r="DK53" t="str">
        <f>""</f>
        <v/>
      </c>
      <c r="DL53" t="str">
        <f>""</f>
        <v/>
      </c>
      <c r="DM53" t="str">
        <f>""</f>
        <v/>
      </c>
      <c r="DN53" t="str">
        <f>""</f>
        <v/>
      </c>
      <c r="DO53" t="str">
        <f>""</f>
        <v/>
      </c>
      <c r="DP53" t="str">
        <f>""</f>
        <v/>
      </c>
      <c r="DQ53" t="str">
        <f>""</f>
        <v/>
      </c>
      <c r="DR53" t="str">
        <f>""</f>
        <v/>
      </c>
      <c r="DS53" t="str">
        <f>""</f>
        <v/>
      </c>
      <c r="DT53" t="str">
        <f>""</f>
        <v/>
      </c>
      <c r="DU53" t="str">
        <f>""</f>
        <v/>
      </c>
    </row>
    <row r="54" spans="1:125">
      <c r="A54" t="str">
        <f>$A$21</f>
        <v xml:space="preserve">    独立式房地产投资信托净营业利润</v>
      </c>
      <c r="B54" t="str">
        <f>$B$21</f>
        <v>RECFNOFS Index</v>
      </c>
      <c r="C54" t="str">
        <f>$C$21</f>
        <v>PR005</v>
      </c>
      <c r="D54" t="str">
        <f>$D$21</f>
        <v>PX_LAST</v>
      </c>
      <c r="E54" t="str">
        <f>$E$21</f>
        <v>动态</v>
      </c>
      <c r="F54" t="str">
        <f ca="1">BDH($B$21,$C$21,$B$36,$B$37,CONCATENATE("Per=",$B$34),"Dts=H","Dir=H",CONCATENATE("Points=",$B$35),"Sort=R","Days=A","Fill=B",CONCATENATE("FX=", $B$33) )</f>
        <v>#N/A Authorization</v>
      </c>
      <c r="BN54" t="str">
        <f>""</f>
        <v/>
      </c>
      <c r="BO54" t="str">
        <f>""</f>
        <v/>
      </c>
      <c r="BP54" t="str">
        <f>""</f>
        <v/>
      </c>
      <c r="BQ54" t="str">
        <f>""</f>
        <v/>
      </c>
      <c r="BR54" t="str">
        <f>""</f>
        <v/>
      </c>
      <c r="BS54" t="str">
        <f>""</f>
        <v/>
      </c>
      <c r="BT54" t="str">
        <f>""</f>
        <v/>
      </c>
      <c r="BU54" t="str">
        <f>""</f>
        <v/>
      </c>
      <c r="BV54" t="str">
        <f>""</f>
        <v/>
      </c>
      <c r="BW54" t="str">
        <f>""</f>
        <v/>
      </c>
      <c r="BX54" t="str">
        <f>""</f>
        <v/>
      </c>
      <c r="BY54" t="str">
        <f>""</f>
        <v/>
      </c>
      <c r="BZ54" t="str">
        <f>""</f>
        <v/>
      </c>
      <c r="CA54" t="str">
        <f>""</f>
        <v/>
      </c>
      <c r="CB54" t="str">
        <f>""</f>
        <v/>
      </c>
      <c r="CC54" t="str">
        <f>""</f>
        <v/>
      </c>
      <c r="CD54" t="str">
        <f>""</f>
        <v/>
      </c>
      <c r="CE54" t="str">
        <f>""</f>
        <v/>
      </c>
      <c r="CF54" t="str">
        <f>""</f>
        <v/>
      </c>
      <c r="CG54" t="str">
        <f>""</f>
        <v/>
      </c>
      <c r="CH54" t="str">
        <f>""</f>
        <v/>
      </c>
      <c r="CI54" t="str">
        <f>""</f>
        <v/>
      </c>
      <c r="CJ54" t="str">
        <f>""</f>
        <v/>
      </c>
      <c r="CK54" t="str">
        <f>""</f>
        <v/>
      </c>
      <c r="CL54" t="str">
        <f>""</f>
        <v/>
      </c>
      <c r="CM54" t="str">
        <f>""</f>
        <v/>
      </c>
      <c r="CN54" t="str">
        <f>""</f>
        <v/>
      </c>
      <c r="CO54" t="str">
        <f>""</f>
        <v/>
      </c>
      <c r="CP54" t="str">
        <f>""</f>
        <v/>
      </c>
      <c r="CQ54" t="str">
        <f>""</f>
        <v/>
      </c>
      <c r="CR54" t="str">
        <f>""</f>
        <v/>
      </c>
      <c r="CS54" t="str">
        <f>""</f>
        <v/>
      </c>
      <c r="CT54" t="str">
        <f>""</f>
        <v/>
      </c>
      <c r="CU54" t="str">
        <f>""</f>
        <v/>
      </c>
      <c r="CV54" t="str">
        <f>""</f>
        <v/>
      </c>
      <c r="CW54" t="str">
        <f>""</f>
        <v/>
      </c>
      <c r="CX54" t="str">
        <f>""</f>
        <v/>
      </c>
      <c r="CY54" t="str">
        <f>""</f>
        <v/>
      </c>
      <c r="CZ54" t="str">
        <f>""</f>
        <v/>
      </c>
      <c r="DA54" t="str">
        <f>""</f>
        <v/>
      </c>
      <c r="DB54" t="str">
        <f>""</f>
        <v/>
      </c>
      <c r="DC54" t="str">
        <f>""</f>
        <v/>
      </c>
      <c r="DD54" t="str">
        <f>""</f>
        <v/>
      </c>
      <c r="DE54" t="str">
        <f>""</f>
        <v/>
      </c>
      <c r="DF54" t="str">
        <f>""</f>
        <v/>
      </c>
      <c r="DG54" t="str">
        <f>""</f>
        <v/>
      </c>
      <c r="DH54" t="str">
        <f>""</f>
        <v/>
      </c>
      <c r="DI54" t="str">
        <f>""</f>
        <v/>
      </c>
      <c r="DJ54" t="str">
        <f>""</f>
        <v/>
      </c>
      <c r="DK54" t="str">
        <f>""</f>
        <v/>
      </c>
      <c r="DL54" t="str">
        <f>""</f>
        <v/>
      </c>
      <c r="DM54" t="str">
        <f>""</f>
        <v/>
      </c>
      <c r="DN54" t="str">
        <f>""</f>
        <v/>
      </c>
      <c r="DO54" t="str">
        <f>""</f>
        <v/>
      </c>
      <c r="DP54" t="str">
        <f>""</f>
        <v/>
      </c>
      <c r="DQ54" t="str">
        <f>""</f>
        <v/>
      </c>
      <c r="DR54" t="str">
        <f>""</f>
        <v/>
      </c>
      <c r="DS54" t="str">
        <f>""</f>
        <v/>
      </c>
      <c r="DT54" t="str">
        <f>""</f>
        <v/>
      </c>
      <c r="DU54" t="str">
        <f>""</f>
        <v/>
      </c>
    </row>
    <row r="55" spans="1:125">
      <c r="A55" t="str">
        <f>$A$22</f>
        <v xml:space="preserve">    独立式房地产投资信托总股利支付</v>
      </c>
      <c r="B55" t="str">
        <f>$B$22</f>
        <v>RECFTDFS Index</v>
      </c>
      <c r="C55" t="str">
        <f>$C$22</f>
        <v>PR005</v>
      </c>
      <c r="D55" t="str">
        <f>$D$22</f>
        <v>PX_LAST</v>
      </c>
      <c r="E55" t="str">
        <f>$E$22</f>
        <v>动态</v>
      </c>
      <c r="F55" t="str">
        <f ca="1">BDH($B$22,$C$22,$B$36,$B$37,CONCATENATE("Per=",$B$34),"Dts=H","Dir=H",CONCATENATE("Points=",$B$35),"Sort=R","Days=A","Fill=B",CONCATENATE("FX=", $B$33) )</f>
        <v>#N/A Authorization</v>
      </c>
      <c r="BN55" t="str">
        <f>""</f>
        <v/>
      </c>
      <c r="BO55" t="str">
        <f>""</f>
        <v/>
      </c>
      <c r="BP55" t="str">
        <f>""</f>
        <v/>
      </c>
      <c r="BQ55" t="str">
        <f>""</f>
        <v/>
      </c>
      <c r="BR55" t="str">
        <f>""</f>
        <v/>
      </c>
      <c r="BS55" t="str">
        <f>""</f>
        <v/>
      </c>
      <c r="BT55" t="str">
        <f>""</f>
        <v/>
      </c>
      <c r="BU55" t="str">
        <f>""</f>
        <v/>
      </c>
      <c r="BV55" t="str">
        <f>""</f>
        <v/>
      </c>
      <c r="BW55" t="str">
        <f>""</f>
        <v/>
      </c>
      <c r="BX55" t="str">
        <f>""</f>
        <v/>
      </c>
      <c r="BY55" t="str">
        <f>""</f>
        <v/>
      </c>
      <c r="BZ55" t="str">
        <f>""</f>
        <v/>
      </c>
      <c r="CA55" t="str">
        <f>""</f>
        <v/>
      </c>
      <c r="CB55" t="str">
        <f>""</f>
        <v/>
      </c>
      <c r="CC55" t="str">
        <f>""</f>
        <v/>
      </c>
      <c r="CD55" t="str">
        <f>""</f>
        <v/>
      </c>
      <c r="CE55" t="str">
        <f>""</f>
        <v/>
      </c>
      <c r="CF55" t="str">
        <f>""</f>
        <v/>
      </c>
      <c r="CG55" t="str">
        <f>""</f>
        <v/>
      </c>
      <c r="CH55" t="str">
        <f>""</f>
        <v/>
      </c>
      <c r="CI55" t="str">
        <f>""</f>
        <v/>
      </c>
      <c r="CJ55" t="str">
        <f>""</f>
        <v/>
      </c>
      <c r="CK55" t="str">
        <f>""</f>
        <v/>
      </c>
      <c r="CL55" t="str">
        <f>""</f>
        <v/>
      </c>
      <c r="CM55" t="str">
        <f>""</f>
        <v/>
      </c>
      <c r="CN55" t="str">
        <f>""</f>
        <v/>
      </c>
      <c r="CO55" t="str">
        <f>""</f>
        <v/>
      </c>
      <c r="CP55" t="str">
        <f>""</f>
        <v/>
      </c>
      <c r="CQ55" t="str">
        <f>""</f>
        <v/>
      </c>
      <c r="CR55" t="str">
        <f>""</f>
        <v/>
      </c>
      <c r="CS55" t="str">
        <f>""</f>
        <v/>
      </c>
      <c r="CT55" t="str">
        <f>""</f>
        <v/>
      </c>
      <c r="CU55" t="str">
        <f>""</f>
        <v/>
      </c>
      <c r="CV55" t="str">
        <f>""</f>
        <v/>
      </c>
      <c r="CW55" t="str">
        <f>""</f>
        <v/>
      </c>
      <c r="CX55" t="str">
        <f>""</f>
        <v/>
      </c>
      <c r="CY55" t="str">
        <f>""</f>
        <v/>
      </c>
      <c r="CZ55" t="str">
        <f>""</f>
        <v/>
      </c>
      <c r="DA55" t="str">
        <f>""</f>
        <v/>
      </c>
      <c r="DB55" t="str">
        <f>""</f>
        <v/>
      </c>
      <c r="DC55" t="str">
        <f>""</f>
        <v/>
      </c>
      <c r="DD55" t="str">
        <f>""</f>
        <v/>
      </c>
      <c r="DE55" t="str">
        <f>""</f>
        <v/>
      </c>
      <c r="DF55" t="str">
        <f>""</f>
        <v/>
      </c>
      <c r="DG55" t="str">
        <f>""</f>
        <v/>
      </c>
      <c r="DH55" t="str">
        <f>""</f>
        <v/>
      </c>
      <c r="DI55" t="str">
        <f>""</f>
        <v/>
      </c>
      <c r="DJ55" t="str">
        <f>""</f>
        <v/>
      </c>
      <c r="DK55" t="str">
        <f>""</f>
        <v/>
      </c>
      <c r="DL55" t="str">
        <f>""</f>
        <v/>
      </c>
      <c r="DM55" t="str">
        <f>""</f>
        <v/>
      </c>
      <c r="DN55" t="str">
        <f>""</f>
        <v/>
      </c>
      <c r="DO55" t="str">
        <f>""</f>
        <v/>
      </c>
      <c r="DP55" t="str">
        <f>""</f>
        <v/>
      </c>
      <c r="DQ55" t="str">
        <f>""</f>
        <v/>
      </c>
      <c r="DR55" t="str">
        <f>""</f>
        <v/>
      </c>
      <c r="DS55" t="str">
        <f>""</f>
        <v/>
      </c>
      <c r="DT55" t="str">
        <f>""</f>
        <v/>
      </c>
      <c r="DU55" t="str">
        <f>""</f>
        <v/>
      </c>
    </row>
    <row r="56" spans="1:125">
      <c r="A56" t="str">
        <f>""</f>
        <v/>
      </c>
      <c r="B56" t="str">
        <f>""</f>
        <v/>
      </c>
      <c r="C56" t="str">
        <f>""</f>
        <v/>
      </c>
      <c r="D56" t="str">
        <f>""</f>
        <v/>
      </c>
      <c r="E56" t="str">
        <f>""</f>
        <v/>
      </c>
      <c r="BN56" t="str">
        <f>""</f>
        <v/>
      </c>
      <c r="BO56" t="str">
        <f>""</f>
        <v/>
      </c>
      <c r="BP56" t="str">
        <f>""</f>
        <v/>
      </c>
      <c r="BQ56" t="str">
        <f>""</f>
        <v/>
      </c>
      <c r="BR56" t="str">
        <f>""</f>
        <v/>
      </c>
      <c r="BS56" t="str">
        <f>""</f>
        <v/>
      </c>
      <c r="BT56" t="str">
        <f>""</f>
        <v/>
      </c>
      <c r="BU56" t="str">
        <f>""</f>
        <v/>
      </c>
      <c r="BV56" t="str">
        <f>""</f>
        <v/>
      </c>
      <c r="BW56" t="str">
        <f>""</f>
        <v/>
      </c>
      <c r="BX56" t="str">
        <f>""</f>
        <v/>
      </c>
      <c r="BY56" t="str">
        <f>""</f>
        <v/>
      </c>
      <c r="BZ56" t="str">
        <f>""</f>
        <v/>
      </c>
      <c r="CA56" t="str">
        <f>""</f>
        <v/>
      </c>
      <c r="CB56" t="str">
        <f>""</f>
        <v/>
      </c>
      <c r="CC56" t="str">
        <f>""</f>
        <v/>
      </c>
      <c r="CD56" t="str">
        <f>""</f>
        <v/>
      </c>
      <c r="CE56" t="str">
        <f>""</f>
        <v/>
      </c>
      <c r="CF56" t="str">
        <f>""</f>
        <v/>
      </c>
      <c r="CG56" t="str">
        <f>""</f>
        <v/>
      </c>
      <c r="CH56" t="str">
        <f>""</f>
        <v/>
      </c>
      <c r="CI56" t="str">
        <f>""</f>
        <v/>
      </c>
      <c r="CJ56" t="str">
        <f>""</f>
        <v/>
      </c>
      <c r="CK56" t="str">
        <f>""</f>
        <v/>
      </c>
      <c r="CL56" t="str">
        <f>""</f>
        <v/>
      </c>
      <c r="CM56" t="str">
        <f>""</f>
        <v/>
      </c>
      <c r="CN56" t="str">
        <f>""</f>
        <v/>
      </c>
      <c r="CO56" t="str">
        <f>""</f>
        <v/>
      </c>
      <c r="CP56" t="str">
        <f>""</f>
        <v/>
      </c>
      <c r="CQ56" t="str">
        <f>""</f>
        <v/>
      </c>
      <c r="CR56" t="str">
        <f>""</f>
        <v/>
      </c>
      <c r="CS56" t="str">
        <f>""</f>
        <v/>
      </c>
      <c r="CT56" t="str">
        <f>""</f>
        <v/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 t="str">
        <f>""</f>
        <v/>
      </c>
      <c r="DG56" t="str">
        <f>""</f>
        <v/>
      </c>
      <c r="DH56" t="str">
        <f>""</f>
        <v/>
      </c>
      <c r="DI56" t="str">
        <f>""</f>
        <v/>
      </c>
      <c r="DJ56" t="str">
        <f>""</f>
        <v/>
      </c>
      <c r="DK56" t="str">
        <f>""</f>
        <v/>
      </c>
      <c r="DL56" t="str">
        <f>""</f>
        <v/>
      </c>
      <c r="DM56" t="str">
        <f>""</f>
        <v/>
      </c>
      <c r="DN56" t="str">
        <f>""</f>
        <v/>
      </c>
      <c r="DO56" t="str">
        <f>""</f>
        <v/>
      </c>
      <c r="DP56" t="str">
        <f>""</f>
        <v/>
      </c>
      <c r="DQ56" t="str">
        <f>""</f>
        <v/>
      </c>
      <c r="DR56" t="str">
        <f>""</f>
        <v/>
      </c>
      <c r="DS56" t="str">
        <f>""</f>
        <v/>
      </c>
      <c r="DT56" t="str">
        <f>""</f>
        <v/>
      </c>
      <c r="DU56" t="str">
        <f>""</f>
        <v/>
      </c>
    </row>
    <row r="57" spans="1:125">
      <c r="A57" t="str">
        <f>""</f>
        <v/>
      </c>
      <c r="B57" t="str">
        <f>""</f>
        <v/>
      </c>
      <c r="C57" t="str">
        <f>""</f>
        <v/>
      </c>
      <c r="D57" t="str">
        <f>""</f>
        <v/>
      </c>
      <c r="E57" t="str">
        <f>""</f>
        <v/>
      </c>
      <c r="BN57" t="str">
        <f>""</f>
        <v/>
      </c>
      <c r="BO57" t="str">
        <f>""</f>
        <v/>
      </c>
      <c r="BP57" t="str">
        <f>""</f>
        <v/>
      </c>
      <c r="BQ57" t="str">
        <f>""</f>
        <v/>
      </c>
      <c r="BR57" t="str">
        <f>""</f>
        <v/>
      </c>
      <c r="BS57" t="str">
        <f>""</f>
        <v/>
      </c>
      <c r="BT57" t="str">
        <f>""</f>
        <v/>
      </c>
      <c r="BU57" t="str">
        <f>""</f>
        <v/>
      </c>
      <c r="BV57" t="str">
        <f>""</f>
        <v/>
      </c>
      <c r="BW57" t="str">
        <f>""</f>
        <v/>
      </c>
      <c r="BX57" t="str">
        <f>""</f>
        <v/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  <c r="CH57" t="str">
        <f>""</f>
        <v/>
      </c>
      <c r="CI57" t="str">
        <f>""</f>
        <v/>
      </c>
      <c r="CJ57" t="str">
        <f>""</f>
        <v/>
      </c>
      <c r="CK57" t="str">
        <f>""</f>
        <v/>
      </c>
      <c r="CL57" t="str">
        <f>""</f>
        <v/>
      </c>
      <c r="CM57" t="str">
        <f>""</f>
        <v/>
      </c>
      <c r="CN57" t="str">
        <f>""</f>
        <v/>
      </c>
      <c r="CO57" t="str">
        <f>""</f>
        <v/>
      </c>
      <c r="CP57" t="str">
        <f>""</f>
        <v/>
      </c>
      <c r="CQ57" t="str">
        <f>""</f>
        <v/>
      </c>
      <c r="CR57" t="str">
        <f>""</f>
        <v/>
      </c>
      <c r="CS57" t="str">
        <f>""</f>
        <v/>
      </c>
      <c r="CT57" t="str">
        <f>""</f>
        <v/>
      </c>
      <c r="CU57" t="str">
        <f>""</f>
        <v/>
      </c>
      <c r="CV57" t="str">
        <f>""</f>
        <v/>
      </c>
      <c r="CW57" t="str">
        <f>""</f>
        <v/>
      </c>
      <c r="CX57" t="str">
        <f>""</f>
        <v/>
      </c>
      <c r="CY57" t="str">
        <f>""</f>
        <v/>
      </c>
      <c r="CZ57" t="str">
        <f>""</f>
        <v/>
      </c>
      <c r="DA57" t="str">
        <f>""</f>
        <v/>
      </c>
      <c r="DB57" t="str">
        <f>""</f>
        <v/>
      </c>
      <c r="DC57" t="str">
        <f>""</f>
        <v/>
      </c>
      <c r="DD57" t="str">
        <f>""</f>
        <v/>
      </c>
      <c r="DE57" t="str">
        <f>""</f>
        <v/>
      </c>
      <c r="DF57" t="str">
        <f>""</f>
        <v/>
      </c>
      <c r="DG57" t="str">
        <f>""</f>
        <v/>
      </c>
      <c r="DH57" t="str">
        <f>""</f>
        <v/>
      </c>
      <c r="DI57" t="str">
        <f>""</f>
        <v/>
      </c>
      <c r="DJ57" t="str">
        <f>""</f>
        <v/>
      </c>
      <c r="DK57" t="str">
        <f>""</f>
        <v/>
      </c>
      <c r="DL57" t="str">
        <f>""</f>
        <v/>
      </c>
      <c r="DM57" t="str">
        <f>""</f>
        <v/>
      </c>
      <c r="DN57" t="str">
        <f>""</f>
        <v/>
      </c>
      <c r="DO57" t="str">
        <f>""</f>
        <v/>
      </c>
      <c r="DP57" t="str">
        <f>""</f>
        <v/>
      </c>
      <c r="DQ57" t="str">
        <f>""</f>
        <v/>
      </c>
      <c r="DR57" t="str">
        <f>""</f>
        <v/>
      </c>
      <c r="DS57" t="str">
        <f>""</f>
        <v/>
      </c>
      <c r="DT57" t="str">
        <f>""</f>
        <v/>
      </c>
      <c r="DU57" t="str">
        <f>""</f>
        <v/>
      </c>
    </row>
    <row r="58" spans="1:125">
      <c r="A58" t="str">
        <f>""</f>
        <v/>
      </c>
      <c r="B58" t="str">
        <f>""</f>
        <v/>
      </c>
      <c r="C58" t="str">
        <f>""</f>
        <v/>
      </c>
      <c r="D58" t="str">
        <f>""</f>
        <v/>
      </c>
      <c r="E58" t="str">
        <f>""</f>
        <v/>
      </c>
      <c r="BN58" t="str">
        <f>""</f>
        <v/>
      </c>
      <c r="BO58" t="str">
        <f>""</f>
        <v/>
      </c>
      <c r="BP58" t="str">
        <f>""</f>
        <v/>
      </c>
      <c r="BQ58" t="str">
        <f>""</f>
        <v/>
      </c>
      <c r="BR58" t="str">
        <f>""</f>
        <v/>
      </c>
      <c r="BS58" t="str">
        <f>""</f>
        <v/>
      </c>
      <c r="BT58" t="str">
        <f>""</f>
        <v/>
      </c>
      <c r="BU58" t="str">
        <f>""</f>
        <v/>
      </c>
      <c r="BV58" t="str">
        <f>""</f>
        <v/>
      </c>
      <c r="BW58" t="str">
        <f>""</f>
        <v/>
      </c>
      <c r="BX58" t="str">
        <f>""</f>
        <v/>
      </c>
      <c r="BY58" t="str">
        <f>""</f>
        <v/>
      </c>
      <c r="BZ58" t="str">
        <f>""</f>
        <v/>
      </c>
      <c r="CA58" t="str">
        <f>""</f>
        <v/>
      </c>
      <c r="CB58" t="str">
        <f>""</f>
        <v/>
      </c>
      <c r="CC58" t="str">
        <f>""</f>
        <v/>
      </c>
      <c r="CD58" t="str">
        <f>""</f>
        <v/>
      </c>
      <c r="CE58" t="str">
        <f>""</f>
        <v/>
      </c>
      <c r="CF58" t="str">
        <f>""</f>
        <v/>
      </c>
      <c r="CG58" t="str">
        <f>""</f>
        <v/>
      </c>
      <c r="CH58" t="str">
        <f>""</f>
        <v/>
      </c>
      <c r="CI58" t="str">
        <f>""</f>
        <v/>
      </c>
      <c r="CJ58" t="str">
        <f>""</f>
        <v/>
      </c>
      <c r="CK58" t="str">
        <f>""</f>
        <v/>
      </c>
      <c r="CL58" t="str">
        <f>""</f>
        <v/>
      </c>
      <c r="CM58" t="str">
        <f>""</f>
        <v/>
      </c>
      <c r="CN58" t="str">
        <f>""</f>
        <v/>
      </c>
      <c r="CO58" t="str">
        <f>""</f>
        <v/>
      </c>
      <c r="CP58" t="str">
        <f>""</f>
        <v/>
      </c>
      <c r="CQ58" t="str">
        <f>""</f>
        <v/>
      </c>
      <c r="CR58" t="str">
        <f>""</f>
        <v/>
      </c>
      <c r="CS58" t="str">
        <f>""</f>
        <v/>
      </c>
      <c r="CT58" t="str">
        <f>""</f>
        <v/>
      </c>
      <c r="CU58" t="str">
        <f>""</f>
        <v/>
      </c>
      <c r="CV58" t="str">
        <f>""</f>
        <v/>
      </c>
      <c r="CW58" t="str">
        <f>""</f>
        <v/>
      </c>
      <c r="CX58" t="str">
        <f>""</f>
        <v/>
      </c>
      <c r="CY58" t="str">
        <f>""</f>
        <v/>
      </c>
      <c r="CZ58" t="str">
        <f>""</f>
        <v/>
      </c>
      <c r="DA58" t="str">
        <f>""</f>
        <v/>
      </c>
      <c r="DB58" t="str">
        <f>""</f>
        <v/>
      </c>
      <c r="DC58" t="str">
        <f>""</f>
        <v/>
      </c>
      <c r="DD58" t="str">
        <f>""</f>
        <v/>
      </c>
      <c r="DE58" t="str">
        <f>""</f>
        <v/>
      </c>
      <c r="DF58" t="str">
        <f>""</f>
        <v/>
      </c>
      <c r="DG58" t="str">
        <f>""</f>
        <v/>
      </c>
      <c r="DH58" t="str">
        <f>""</f>
        <v/>
      </c>
      <c r="DI58" t="str">
        <f>""</f>
        <v/>
      </c>
      <c r="DJ58" t="str">
        <f>""</f>
        <v/>
      </c>
      <c r="DK58" t="str">
        <f>""</f>
        <v/>
      </c>
      <c r="DL58" t="str">
        <f>""</f>
        <v/>
      </c>
      <c r="DM58" t="str">
        <f>""</f>
        <v/>
      </c>
      <c r="DN58" t="str">
        <f>""</f>
        <v/>
      </c>
      <c r="DO58" t="str">
        <f>""</f>
        <v/>
      </c>
      <c r="DP58" t="str">
        <f>""</f>
        <v/>
      </c>
      <c r="DQ58" t="str">
        <f>""</f>
        <v/>
      </c>
      <c r="DR58" t="str">
        <f>""</f>
        <v/>
      </c>
      <c r="DS58" t="str">
        <f>""</f>
        <v/>
      </c>
      <c r="DT58" t="str">
        <f>""</f>
        <v/>
      </c>
      <c r="DU58" t="str">
        <f>""</f>
        <v/>
      </c>
    </row>
    <row r="59" spans="1:125">
      <c r="A59" t="str">
        <f>""</f>
        <v/>
      </c>
      <c r="B59" t="str">
        <f>""</f>
        <v/>
      </c>
      <c r="C59" t="str">
        <f>""</f>
        <v/>
      </c>
      <c r="D59" t="str">
        <f>""</f>
        <v/>
      </c>
      <c r="E59" t="str">
        <f>""</f>
        <v/>
      </c>
      <c r="BN59" t="str">
        <f>""</f>
        <v/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  <c r="BT59" t="str">
        <f>""</f>
        <v/>
      </c>
      <c r="BU59" t="str">
        <f>""</f>
        <v/>
      </c>
      <c r="BV59" t="str">
        <f>""</f>
        <v/>
      </c>
      <c r="BW59" t="str">
        <f>""</f>
        <v/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  <c r="CH59" t="str">
        <f>""</f>
        <v/>
      </c>
      <c r="CI59" t="str">
        <f>""</f>
        <v/>
      </c>
      <c r="CJ59" t="str">
        <f>""</f>
        <v/>
      </c>
      <c r="CK59" t="str">
        <f>""</f>
        <v/>
      </c>
      <c r="CL59" t="str">
        <f>""</f>
        <v/>
      </c>
      <c r="CM59" t="str">
        <f>""</f>
        <v/>
      </c>
      <c r="CN59" t="str">
        <f>""</f>
        <v/>
      </c>
      <c r="CO59" t="str">
        <f>""</f>
        <v/>
      </c>
      <c r="CP59" t="str">
        <f>""</f>
        <v/>
      </c>
      <c r="CQ59" t="str">
        <f>""</f>
        <v/>
      </c>
      <c r="CR59" t="str">
        <f>""</f>
        <v/>
      </c>
      <c r="CS59" t="str">
        <f>""</f>
        <v/>
      </c>
      <c r="CT59" t="str">
        <f>""</f>
        <v/>
      </c>
      <c r="CU59" t="str">
        <f>""</f>
        <v/>
      </c>
      <c r="CV59" t="str">
        <f>""</f>
        <v/>
      </c>
      <c r="CW59" t="str">
        <f>""</f>
        <v/>
      </c>
      <c r="CX59" t="str">
        <f>""</f>
        <v/>
      </c>
      <c r="CY59" t="str">
        <f>""</f>
        <v/>
      </c>
      <c r="CZ59" t="str">
        <f>""</f>
        <v/>
      </c>
      <c r="DA59" t="str">
        <f>""</f>
        <v/>
      </c>
      <c r="DB59" t="str">
        <f>""</f>
        <v/>
      </c>
      <c r="DC59" t="str">
        <f>""</f>
        <v/>
      </c>
      <c r="DD59" t="str">
        <f>""</f>
        <v/>
      </c>
      <c r="DE59" t="str">
        <f>""</f>
        <v/>
      </c>
      <c r="DF59" t="str">
        <f>""</f>
        <v/>
      </c>
      <c r="DG59" t="str">
        <f>""</f>
        <v/>
      </c>
      <c r="DH59" t="str">
        <f>""</f>
        <v/>
      </c>
      <c r="DI59" t="str">
        <f>""</f>
        <v/>
      </c>
      <c r="DJ59" t="str">
        <f>""</f>
        <v/>
      </c>
      <c r="DK59" t="str">
        <f>""</f>
        <v/>
      </c>
      <c r="DL59" t="str">
        <f>""</f>
        <v/>
      </c>
      <c r="DM59" t="str">
        <f>""</f>
        <v/>
      </c>
      <c r="DN59" t="str">
        <f>""</f>
        <v/>
      </c>
      <c r="DO59" t="str">
        <f>""</f>
        <v/>
      </c>
      <c r="DP59" t="str">
        <f>""</f>
        <v/>
      </c>
      <c r="DQ59" t="str">
        <f>""</f>
        <v/>
      </c>
      <c r="DR59" t="str">
        <f>""</f>
        <v/>
      </c>
      <c r="DS59" t="str">
        <f>""</f>
        <v/>
      </c>
      <c r="DT59" t="str">
        <f>""</f>
        <v/>
      </c>
      <c r="DU59" t="str">
        <f>""</f>
        <v/>
      </c>
    </row>
    <row r="60" spans="1:125">
      <c r="A60" t="str">
        <f>""</f>
        <v/>
      </c>
      <c r="B60" t="str">
        <f>""</f>
        <v/>
      </c>
      <c r="C60" t="str">
        <f>""</f>
        <v/>
      </c>
      <c r="D60" t="str">
        <f>""</f>
        <v/>
      </c>
      <c r="E60" t="str">
        <f>""</f>
        <v/>
      </c>
      <c r="BN60" t="str">
        <f>""</f>
        <v/>
      </c>
      <c r="BO60" t="str">
        <f>""</f>
        <v/>
      </c>
      <c r="BP60" t="str">
        <f>""</f>
        <v/>
      </c>
      <c r="BQ60" t="str">
        <f>""</f>
        <v/>
      </c>
      <c r="BR60" t="str">
        <f>""</f>
        <v/>
      </c>
      <c r="BS60" t="str">
        <f>""</f>
        <v/>
      </c>
      <c r="BT60" t="str">
        <f>""</f>
        <v/>
      </c>
      <c r="BU60" t="str">
        <f>""</f>
        <v/>
      </c>
      <c r="BV60" t="str">
        <f>""</f>
        <v/>
      </c>
      <c r="BW60" t="str">
        <f>""</f>
        <v/>
      </c>
      <c r="BX60" t="str">
        <f>""</f>
        <v/>
      </c>
      <c r="BY60" t="str">
        <f>""</f>
        <v/>
      </c>
      <c r="BZ60" t="str">
        <f>""</f>
        <v/>
      </c>
      <c r="CA60" t="str">
        <f>""</f>
        <v/>
      </c>
      <c r="CB60" t="str">
        <f>""</f>
        <v/>
      </c>
      <c r="CC60" t="str">
        <f>""</f>
        <v/>
      </c>
      <c r="CD60" t="str">
        <f>""</f>
        <v/>
      </c>
      <c r="CE60" t="str">
        <f>""</f>
        <v/>
      </c>
      <c r="CF60" t="str">
        <f>""</f>
        <v/>
      </c>
      <c r="CG60" t="str">
        <f>""</f>
        <v/>
      </c>
      <c r="CH60" t="str">
        <f>""</f>
        <v/>
      </c>
      <c r="CI60" t="str">
        <f>""</f>
        <v/>
      </c>
      <c r="CJ60" t="str">
        <f>""</f>
        <v/>
      </c>
      <c r="CK60" t="str">
        <f>""</f>
        <v/>
      </c>
      <c r="CL60" t="str">
        <f>""</f>
        <v/>
      </c>
      <c r="CM60" t="str">
        <f>""</f>
        <v/>
      </c>
      <c r="CN60" t="str">
        <f>""</f>
        <v/>
      </c>
      <c r="CO60" t="str">
        <f>""</f>
        <v/>
      </c>
      <c r="CP60" t="str">
        <f>""</f>
        <v/>
      </c>
      <c r="CQ60" t="str">
        <f>""</f>
        <v/>
      </c>
      <c r="CR60" t="str">
        <f>""</f>
        <v/>
      </c>
      <c r="CS60" t="str">
        <f>""</f>
        <v/>
      </c>
      <c r="CT60" t="str">
        <f>""</f>
        <v/>
      </c>
      <c r="CU60" t="str">
        <f>""</f>
        <v/>
      </c>
      <c r="CV60" t="str">
        <f>""</f>
        <v/>
      </c>
      <c r="CW60" t="str">
        <f>""</f>
        <v/>
      </c>
      <c r="CX60" t="str">
        <f>""</f>
        <v/>
      </c>
      <c r="CY60" t="str">
        <f>""</f>
        <v/>
      </c>
      <c r="CZ60" t="str">
        <f>""</f>
        <v/>
      </c>
      <c r="DA60" t="str">
        <f>""</f>
        <v/>
      </c>
      <c r="DB60" t="str">
        <f>""</f>
        <v/>
      </c>
      <c r="DC60" t="str">
        <f>""</f>
        <v/>
      </c>
      <c r="DD60" t="str">
        <f>""</f>
        <v/>
      </c>
      <c r="DE60" t="str">
        <f>""</f>
        <v/>
      </c>
      <c r="DF60" t="str">
        <f>""</f>
        <v/>
      </c>
      <c r="DG60" t="str">
        <f>""</f>
        <v/>
      </c>
      <c r="DH60" t="str">
        <f>""</f>
        <v/>
      </c>
      <c r="DI60" t="str">
        <f>""</f>
        <v/>
      </c>
      <c r="DJ60" t="str">
        <f>""</f>
        <v/>
      </c>
      <c r="DK60" t="str">
        <f>""</f>
        <v/>
      </c>
      <c r="DL60" t="str">
        <f>""</f>
        <v/>
      </c>
      <c r="DM60" t="str">
        <f>""</f>
        <v/>
      </c>
      <c r="DN60" t="str">
        <f>""</f>
        <v/>
      </c>
      <c r="DO60" t="str">
        <f>""</f>
        <v/>
      </c>
      <c r="DP60" t="str">
        <f>""</f>
        <v/>
      </c>
      <c r="DQ60" t="str">
        <f>""</f>
        <v/>
      </c>
      <c r="DR60" t="str">
        <f>""</f>
        <v/>
      </c>
      <c r="DS60" t="str">
        <f>""</f>
        <v/>
      </c>
      <c r="DT60" t="str">
        <f>""</f>
        <v/>
      </c>
      <c r="DU60" t="str">
        <f>""</f>
        <v/>
      </c>
    </row>
    <row r="61" spans="1:125">
      <c r="A61" t="str">
        <f>"~~~~~~~~~~~~~~~~~~~~~"</f>
        <v>~~~~~~~~~~~~~~~~~~~~~</v>
      </c>
      <c r="B61" t="str">
        <f>"~~~~~~~~~~~~~~~~~~~~~"</f>
        <v>~~~~~~~~~~~~~~~~~~~~~</v>
      </c>
      <c r="C61" t="str">
        <f>"~~~~~~~~~~~~~~~~~~~~~"</f>
        <v>~~~~~~~~~~~~~~~~~~~~~</v>
      </c>
      <c r="D61" t="str">
        <f>"~~~~~~~~~~~~~~~~~~~~~"</f>
        <v>~~~~~~~~~~~~~~~~~~~~~</v>
      </c>
      <c r="E61" t="str">
        <f>"~~~~~~~~~~~~~~~~~~~~~"</f>
        <v>~~~~~~~~~~~~~~~~~~~~~</v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  <c r="CH61" t="str">
        <f>""</f>
        <v/>
      </c>
      <c r="CI61" t="str">
        <f>""</f>
        <v/>
      </c>
      <c r="CJ61" t="str">
        <f>""</f>
        <v/>
      </c>
      <c r="CK61" t="str">
        <f>""</f>
        <v/>
      </c>
      <c r="CL61" t="str">
        <f>""</f>
        <v/>
      </c>
      <c r="CM61" t="str">
        <f>""</f>
        <v/>
      </c>
      <c r="CN61" t="str">
        <f>""</f>
        <v/>
      </c>
      <c r="CO61" t="str">
        <f>""</f>
        <v/>
      </c>
      <c r="CP61" t="str">
        <f>""</f>
        <v/>
      </c>
      <c r="CQ61" t="str">
        <f>""</f>
        <v/>
      </c>
      <c r="CR61" t="str">
        <f>""</f>
        <v/>
      </c>
      <c r="CS61" t="str">
        <f>""</f>
        <v/>
      </c>
      <c r="CT61" t="str">
        <f>""</f>
        <v/>
      </c>
      <c r="CU61" t="str">
        <f>""</f>
        <v/>
      </c>
      <c r="CV61" t="str">
        <f>""</f>
        <v/>
      </c>
      <c r="CW61" t="str">
        <f>""</f>
        <v/>
      </c>
      <c r="CX61" t="str">
        <f>""</f>
        <v/>
      </c>
      <c r="CY61" t="str">
        <f>""</f>
        <v/>
      </c>
      <c r="CZ61" t="str">
        <f>""</f>
        <v/>
      </c>
      <c r="DA61" t="str">
        <f>""</f>
        <v/>
      </c>
      <c r="DB61" t="str">
        <f>""</f>
        <v/>
      </c>
      <c r="DC61" t="str">
        <f>""</f>
        <v/>
      </c>
      <c r="DD61" t="str">
        <f>""</f>
        <v/>
      </c>
      <c r="DE61" t="str">
        <f>""</f>
        <v/>
      </c>
      <c r="DF61" t="str">
        <f>""</f>
        <v/>
      </c>
      <c r="DG61" t="str">
        <f>""</f>
        <v/>
      </c>
      <c r="DH61" t="str">
        <f>""</f>
        <v/>
      </c>
      <c r="DI61" t="str">
        <f>""</f>
        <v/>
      </c>
      <c r="DJ61" t="str">
        <f>""</f>
        <v/>
      </c>
      <c r="DK61" t="str">
        <f>""</f>
        <v/>
      </c>
      <c r="DL61" t="str">
        <f>""</f>
        <v/>
      </c>
      <c r="DM61" t="str">
        <f>""</f>
        <v/>
      </c>
      <c r="DN61" t="str">
        <f>""</f>
        <v/>
      </c>
      <c r="DO61" t="str">
        <f>""</f>
        <v/>
      </c>
      <c r="DP61" t="str">
        <f>""</f>
        <v/>
      </c>
      <c r="DQ61" t="str">
        <f>""</f>
        <v/>
      </c>
      <c r="DR61" t="str">
        <f>""</f>
        <v/>
      </c>
      <c r="DS61" t="str">
        <f>""</f>
        <v/>
      </c>
      <c r="DT61" t="str">
        <f>""</f>
        <v/>
      </c>
      <c r="DU61" t="str">
        <f>""</f>
        <v/>
      </c>
    </row>
    <row r="62" spans="1:125">
      <c r="A62" t="str">
        <f>"Rows below for column date calculation"</f>
        <v>Rows below for column date calculation</v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  <c r="CH62" t="str">
        <f>""</f>
        <v/>
      </c>
      <c r="CI62" t="str">
        <f>""</f>
        <v/>
      </c>
      <c r="CJ62" t="str">
        <f>""</f>
        <v/>
      </c>
      <c r="CK62" t="str">
        <f>""</f>
        <v/>
      </c>
      <c r="CL62" t="str">
        <f>""</f>
        <v/>
      </c>
      <c r="CM62" t="str">
        <f>""</f>
        <v/>
      </c>
      <c r="CN62" t="str">
        <f>""</f>
        <v/>
      </c>
      <c r="CO62" t="str">
        <f>""</f>
        <v/>
      </c>
      <c r="CP62" t="str">
        <f>""</f>
        <v/>
      </c>
      <c r="CQ62" t="str">
        <f>""</f>
        <v/>
      </c>
      <c r="CR62" t="str">
        <f>""</f>
        <v/>
      </c>
      <c r="CS62" t="str">
        <f>""</f>
        <v/>
      </c>
      <c r="CT62" t="str">
        <f>""</f>
        <v/>
      </c>
      <c r="CU62" t="str">
        <f>""</f>
        <v/>
      </c>
      <c r="CV62" t="str">
        <f>""</f>
        <v/>
      </c>
      <c r="CW62" t="str">
        <f>""</f>
        <v/>
      </c>
      <c r="CX62" t="str">
        <f>""</f>
        <v/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 t="str">
        <f>""</f>
        <v/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</row>
    <row r="63" spans="1:125">
      <c r="A63" t="str">
        <f>"Downloaded at"</f>
        <v>Downloaded at</v>
      </c>
      <c r="B63">
        <f>DATE(2018, 3,13)</f>
        <v>43172</v>
      </c>
      <c r="C63" t="str">
        <f>""</f>
        <v/>
      </c>
      <c r="D63" t="str">
        <f>""</f>
        <v/>
      </c>
      <c r="E63" t="str">
        <f>""</f>
        <v/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  <c r="BT63" t="str">
        <f>""</f>
        <v/>
      </c>
      <c r="BU63" t="str">
        <f>""</f>
        <v/>
      </c>
      <c r="BV63" t="str">
        <f>""</f>
        <v/>
      </c>
      <c r="BW63" t="str">
        <f>""</f>
        <v/>
      </c>
      <c r="BX63" t="str">
        <f>""</f>
        <v/>
      </c>
      <c r="BY63" t="str">
        <f>""</f>
        <v/>
      </c>
      <c r="BZ63" t="str">
        <f>""</f>
        <v/>
      </c>
      <c r="CA63" t="str">
        <f>""</f>
        <v/>
      </c>
      <c r="CB63" t="str">
        <f>""</f>
        <v/>
      </c>
      <c r="CC63" t="str">
        <f>""</f>
        <v/>
      </c>
      <c r="CD63" t="str">
        <f>""</f>
        <v/>
      </c>
      <c r="CE63" t="str">
        <f>""</f>
        <v/>
      </c>
      <c r="CF63" t="str">
        <f>""</f>
        <v/>
      </c>
      <c r="CG63" t="str">
        <f>""</f>
        <v/>
      </c>
      <c r="CH63" t="str">
        <f>""</f>
        <v/>
      </c>
      <c r="CI63" t="str">
        <f>""</f>
        <v/>
      </c>
      <c r="CJ63" t="str">
        <f>""</f>
        <v/>
      </c>
      <c r="CK63" t="str">
        <f>""</f>
        <v/>
      </c>
      <c r="CL63" t="str">
        <f>""</f>
        <v/>
      </c>
      <c r="CM63" t="str">
        <f>""</f>
        <v/>
      </c>
      <c r="CN63" t="str">
        <f>""</f>
        <v/>
      </c>
      <c r="CO63" t="str">
        <f>""</f>
        <v/>
      </c>
      <c r="CP63" t="str">
        <f>""</f>
        <v/>
      </c>
      <c r="CQ63" t="str">
        <f>""</f>
        <v/>
      </c>
      <c r="CR63" t="str">
        <f>""</f>
        <v/>
      </c>
      <c r="CS63" t="str">
        <f>""</f>
        <v/>
      </c>
      <c r="CT63" t="str">
        <f>""</f>
        <v/>
      </c>
      <c r="CU63" t="str">
        <f>""</f>
        <v/>
      </c>
      <c r="CV63" t="str">
        <f>""</f>
        <v/>
      </c>
      <c r="CW63" t="str">
        <f>""</f>
        <v/>
      </c>
      <c r="CX63" t="str">
        <f>""</f>
        <v/>
      </c>
      <c r="CY63" t="str">
        <f>""</f>
        <v/>
      </c>
      <c r="CZ63" t="str">
        <f>""</f>
        <v/>
      </c>
      <c r="DA63" t="str">
        <f>""</f>
        <v/>
      </c>
      <c r="DB63" t="str">
        <f>""</f>
        <v/>
      </c>
      <c r="DC63" t="str">
        <f>""</f>
        <v/>
      </c>
      <c r="DD63" t="str">
        <f>""</f>
        <v/>
      </c>
      <c r="DE63" t="str">
        <f>""</f>
        <v/>
      </c>
      <c r="DF63" t="str">
        <f>""</f>
        <v/>
      </c>
      <c r="DG63" t="str">
        <f>""</f>
        <v/>
      </c>
      <c r="DH63" t="str">
        <f>""</f>
        <v/>
      </c>
      <c r="DI63" t="str">
        <f>""</f>
        <v/>
      </c>
      <c r="DJ63" t="str">
        <f>""</f>
        <v/>
      </c>
      <c r="DK63" t="str">
        <f>""</f>
        <v/>
      </c>
      <c r="DL63" t="str">
        <f>""</f>
        <v/>
      </c>
      <c r="DM63" t="str">
        <f>""</f>
        <v/>
      </c>
      <c r="DN63" t="str">
        <f>""</f>
        <v/>
      </c>
      <c r="DO63" t="str">
        <f>""</f>
        <v/>
      </c>
      <c r="DP63" t="str">
        <f>""</f>
        <v/>
      </c>
      <c r="DQ63" t="str">
        <f>""</f>
        <v/>
      </c>
      <c r="DR63" t="str">
        <f>""</f>
        <v/>
      </c>
      <c r="DS63" t="str">
        <f>""</f>
        <v/>
      </c>
      <c r="DT63" t="str">
        <f>""</f>
        <v/>
      </c>
      <c r="DU63" t="str">
        <f>""</f>
        <v/>
      </c>
    </row>
    <row r="64" spans="1:125">
      <c r="A64" t="str">
        <f>"This is End Date"</f>
        <v>This is End Date</v>
      </c>
      <c r="B64">
        <f ca="1">$B$37</f>
        <v>43173</v>
      </c>
      <c r="C64" t="str">
        <f>""</f>
        <v/>
      </c>
      <c r="D64" t="str">
        <f>""</f>
        <v/>
      </c>
      <c r="E64" t="str">
        <f>""</f>
        <v/>
      </c>
      <c r="BN64" t="str">
        <f>""</f>
        <v/>
      </c>
      <c r="BO64" t="str">
        <f>""</f>
        <v/>
      </c>
      <c r="BP64" t="str">
        <f>""</f>
        <v/>
      </c>
      <c r="BQ64" t="str">
        <f>""</f>
        <v/>
      </c>
      <c r="BR64" t="str">
        <f>""</f>
        <v/>
      </c>
      <c r="BS64" t="str">
        <f>""</f>
        <v/>
      </c>
      <c r="BT64" t="str">
        <f>""</f>
        <v/>
      </c>
      <c r="BU64" t="str">
        <f>""</f>
        <v/>
      </c>
      <c r="BV64" t="str">
        <f>""</f>
        <v/>
      </c>
      <c r="BW64" t="str">
        <f>""</f>
        <v/>
      </c>
      <c r="BX64" t="str">
        <f>""</f>
        <v/>
      </c>
      <c r="BY64" t="str">
        <f>""</f>
        <v/>
      </c>
      <c r="BZ64" t="str">
        <f>""</f>
        <v/>
      </c>
      <c r="CA64" t="str">
        <f>""</f>
        <v/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  <c r="CH64" t="str">
        <f>""</f>
        <v/>
      </c>
      <c r="CI64" t="str">
        <f>""</f>
        <v/>
      </c>
      <c r="CJ64" t="str">
        <f>""</f>
        <v/>
      </c>
      <c r="CK64" t="str">
        <f>""</f>
        <v/>
      </c>
      <c r="CL64" t="str">
        <f>""</f>
        <v/>
      </c>
      <c r="CM64" t="str">
        <f>""</f>
        <v/>
      </c>
      <c r="CN64" t="str">
        <f>""</f>
        <v/>
      </c>
      <c r="CO64" t="str">
        <f>""</f>
        <v/>
      </c>
      <c r="CP64" t="str">
        <f>""</f>
        <v/>
      </c>
      <c r="CQ64" t="str">
        <f>""</f>
        <v/>
      </c>
      <c r="CR64" t="str">
        <f>""</f>
        <v/>
      </c>
      <c r="CS64" t="str">
        <f>""</f>
        <v/>
      </c>
      <c r="CT64" t="str">
        <f>""</f>
        <v/>
      </c>
      <c r="CU64" t="str">
        <f>""</f>
        <v/>
      </c>
      <c r="CV64" t="str">
        <f>""</f>
        <v/>
      </c>
      <c r="CW64" t="str">
        <f>""</f>
        <v/>
      </c>
      <c r="CX64" t="str">
        <f>""</f>
        <v/>
      </c>
      <c r="CY64" t="str">
        <f>""</f>
        <v/>
      </c>
      <c r="CZ64" t="str">
        <f>""</f>
        <v/>
      </c>
      <c r="DA64" t="str">
        <f>""</f>
        <v/>
      </c>
      <c r="DB64" t="str">
        <f>""</f>
        <v/>
      </c>
      <c r="DC64" t="str">
        <f>""</f>
        <v/>
      </c>
      <c r="DD64" t="str">
        <f>""</f>
        <v/>
      </c>
      <c r="DE64" t="str">
        <f>""</f>
        <v/>
      </c>
      <c r="DF64" t="str">
        <f>""</f>
        <v/>
      </c>
      <c r="DG64" t="str">
        <f>""</f>
        <v/>
      </c>
      <c r="DH64" t="str">
        <f>""</f>
        <v/>
      </c>
      <c r="DI64" t="str">
        <f>""</f>
        <v/>
      </c>
      <c r="DJ64" t="str">
        <f>""</f>
        <v/>
      </c>
      <c r="DK64" t="str">
        <f>""</f>
        <v/>
      </c>
      <c r="DL64" t="str">
        <f>""</f>
        <v/>
      </c>
      <c r="DM64" t="str">
        <f>""</f>
        <v/>
      </c>
      <c r="DN64" t="str">
        <f>""</f>
        <v/>
      </c>
      <c r="DO64" t="str">
        <f>""</f>
        <v/>
      </c>
      <c r="DP64" t="str">
        <f>""</f>
        <v/>
      </c>
      <c r="DQ64" t="str">
        <f>""</f>
        <v/>
      </c>
      <c r="DR64" t="str">
        <f>""</f>
        <v/>
      </c>
      <c r="DS64" t="str">
        <f>""</f>
        <v/>
      </c>
      <c r="DT64" t="str">
        <f>""</f>
        <v/>
      </c>
      <c r="DU64" t="str">
        <f>""</f>
        <v/>
      </c>
    </row>
    <row r="65" spans="1:125">
      <c r="A65" t="str">
        <f>"简述"</f>
        <v>简述</v>
      </c>
      <c r="B65" t="str">
        <f>"代码"</f>
        <v>代码</v>
      </c>
      <c r="C65" t="str">
        <f>"栏目ID"</f>
        <v>栏目ID</v>
      </c>
      <c r="D65" t="str">
        <f>"栏目助记符"</f>
        <v>栏目助记符</v>
      </c>
      <c r="E65" t="str">
        <f>"数据状态"</f>
        <v>数据状态</v>
      </c>
      <c r="BN65" t="str">
        <f>""</f>
        <v/>
      </c>
      <c r="BO65" t="str">
        <f>""</f>
        <v/>
      </c>
      <c r="BP65" t="str">
        <f>""</f>
        <v/>
      </c>
      <c r="BQ65" t="str">
        <f>""</f>
        <v/>
      </c>
      <c r="BR65" t="str">
        <f>""</f>
        <v/>
      </c>
      <c r="BS65" t="str">
        <f>""</f>
        <v/>
      </c>
      <c r="BT65" t="str">
        <f>""</f>
        <v/>
      </c>
      <c r="BU65" t="str">
        <f>""</f>
        <v/>
      </c>
      <c r="BV65" t="str">
        <f>""</f>
        <v/>
      </c>
      <c r="BW65" t="str">
        <f>""</f>
        <v/>
      </c>
      <c r="BX65" t="str">
        <f>""</f>
        <v/>
      </c>
      <c r="BY65" t="str">
        <f>""</f>
        <v/>
      </c>
      <c r="BZ65" t="str">
        <f>""</f>
        <v/>
      </c>
      <c r="CA65" t="str">
        <f>""</f>
        <v/>
      </c>
      <c r="CB65" t="str">
        <f>""</f>
        <v/>
      </c>
      <c r="CC65" t="str">
        <f>""</f>
        <v/>
      </c>
      <c r="CD65" t="str">
        <f>""</f>
        <v/>
      </c>
      <c r="CE65" t="str">
        <f>""</f>
        <v/>
      </c>
      <c r="CF65" t="str">
        <f>""</f>
        <v/>
      </c>
      <c r="CG65" t="str">
        <f>""</f>
        <v/>
      </c>
      <c r="CH65" t="str">
        <f>""</f>
        <v/>
      </c>
      <c r="CI65" t="str">
        <f>""</f>
        <v/>
      </c>
      <c r="CJ65" t="str">
        <f>""</f>
        <v/>
      </c>
      <c r="CK65" t="str">
        <f>""</f>
        <v/>
      </c>
      <c r="CL65" t="str">
        <f>""</f>
        <v/>
      </c>
      <c r="CM65" t="str">
        <f>""</f>
        <v/>
      </c>
      <c r="CN65" t="str">
        <f>""</f>
        <v/>
      </c>
      <c r="CO65" t="str">
        <f>""</f>
        <v/>
      </c>
      <c r="CP65" t="str">
        <f>""</f>
        <v/>
      </c>
      <c r="CQ65" t="str">
        <f>""</f>
        <v/>
      </c>
      <c r="CR65" t="str">
        <f>""</f>
        <v/>
      </c>
      <c r="CS65" t="str">
        <f>""</f>
        <v/>
      </c>
      <c r="CT65" t="str">
        <f>""</f>
        <v/>
      </c>
      <c r="CU65" t="str">
        <f>""</f>
        <v/>
      </c>
      <c r="CV65" t="str">
        <f>""</f>
        <v/>
      </c>
      <c r="CW65" t="str">
        <f>""</f>
        <v/>
      </c>
      <c r="CX65" t="str">
        <f>""</f>
        <v/>
      </c>
      <c r="CY65" t="str">
        <f>""</f>
        <v/>
      </c>
      <c r="CZ65" t="str">
        <f>""</f>
        <v/>
      </c>
      <c r="DA65" t="str">
        <f>""</f>
        <v/>
      </c>
      <c r="DB65" t="str">
        <f>""</f>
        <v/>
      </c>
      <c r="DC65" t="str">
        <f>""</f>
        <v/>
      </c>
      <c r="DD65" t="str">
        <f>""</f>
        <v/>
      </c>
      <c r="DE65" t="str">
        <f>""</f>
        <v/>
      </c>
      <c r="DF65" t="str">
        <f>""</f>
        <v/>
      </c>
      <c r="DG65" t="str">
        <f>""</f>
        <v/>
      </c>
      <c r="DH65" t="str">
        <f>""</f>
        <v/>
      </c>
      <c r="DI65" t="str">
        <f>""</f>
        <v/>
      </c>
      <c r="DJ65" t="str">
        <f>""</f>
        <v/>
      </c>
      <c r="DK65" t="str">
        <f>""</f>
        <v/>
      </c>
      <c r="DL65" t="str">
        <f>""</f>
        <v/>
      </c>
      <c r="DM65" t="str">
        <f>""</f>
        <v/>
      </c>
      <c r="DN65" t="str">
        <f>""</f>
        <v/>
      </c>
      <c r="DO65" t="str">
        <f>""</f>
        <v/>
      </c>
      <c r="DP65" t="str">
        <f>""</f>
        <v/>
      </c>
      <c r="DQ65" t="str">
        <f>""</f>
        <v/>
      </c>
      <c r="DR65" t="str">
        <f>""</f>
        <v/>
      </c>
      <c r="DS65" t="str">
        <f>""</f>
        <v/>
      </c>
      <c r="DT65" t="str">
        <f>""</f>
        <v/>
      </c>
      <c r="DU65" t="str">
        <f>""</f>
        <v/>
      </c>
    </row>
    <row r="66" spans="1:125">
      <c r="A66" t="str">
        <f>"Snapshot Date"</f>
        <v>Snapshot Date</v>
      </c>
      <c r="B66">
        <f>DATE(2018, 3,13)</f>
        <v>43172</v>
      </c>
      <c r="C66" t="str">
        <f>""</f>
        <v/>
      </c>
      <c r="D66" t="str">
        <f>""</f>
        <v/>
      </c>
      <c r="E66" t="str">
        <f>""</f>
        <v/>
      </c>
      <c r="BN66" t="str">
        <f>""</f>
        <v/>
      </c>
      <c r="BO66" t="str">
        <f>""</f>
        <v/>
      </c>
      <c r="BP66" t="str">
        <f>""</f>
        <v/>
      </c>
      <c r="BQ66" t="str">
        <f>""</f>
        <v/>
      </c>
      <c r="BR66" t="str">
        <f>""</f>
        <v/>
      </c>
      <c r="BS66" t="str">
        <f>""</f>
        <v/>
      </c>
      <c r="BT66" t="str">
        <f>""</f>
        <v/>
      </c>
      <c r="BU66" t="str">
        <f>""</f>
        <v/>
      </c>
      <c r="BV66" t="str">
        <f>""</f>
        <v/>
      </c>
      <c r="BW66" t="str">
        <f>""</f>
        <v/>
      </c>
      <c r="BX66" t="str">
        <f>""</f>
        <v/>
      </c>
      <c r="BY66" t="str">
        <f>""</f>
        <v/>
      </c>
      <c r="BZ66" t="str">
        <f>""</f>
        <v/>
      </c>
      <c r="CA66" t="str">
        <f>""</f>
        <v/>
      </c>
      <c r="CB66" t="str">
        <f>""</f>
        <v/>
      </c>
      <c r="CC66" t="str">
        <f>""</f>
        <v/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  <c r="CH66" t="str">
        <f>""</f>
        <v/>
      </c>
      <c r="CI66" t="str">
        <f>""</f>
        <v/>
      </c>
      <c r="CJ66" t="str">
        <f>""</f>
        <v/>
      </c>
      <c r="CK66" t="str">
        <f>""</f>
        <v/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</row>
    <row r="67" spans="1:125">
      <c r="A67" t="str">
        <f>"Snapshot header"</f>
        <v>Snapshot header</v>
      </c>
      <c r="B67">
        <f>2</f>
        <v>2</v>
      </c>
      <c r="C67" t="str">
        <f>"2017 Q4"</f>
        <v>2017 Q4</v>
      </c>
      <c r="D67" t="str">
        <f>"2017 Q3"</f>
        <v>2017 Q3</v>
      </c>
      <c r="E67" t="str">
        <f>"2017 Q2"</f>
        <v>2017 Q2</v>
      </c>
      <c r="F67" t="str">
        <f>"2017 Q1"</f>
        <v>2017 Q1</v>
      </c>
      <c r="G67" t="str">
        <f>"2016 Q4"</f>
        <v>2016 Q4</v>
      </c>
      <c r="H67" t="str">
        <f>"2016 Q3"</f>
        <v>2016 Q3</v>
      </c>
      <c r="I67" t="str">
        <f>"2016 Q2"</f>
        <v>2016 Q2</v>
      </c>
      <c r="J67" t="str">
        <f>"2016 Q1"</f>
        <v>2016 Q1</v>
      </c>
      <c r="K67" t="str">
        <f>"2015 Q4"</f>
        <v>2015 Q4</v>
      </c>
      <c r="L67" t="str">
        <f>"2015 Q3"</f>
        <v>2015 Q3</v>
      </c>
      <c r="M67" t="str">
        <f>"2015 Q2"</f>
        <v>2015 Q2</v>
      </c>
      <c r="N67" t="str">
        <f>"2015 Q1"</f>
        <v>2015 Q1</v>
      </c>
      <c r="O67" t="str">
        <f>"2014 Q4"</f>
        <v>2014 Q4</v>
      </c>
      <c r="P67" t="str">
        <f>"2014 Q3"</f>
        <v>2014 Q3</v>
      </c>
      <c r="Q67" t="str">
        <f>"2014 Q2"</f>
        <v>2014 Q2</v>
      </c>
      <c r="R67" t="str">
        <f>"2014 Q1"</f>
        <v>2014 Q1</v>
      </c>
      <c r="S67" t="str">
        <f>"2013 Q4"</f>
        <v>2013 Q4</v>
      </c>
      <c r="T67" t="str">
        <f>"2013 Q3"</f>
        <v>2013 Q3</v>
      </c>
      <c r="U67" t="str">
        <f>"2013 Q2"</f>
        <v>2013 Q2</v>
      </c>
      <c r="V67" t="str">
        <f>"2013 Q1"</f>
        <v>2013 Q1</v>
      </c>
      <c r="W67" t="str">
        <f>"2012 Q4"</f>
        <v>2012 Q4</v>
      </c>
      <c r="X67" t="str">
        <f>"2012 Q3"</f>
        <v>2012 Q3</v>
      </c>
      <c r="Y67" t="str">
        <f>"2012 Q2"</f>
        <v>2012 Q2</v>
      </c>
      <c r="Z67" t="str">
        <f>"2012 Q1"</f>
        <v>2012 Q1</v>
      </c>
      <c r="AA67" t="str">
        <f>"2011 Q4"</f>
        <v>2011 Q4</v>
      </c>
      <c r="AB67" t="str">
        <f>"2011 Q3"</f>
        <v>2011 Q3</v>
      </c>
      <c r="AC67" t="str">
        <f>"2011 Q2"</f>
        <v>2011 Q2</v>
      </c>
      <c r="AD67" t="str">
        <f>"2011 Q1"</f>
        <v>2011 Q1</v>
      </c>
      <c r="AE67" t="str">
        <f>"2010 Q4"</f>
        <v>2010 Q4</v>
      </c>
      <c r="AF67" t="str">
        <f>"2010 Q3"</f>
        <v>2010 Q3</v>
      </c>
      <c r="AG67" t="str">
        <f>"2010 Q2"</f>
        <v>2010 Q2</v>
      </c>
      <c r="AH67" t="str">
        <f>"2010 Q1"</f>
        <v>2010 Q1</v>
      </c>
      <c r="AI67" t="str">
        <f>"2009 Q4"</f>
        <v>2009 Q4</v>
      </c>
      <c r="AJ67" t="str">
        <f>"2009 Q3"</f>
        <v>2009 Q3</v>
      </c>
      <c r="AK67" t="str">
        <f>"2009 Q2"</f>
        <v>2009 Q2</v>
      </c>
      <c r="AL67" t="str">
        <f>"2009 Q1"</f>
        <v>2009 Q1</v>
      </c>
      <c r="AM67" t="str">
        <f>"2008 Q4"</f>
        <v>2008 Q4</v>
      </c>
      <c r="AN67" t="str">
        <f>"2008 Q3"</f>
        <v>2008 Q3</v>
      </c>
      <c r="AO67" t="str">
        <f>"2008 Q2"</f>
        <v>2008 Q2</v>
      </c>
      <c r="AP67" t="str">
        <f>"2008 Q1"</f>
        <v>2008 Q1</v>
      </c>
      <c r="AQ67" t="str">
        <f>"2007 Q4"</f>
        <v>2007 Q4</v>
      </c>
      <c r="AR67" t="str">
        <f>"2007 Q3"</f>
        <v>2007 Q3</v>
      </c>
      <c r="AS67" t="str">
        <f>"2007 Q2"</f>
        <v>2007 Q2</v>
      </c>
      <c r="AT67" t="str">
        <f>"2007 Q1"</f>
        <v>2007 Q1</v>
      </c>
      <c r="AU67" t="str">
        <f>"2006 Q4"</f>
        <v>2006 Q4</v>
      </c>
      <c r="AV67" t="str">
        <f>"2006 Q3"</f>
        <v>2006 Q3</v>
      </c>
      <c r="AW67" t="str">
        <f>"2006 Q2"</f>
        <v>2006 Q2</v>
      </c>
      <c r="AX67" t="str">
        <f>"2006 Q1"</f>
        <v>2006 Q1</v>
      </c>
      <c r="AY67" t="str">
        <f>"2005 Q4"</f>
        <v>2005 Q4</v>
      </c>
      <c r="AZ67" t="str">
        <f>"2005 Q3"</f>
        <v>2005 Q3</v>
      </c>
      <c r="BA67" t="str">
        <f>"2005 Q2"</f>
        <v>2005 Q2</v>
      </c>
      <c r="BB67" t="str">
        <f>"2005 Q1"</f>
        <v>2005 Q1</v>
      </c>
      <c r="BC67" t="str">
        <f>"2004 Q4"</f>
        <v>2004 Q4</v>
      </c>
      <c r="BD67" t="str">
        <f>"2004 Q3"</f>
        <v>2004 Q3</v>
      </c>
      <c r="BE67" t="str">
        <f>"2004 Q2"</f>
        <v>2004 Q2</v>
      </c>
      <c r="BF67" t="str">
        <f>"2004 Q1"</f>
        <v>2004 Q1</v>
      </c>
      <c r="BG67" t="str">
        <f>"2003 Q4"</f>
        <v>2003 Q4</v>
      </c>
      <c r="BH67" t="str">
        <f>"2003 Q3"</f>
        <v>2003 Q3</v>
      </c>
      <c r="BI67" t="str">
        <f>"2003 Q2"</f>
        <v>2003 Q2</v>
      </c>
      <c r="BJ67" t="str">
        <f>"2003 Q1"</f>
        <v>2003 Q1</v>
      </c>
      <c r="BN67" t="str">
        <f>""</f>
        <v/>
      </c>
      <c r="BO67" t="str">
        <f>""</f>
        <v/>
      </c>
      <c r="BP67" t="str">
        <f>""</f>
        <v/>
      </c>
      <c r="BQ67" t="str">
        <f>""</f>
        <v/>
      </c>
      <c r="BR67" t="str">
        <f>""</f>
        <v/>
      </c>
      <c r="BS67" t="str">
        <f>""</f>
        <v/>
      </c>
      <c r="BT67" t="str">
        <f>""</f>
        <v/>
      </c>
      <c r="BU67" t="str">
        <f>""</f>
        <v/>
      </c>
      <c r="BV67" t="str">
        <f>""</f>
        <v/>
      </c>
      <c r="BW67" t="str">
        <f>""</f>
        <v/>
      </c>
      <c r="BX67" t="str">
        <f>""</f>
        <v/>
      </c>
      <c r="BY67" t="str">
        <f>""</f>
        <v/>
      </c>
      <c r="BZ67" t="str">
        <f>""</f>
        <v/>
      </c>
      <c r="CA67" t="str">
        <f>""</f>
        <v/>
      </c>
      <c r="CB67" t="str">
        <f>""</f>
        <v/>
      </c>
      <c r="CC67" t="str">
        <f>""</f>
        <v/>
      </c>
      <c r="CD67" t="str">
        <f>""</f>
        <v/>
      </c>
      <c r="CE67" t="str">
        <f>""</f>
        <v/>
      </c>
      <c r="CF67" t="str">
        <f>""</f>
        <v/>
      </c>
      <c r="CG67" t="str">
        <f>""</f>
        <v/>
      </c>
      <c r="CH67" t="str">
        <f>""</f>
        <v/>
      </c>
      <c r="CI67" t="str">
        <f>""</f>
        <v/>
      </c>
      <c r="CJ67" t="str">
        <f>""</f>
        <v/>
      </c>
      <c r="CK67" t="str">
        <f>""</f>
        <v/>
      </c>
      <c r="CL67" t="str">
        <f>""</f>
        <v/>
      </c>
      <c r="CM67" t="str">
        <f>""</f>
        <v/>
      </c>
      <c r="CN67" t="str">
        <f>""</f>
        <v/>
      </c>
      <c r="CO67" t="str">
        <f>""</f>
        <v/>
      </c>
      <c r="CP67" t="str">
        <f>""</f>
        <v/>
      </c>
      <c r="CQ67" t="str">
        <f>""</f>
        <v/>
      </c>
      <c r="CR67" t="str">
        <f>""</f>
        <v/>
      </c>
      <c r="CS67" t="str">
        <f>""</f>
        <v/>
      </c>
      <c r="CT67" t="str">
        <f>""</f>
        <v/>
      </c>
      <c r="CU67" t="str">
        <f>""</f>
        <v/>
      </c>
      <c r="CV67" t="str">
        <f>""</f>
        <v/>
      </c>
      <c r="CW67" t="str">
        <f>""</f>
        <v/>
      </c>
      <c r="CX67" t="str">
        <f>""</f>
        <v/>
      </c>
      <c r="CY67" t="str">
        <f>""</f>
        <v/>
      </c>
      <c r="CZ67" t="str">
        <f>""</f>
        <v/>
      </c>
      <c r="DA67" t="str">
        <f>""</f>
        <v/>
      </c>
      <c r="DB67" t="str">
        <f>""</f>
        <v/>
      </c>
      <c r="DC67" t="str">
        <f>""</f>
        <v/>
      </c>
      <c r="DD67" t="str">
        <f>""</f>
        <v/>
      </c>
      <c r="DE67" t="str">
        <f>""</f>
        <v/>
      </c>
      <c r="DF67" t="str">
        <f>""</f>
        <v/>
      </c>
      <c r="DG67" t="str">
        <f>""</f>
        <v/>
      </c>
      <c r="DH67" t="str">
        <f>""</f>
        <v/>
      </c>
      <c r="DI67" t="str">
        <f>""</f>
        <v/>
      </c>
      <c r="DJ67" t="str">
        <f>""</f>
        <v/>
      </c>
      <c r="DK67" t="str">
        <f>""</f>
        <v/>
      </c>
      <c r="DL67" t="str">
        <f>""</f>
        <v/>
      </c>
      <c r="DM67" t="str">
        <f>""</f>
        <v/>
      </c>
      <c r="DN67" t="str">
        <f>""</f>
        <v/>
      </c>
      <c r="DO67" t="str">
        <f>""</f>
        <v/>
      </c>
      <c r="DP67" t="str">
        <f>""</f>
        <v/>
      </c>
      <c r="DQ67" t="str">
        <f>""</f>
        <v/>
      </c>
      <c r="DR67" t="str">
        <f>""</f>
        <v/>
      </c>
      <c r="DS67" t="str">
        <f>""</f>
        <v/>
      </c>
      <c r="DT67" t="str">
        <f>""</f>
        <v/>
      </c>
      <c r="DU67" t="str">
        <f>""</f>
        <v/>
      </c>
    </row>
    <row r="68" spans="1:125">
      <c r="A68" t="str">
        <f>"BDH snapshot header0"</f>
        <v>BDH snapshot header0</v>
      </c>
      <c r="B68">
        <f>IF(OR(ISERROR($C$68),ISBLANK($C$68),ISNUMBER(SEARCH("N/A",$C$68) ),ISERROR($C$69),ISBLANK($C$69)),0,1)</f>
        <v>0</v>
      </c>
      <c r="C68" t="str">
        <f>BDH($B$4,$C$4,$B$36,$B$66,"PER=CQ","Dts=S","DtFmt=FI", "rows=2","Dir=H","Points=60","Sort=R","Days=A","Fill=B","FX=USD" )</f>
        <v>#N/A Authorization</v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  <c r="BT68" t="str">
        <f>""</f>
        <v/>
      </c>
      <c r="BU68" t="str">
        <f>""</f>
        <v/>
      </c>
      <c r="BV68" t="str">
        <f>""</f>
        <v/>
      </c>
      <c r="BW68" t="str">
        <f>""</f>
        <v/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  <c r="CH68" t="str">
        <f>""</f>
        <v/>
      </c>
      <c r="CI68" t="str">
        <f>""</f>
        <v/>
      </c>
      <c r="CJ68" t="str">
        <f>""</f>
        <v/>
      </c>
      <c r="CK68" t="str">
        <f>""</f>
        <v/>
      </c>
      <c r="CL68" t="str">
        <f>""</f>
        <v/>
      </c>
      <c r="CM68" t="str">
        <f>""</f>
        <v/>
      </c>
      <c r="CN68" t="str">
        <f>""</f>
        <v/>
      </c>
      <c r="CO68" t="str">
        <f>""</f>
        <v/>
      </c>
      <c r="CP68" t="str">
        <f>""</f>
        <v/>
      </c>
      <c r="CQ68" t="str">
        <f>""</f>
        <v/>
      </c>
      <c r="CR68" t="str">
        <f>""</f>
        <v/>
      </c>
      <c r="CS68" t="str">
        <f>""</f>
        <v/>
      </c>
      <c r="CT68" t="str">
        <f>""</f>
        <v/>
      </c>
      <c r="CU68" t="str">
        <f>""</f>
        <v/>
      </c>
      <c r="CV68" t="str">
        <f>""</f>
        <v/>
      </c>
      <c r="CW68" t="str">
        <f>""</f>
        <v/>
      </c>
      <c r="CX68" t="str">
        <f>""</f>
        <v/>
      </c>
      <c r="CY68" t="str">
        <f>""</f>
        <v/>
      </c>
      <c r="CZ68" t="str">
        <f>""</f>
        <v/>
      </c>
      <c r="DA68" t="str">
        <f>""</f>
        <v/>
      </c>
      <c r="DB68" t="str">
        <f>""</f>
        <v/>
      </c>
      <c r="DC68" t="str">
        <f>""</f>
        <v/>
      </c>
      <c r="DD68" t="str">
        <f>""</f>
        <v/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  <c r="DT68" t="str">
        <f>""</f>
        <v/>
      </c>
      <c r="DU68" t="str">
        <f>""</f>
        <v/>
      </c>
    </row>
    <row r="69" spans="1:125">
      <c r="A69" t="str">
        <f>"BDH snapshot result0"</f>
        <v>BDH snapshot result0</v>
      </c>
      <c r="BN69" t="str">
        <f>""</f>
        <v/>
      </c>
      <c r="BO69" t="str">
        <f>""</f>
        <v/>
      </c>
      <c r="BP69" t="str">
        <f>""</f>
        <v/>
      </c>
      <c r="BQ69" t="str">
        <f>""</f>
        <v/>
      </c>
      <c r="BR69" t="str">
        <f>""</f>
        <v/>
      </c>
      <c r="BS69" t="str">
        <f>""</f>
        <v/>
      </c>
      <c r="BT69" t="str">
        <f>""</f>
        <v/>
      </c>
      <c r="BU69" t="str">
        <f>""</f>
        <v/>
      </c>
      <c r="BV69" t="str">
        <f>""</f>
        <v/>
      </c>
      <c r="BW69" t="str">
        <f>""</f>
        <v/>
      </c>
      <c r="BX69" t="str">
        <f>""</f>
        <v/>
      </c>
      <c r="BY69" t="str">
        <f>""</f>
        <v/>
      </c>
      <c r="BZ69" t="str">
        <f>""</f>
        <v/>
      </c>
      <c r="CA69" t="str">
        <f>""</f>
        <v/>
      </c>
      <c r="CB69" t="str">
        <f>""</f>
        <v/>
      </c>
      <c r="CC69" t="str">
        <f>""</f>
        <v/>
      </c>
      <c r="CD69" t="str">
        <f>""</f>
        <v/>
      </c>
      <c r="CE69" t="str">
        <f>""</f>
        <v/>
      </c>
      <c r="CF69" t="str">
        <f>""</f>
        <v/>
      </c>
      <c r="CG69" t="str">
        <f>""</f>
        <v/>
      </c>
      <c r="CH69" t="str">
        <f>""</f>
        <v/>
      </c>
      <c r="CI69" t="str">
        <f>""</f>
        <v/>
      </c>
      <c r="CJ69" t="str">
        <f>""</f>
        <v/>
      </c>
      <c r="CK69" t="str">
        <f>""</f>
        <v/>
      </c>
      <c r="CL69" t="str">
        <f>""</f>
        <v/>
      </c>
      <c r="CM69" t="str">
        <f>""</f>
        <v/>
      </c>
      <c r="CN69" t="str">
        <f>""</f>
        <v/>
      </c>
      <c r="CO69" t="str">
        <f>""</f>
        <v/>
      </c>
      <c r="CP69" t="str">
        <f>""</f>
        <v/>
      </c>
      <c r="CQ69" t="str">
        <f>""</f>
        <v/>
      </c>
      <c r="CR69" t="str">
        <f>""</f>
        <v/>
      </c>
      <c r="CS69" t="str">
        <f>""</f>
        <v/>
      </c>
      <c r="CT69" t="str">
        <f>""</f>
        <v/>
      </c>
      <c r="CU69" t="str">
        <f>""</f>
        <v/>
      </c>
      <c r="CV69" t="str">
        <f>""</f>
        <v/>
      </c>
      <c r="CW69" t="str">
        <f>""</f>
        <v/>
      </c>
      <c r="CX69" t="str">
        <f>""</f>
        <v/>
      </c>
      <c r="CY69" t="str">
        <f>""</f>
        <v/>
      </c>
      <c r="CZ69" t="str">
        <f>""</f>
        <v/>
      </c>
      <c r="DA69" t="str">
        <f>""</f>
        <v/>
      </c>
      <c r="DB69" t="str">
        <f>""</f>
        <v/>
      </c>
      <c r="DC69" t="str">
        <f>""</f>
        <v/>
      </c>
      <c r="DD69" t="str">
        <f>""</f>
        <v/>
      </c>
      <c r="DE69" t="str">
        <f>""</f>
        <v/>
      </c>
      <c r="DF69" t="str">
        <f>""</f>
        <v/>
      </c>
      <c r="DG69" t="str">
        <f>""</f>
        <v/>
      </c>
      <c r="DH69" t="str">
        <f>""</f>
        <v/>
      </c>
      <c r="DI69" t="str">
        <f>""</f>
        <v/>
      </c>
      <c r="DJ69" t="str">
        <f>""</f>
        <v/>
      </c>
      <c r="DK69" t="str">
        <f>""</f>
        <v/>
      </c>
      <c r="DL69" t="str">
        <f>""</f>
        <v/>
      </c>
      <c r="DM69" t="str">
        <f>""</f>
        <v/>
      </c>
      <c r="DN69" t="str">
        <f>""</f>
        <v/>
      </c>
      <c r="DO69" t="str">
        <f>""</f>
        <v/>
      </c>
      <c r="DP69" t="str">
        <f>""</f>
        <v/>
      </c>
      <c r="DQ69" t="str">
        <f>""</f>
        <v/>
      </c>
      <c r="DR69" t="str">
        <f>""</f>
        <v/>
      </c>
      <c r="DS69" t="str">
        <f>""</f>
        <v/>
      </c>
      <c r="DT69" t="str">
        <f>""</f>
        <v/>
      </c>
      <c r="DU69" t="str">
        <f>""</f>
        <v/>
      </c>
    </row>
    <row r="70" spans="1:125">
      <c r="A70" t="str">
        <f>"BDH snapshot header1"</f>
        <v>BDH snapshot header1</v>
      </c>
      <c r="B70">
        <f>IF(OR(ISERROR($C$70),ISBLANK($C$70),ISNUMBER(SEARCH("N/A",$C$70) ),ISERROR($C$71),ISBLANK($C$71)),0,1)</f>
        <v>0</v>
      </c>
      <c r="C70" t="str">
        <f>BDH($B$5,$C$5,$B$36,$B$66,"PER=CQ","Dts=S","DtFmt=FI", "rows=2","Dir=H","Points=60","Sort=R","Days=A","Fill=B","FX=USD" )</f>
        <v>#N/A Authorization</v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  <c r="BT70" t="str">
        <f>""</f>
        <v/>
      </c>
      <c r="BU70" t="str">
        <f>""</f>
        <v/>
      </c>
      <c r="BV70" t="str">
        <f>""</f>
        <v/>
      </c>
      <c r="BW70" t="str">
        <f>""</f>
        <v/>
      </c>
      <c r="BX70" t="str">
        <f>""</f>
        <v/>
      </c>
      <c r="BY70" t="str">
        <f>""</f>
        <v/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  <c r="CH70" t="str">
        <f>""</f>
        <v/>
      </c>
      <c r="CI70" t="str">
        <f>""</f>
        <v/>
      </c>
      <c r="CJ70" t="str">
        <f>""</f>
        <v/>
      </c>
      <c r="CK70" t="str">
        <f>""</f>
        <v/>
      </c>
      <c r="CL70" t="str">
        <f>""</f>
        <v/>
      </c>
      <c r="CM70" t="str">
        <f>""</f>
        <v/>
      </c>
      <c r="CN70" t="str">
        <f>""</f>
        <v/>
      </c>
      <c r="CO70" t="str">
        <f>""</f>
        <v/>
      </c>
      <c r="CP70" t="str">
        <f>""</f>
        <v/>
      </c>
      <c r="CQ70" t="str">
        <f>""</f>
        <v/>
      </c>
      <c r="CR70" t="str">
        <f>""</f>
        <v/>
      </c>
      <c r="CS70" t="str">
        <f>""</f>
        <v/>
      </c>
      <c r="CT70" t="str">
        <f>""</f>
        <v/>
      </c>
      <c r="CU70" t="str">
        <f>""</f>
        <v/>
      </c>
      <c r="CV70" t="str">
        <f>""</f>
        <v/>
      </c>
      <c r="CW70" t="str">
        <f>""</f>
        <v/>
      </c>
      <c r="CX70" t="str">
        <f>""</f>
        <v/>
      </c>
      <c r="CY70" t="str">
        <f>""</f>
        <v/>
      </c>
      <c r="CZ70" t="str">
        <f>""</f>
        <v/>
      </c>
      <c r="DA70" t="str">
        <f>""</f>
        <v/>
      </c>
      <c r="DB70" t="str">
        <f>""</f>
        <v/>
      </c>
      <c r="DC70" t="str">
        <f>""</f>
        <v/>
      </c>
      <c r="DD70" t="str">
        <f>""</f>
        <v/>
      </c>
      <c r="DE70" t="str">
        <f>""</f>
        <v/>
      </c>
      <c r="DF70" t="str">
        <f>""</f>
        <v/>
      </c>
      <c r="DG70" t="str">
        <f>""</f>
        <v/>
      </c>
      <c r="DH70" t="str">
        <f>""</f>
        <v/>
      </c>
      <c r="DI70" t="str">
        <f>""</f>
        <v/>
      </c>
      <c r="DJ70" t="str">
        <f>""</f>
        <v/>
      </c>
      <c r="DK70" t="str">
        <f>""</f>
        <v/>
      </c>
      <c r="DL70" t="str">
        <f>""</f>
        <v/>
      </c>
      <c r="DM70" t="str">
        <f>""</f>
        <v/>
      </c>
      <c r="DN70" t="str">
        <f>""</f>
        <v/>
      </c>
      <c r="DO70" t="str">
        <f>""</f>
        <v/>
      </c>
      <c r="DP70" t="str">
        <f>""</f>
        <v/>
      </c>
      <c r="DQ70" t="str">
        <f>""</f>
        <v/>
      </c>
      <c r="DR70" t="str">
        <f>""</f>
        <v/>
      </c>
      <c r="DS70" t="str">
        <f>""</f>
        <v/>
      </c>
      <c r="DT70" t="str">
        <f>""</f>
        <v/>
      </c>
      <c r="DU70" t="str">
        <f>""</f>
        <v/>
      </c>
    </row>
    <row r="71" spans="1:125">
      <c r="A71" t="str">
        <f>"BDH snapshot result1"</f>
        <v>BDH snapshot result1</v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  <c r="CH71" t="str">
        <f>""</f>
        <v/>
      </c>
      <c r="CI71" t="str">
        <f>""</f>
        <v/>
      </c>
      <c r="CJ71" t="str">
        <f>""</f>
        <v/>
      </c>
      <c r="CK71" t="str">
        <f>""</f>
        <v/>
      </c>
      <c r="CL71" t="str">
        <f>""</f>
        <v/>
      </c>
      <c r="CM71" t="str">
        <f>""</f>
        <v/>
      </c>
      <c r="CN71" t="str">
        <f>""</f>
        <v/>
      </c>
      <c r="CO71" t="str">
        <f>""</f>
        <v/>
      </c>
      <c r="CP71" t="str">
        <f>""</f>
        <v/>
      </c>
      <c r="CQ71" t="str">
        <f>""</f>
        <v/>
      </c>
      <c r="CR71" t="str">
        <f>""</f>
        <v/>
      </c>
      <c r="CS71" t="str">
        <f>""</f>
        <v/>
      </c>
      <c r="CT71" t="str">
        <f>""</f>
        <v/>
      </c>
      <c r="CU71" t="str">
        <f>""</f>
        <v/>
      </c>
      <c r="CV71" t="str">
        <f>""</f>
        <v/>
      </c>
      <c r="CW71" t="str">
        <f>""</f>
        <v/>
      </c>
      <c r="CX71" t="str">
        <f>""</f>
        <v/>
      </c>
      <c r="CY71" t="str">
        <f>""</f>
        <v/>
      </c>
      <c r="CZ71" t="str">
        <f>""</f>
        <v/>
      </c>
      <c r="DA71" t="str">
        <f>""</f>
        <v/>
      </c>
      <c r="DB71" t="str">
        <f>""</f>
        <v/>
      </c>
      <c r="DC71" t="str">
        <f>""</f>
        <v/>
      </c>
      <c r="DD71" t="str">
        <f>""</f>
        <v/>
      </c>
      <c r="DE71" t="str">
        <f>""</f>
        <v/>
      </c>
      <c r="DF71" t="str">
        <f>""</f>
        <v/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  <c r="DT71" t="str">
        <f>""</f>
        <v/>
      </c>
      <c r="DU71" t="str">
        <f>""</f>
        <v/>
      </c>
    </row>
    <row r="72" spans="1:125">
      <c r="A72" t="str">
        <f>"BDH snapshot header2"</f>
        <v>BDH snapshot header2</v>
      </c>
      <c r="B72">
        <f>IF(OR(ISERROR($C$72),ISBLANK($C$72),ISNUMBER(SEARCH("N/A",$C$72) ),ISERROR($C$73),ISBLANK($C$73)),0,1)</f>
        <v>0</v>
      </c>
      <c r="C72" t="str">
        <f>BDH($B$6,$C$6,$B$36,$B$66,"PER=CQ","Dts=S","DtFmt=FI", "rows=2","Dir=H","Points=60","Sort=R","Days=A","Fill=B","FX=USD" )</f>
        <v>#N/A Authorization</v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  <c r="CH72" t="str">
        <f>""</f>
        <v/>
      </c>
      <c r="CI72" t="str">
        <f>""</f>
        <v/>
      </c>
      <c r="CJ72" t="str">
        <f>""</f>
        <v/>
      </c>
      <c r="CK72" t="str">
        <f>""</f>
        <v/>
      </c>
      <c r="CL72" t="str">
        <f>""</f>
        <v/>
      </c>
      <c r="CM72" t="str">
        <f>""</f>
        <v/>
      </c>
      <c r="CN72" t="str">
        <f>""</f>
        <v/>
      </c>
      <c r="CO72" t="str">
        <f>""</f>
        <v/>
      </c>
      <c r="CP72" t="str">
        <f>""</f>
        <v/>
      </c>
      <c r="CQ72" t="str">
        <f>""</f>
        <v/>
      </c>
      <c r="CR72" t="str">
        <f>""</f>
        <v/>
      </c>
      <c r="CS72" t="str">
        <f>""</f>
        <v/>
      </c>
      <c r="CT72" t="str">
        <f>""</f>
        <v/>
      </c>
      <c r="CU72" t="str">
        <f>""</f>
        <v/>
      </c>
      <c r="CV72" t="str">
        <f>""</f>
        <v/>
      </c>
      <c r="CW72" t="str">
        <f>""</f>
        <v/>
      </c>
      <c r="CX72" t="str">
        <f>""</f>
        <v/>
      </c>
      <c r="CY72" t="str">
        <f>""</f>
        <v/>
      </c>
      <c r="CZ72" t="str">
        <f>""</f>
        <v/>
      </c>
      <c r="DA72" t="str">
        <f>""</f>
        <v/>
      </c>
      <c r="DB72" t="str">
        <f>""</f>
        <v/>
      </c>
      <c r="DC72" t="str">
        <f>""</f>
        <v/>
      </c>
      <c r="DD72" t="str">
        <f>""</f>
        <v/>
      </c>
      <c r="DE72" t="str">
        <f>""</f>
        <v/>
      </c>
      <c r="DF72" t="str">
        <f>""</f>
        <v/>
      </c>
      <c r="DG72" t="str">
        <f>""</f>
        <v/>
      </c>
      <c r="DH72" t="str">
        <f>""</f>
        <v/>
      </c>
      <c r="DI72" t="str">
        <f>""</f>
        <v/>
      </c>
      <c r="DJ72" t="str">
        <f>""</f>
        <v/>
      </c>
      <c r="DK72" t="str">
        <f>""</f>
        <v/>
      </c>
      <c r="DL72" t="str">
        <f>""</f>
        <v/>
      </c>
      <c r="DM72" t="str">
        <f>""</f>
        <v/>
      </c>
      <c r="DN72" t="str">
        <f>""</f>
        <v/>
      </c>
      <c r="DO72" t="str">
        <f>""</f>
        <v/>
      </c>
      <c r="DP72" t="str">
        <f>""</f>
        <v/>
      </c>
      <c r="DQ72" t="str">
        <f>""</f>
        <v/>
      </c>
      <c r="DR72" t="str">
        <f>""</f>
        <v/>
      </c>
      <c r="DS72" t="str">
        <f>""</f>
        <v/>
      </c>
      <c r="DT72" t="str">
        <f>""</f>
        <v/>
      </c>
      <c r="DU72" t="str">
        <f>""</f>
        <v/>
      </c>
    </row>
    <row r="73" spans="1:125">
      <c r="A73" t="str">
        <f>"BDH snapshot result2"</f>
        <v>BDH snapshot result2</v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  <c r="BT73" t="str">
        <f>""</f>
        <v/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  <c r="CH73" t="str">
        <f>""</f>
        <v/>
      </c>
      <c r="CI73" t="str">
        <f>""</f>
        <v/>
      </c>
      <c r="CJ73" t="str">
        <f>""</f>
        <v/>
      </c>
      <c r="CK73" t="str">
        <f>""</f>
        <v/>
      </c>
      <c r="CL73" t="str">
        <f>""</f>
        <v/>
      </c>
      <c r="CM73" t="str">
        <f>""</f>
        <v/>
      </c>
      <c r="CN73" t="str">
        <f>""</f>
        <v/>
      </c>
      <c r="CO73" t="str">
        <f>""</f>
        <v/>
      </c>
      <c r="CP73" t="str">
        <f>""</f>
        <v/>
      </c>
      <c r="CQ73" t="str">
        <f>""</f>
        <v/>
      </c>
      <c r="CR73" t="str">
        <f>""</f>
        <v/>
      </c>
      <c r="CS73" t="str">
        <f>""</f>
        <v/>
      </c>
      <c r="CT73" t="str">
        <f>""</f>
        <v/>
      </c>
      <c r="CU73" t="str">
        <f>""</f>
        <v/>
      </c>
      <c r="CV73" t="str">
        <f>""</f>
        <v/>
      </c>
      <c r="CW73" t="str">
        <f>""</f>
        <v/>
      </c>
      <c r="CX73" t="str">
        <f>""</f>
        <v/>
      </c>
      <c r="CY73" t="str">
        <f>""</f>
        <v/>
      </c>
      <c r="CZ73" t="str">
        <f>""</f>
        <v/>
      </c>
      <c r="DA73" t="str">
        <f>""</f>
        <v/>
      </c>
      <c r="DB73" t="str">
        <f>""</f>
        <v/>
      </c>
      <c r="DC73" t="str">
        <f>""</f>
        <v/>
      </c>
      <c r="DD73" t="str">
        <f>""</f>
        <v/>
      </c>
      <c r="DE73" t="str">
        <f>""</f>
        <v/>
      </c>
      <c r="DF73" t="str">
        <f>""</f>
        <v/>
      </c>
      <c r="DG73" t="str">
        <f>""</f>
        <v/>
      </c>
      <c r="DH73" t="str">
        <f>""</f>
        <v/>
      </c>
      <c r="DI73" t="str">
        <f>""</f>
        <v/>
      </c>
      <c r="DJ73" t="str">
        <f>""</f>
        <v/>
      </c>
      <c r="DK73" t="str">
        <f>""</f>
        <v/>
      </c>
      <c r="DL73" t="str">
        <f>""</f>
        <v/>
      </c>
      <c r="DM73" t="str">
        <f>""</f>
        <v/>
      </c>
      <c r="DN73" t="str">
        <f>""</f>
        <v/>
      </c>
      <c r="DO73" t="str">
        <f>""</f>
        <v/>
      </c>
      <c r="DP73" t="str">
        <f>""</f>
        <v/>
      </c>
      <c r="DQ73" t="str">
        <f>""</f>
        <v/>
      </c>
      <c r="DR73" t="str">
        <f>""</f>
        <v/>
      </c>
      <c r="DS73" t="str">
        <f>""</f>
        <v/>
      </c>
      <c r="DT73" t="str">
        <f>""</f>
        <v/>
      </c>
      <c r="DU73" t="str">
        <f>""</f>
        <v/>
      </c>
    </row>
    <row r="74" spans="1:125">
      <c r="A74" t="str">
        <f>"BDH snapshot"</f>
        <v>BDH snapshot</v>
      </c>
      <c r="B74">
        <f>IF($B$68&gt;=1,$B$68,IF($B$70&gt;=1,$B$70,IF($B$72&gt;=1,$B$72,$B$67)))</f>
        <v>2</v>
      </c>
      <c r="C74" t="str">
        <f>IF($B$68&gt;=1,$C$68,IF($B$70&gt;=1,$C$70,IF($B$72&gt;=1,$C$72,$C$67)))</f>
        <v>2017 Q4</v>
      </c>
      <c r="D74" t="str">
        <f>IF($B$68&gt;=1,$D$68,IF($B$70&gt;=1,$D$70,IF($B$72&gt;=1,$D$72,$D$67)))</f>
        <v>2017 Q3</v>
      </c>
      <c r="E74" t="str">
        <f>IF($B$68&gt;=1,$E$68,IF($B$70&gt;=1,$E$70,IF($B$72&gt;=1,$E$72,$E$67)))</f>
        <v>2017 Q2</v>
      </c>
      <c r="F74" t="str">
        <f>IF($B$68&gt;=1,$F$68,IF($B$70&gt;=1,$F$70,IF($B$72&gt;=1,$F$72,$F$67)))</f>
        <v>2017 Q1</v>
      </c>
      <c r="G74" t="str">
        <f>IF($B$68&gt;=1,$G$68,IF($B$70&gt;=1,$G$70,IF($B$72&gt;=1,$G$72,$G$67)))</f>
        <v>2016 Q4</v>
      </c>
      <c r="H74" t="str">
        <f>IF($B$68&gt;=1,$H$68,IF($B$70&gt;=1,$H$70,IF($B$72&gt;=1,$H$72,$H$67)))</f>
        <v>2016 Q3</v>
      </c>
      <c r="I74" t="str">
        <f>IF($B$68&gt;=1,$I$68,IF($B$70&gt;=1,$I$70,IF($B$72&gt;=1,$I$72,$I$67)))</f>
        <v>2016 Q2</v>
      </c>
      <c r="J74" t="str">
        <f>IF($B$68&gt;=1,$J$68,IF($B$70&gt;=1,$J$70,IF($B$72&gt;=1,$J$72,$J$67)))</f>
        <v>2016 Q1</v>
      </c>
      <c r="K74" t="str">
        <f>IF($B$68&gt;=1,$K$68,IF($B$70&gt;=1,$K$70,IF($B$72&gt;=1,$K$72,$K$67)))</f>
        <v>2015 Q4</v>
      </c>
      <c r="L74" t="str">
        <f>IF($B$68&gt;=1,$L$68,IF($B$70&gt;=1,$L$70,IF($B$72&gt;=1,$L$72,$L$67)))</f>
        <v>2015 Q3</v>
      </c>
      <c r="M74" t="str">
        <f>IF($B$68&gt;=1,$M$68,IF($B$70&gt;=1,$M$70,IF($B$72&gt;=1,$M$72,$M$67)))</f>
        <v>2015 Q2</v>
      </c>
      <c r="N74" t="str">
        <f>IF($B$68&gt;=1,$N$68,IF($B$70&gt;=1,$N$70,IF($B$72&gt;=1,$N$72,$N$67)))</f>
        <v>2015 Q1</v>
      </c>
      <c r="O74" t="str">
        <f>IF($B$68&gt;=1,$O$68,IF($B$70&gt;=1,$O$70,IF($B$72&gt;=1,$O$72,$O$67)))</f>
        <v>2014 Q4</v>
      </c>
      <c r="P74" t="str">
        <f>IF($B$68&gt;=1,$P$68,IF($B$70&gt;=1,$P$70,IF($B$72&gt;=1,$P$72,$P$67)))</f>
        <v>2014 Q3</v>
      </c>
      <c r="Q74" t="str">
        <f>IF($B$68&gt;=1,$Q$68,IF($B$70&gt;=1,$Q$70,IF($B$72&gt;=1,$Q$72,$Q$67)))</f>
        <v>2014 Q2</v>
      </c>
      <c r="R74" t="str">
        <f>IF($B$68&gt;=1,$R$68,IF($B$70&gt;=1,$R$70,IF($B$72&gt;=1,$R$72,$R$67)))</f>
        <v>2014 Q1</v>
      </c>
      <c r="S74" t="str">
        <f>IF($B$68&gt;=1,$S$68,IF($B$70&gt;=1,$S$70,IF($B$72&gt;=1,$S$72,$S$67)))</f>
        <v>2013 Q4</v>
      </c>
      <c r="T74" t="str">
        <f>IF($B$68&gt;=1,$T$68,IF($B$70&gt;=1,$T$70,IF($B$72&gt;=1,$T$72,$T$67)))</f>
        <v>2013 Q3</v>
      </c>
      <c r="U74" t="str">
        <f>IF($B$68&gt;=1,$U$68,IF($B$70&gt;=1,$U$70,IF($B$72&gt;=1,$U$72,$U$67)))</f>
        <v>2013 Q2</v>
      </c>
      <c r="V74" t="str">
        <f>IF($B$68&gt;=1,$V$68,IF($B$70&gt;=1,$V$70,IF($B$72&gt;=1,$V$72,$V$67)))</f>
        <v>2013 Q1</v>
      </c>
      <c r="W74" t="str">
        <f>IF($B$68&gt;=1,$W$68,IF($B$70&gt;=1,$W$70,IF($B$72&gt;=1,$W$72,$W$67)))</f>
        <v>2012 Q4</v>
      </c>
      <c r="X74" t="str">
        <f>IF($B$68&gt;=1,$X$68,IF($B$70&gt;=1,$X$70,IF($B$72&gt;=1,$X$72,$X$67)))</f>
        <v>2012 Q3</v>
      </c>
      <c r="Y74" t="str">
        <f>IF($B$68&gt;=1,$Y$68,IF($B$70&gt;=1,$Y$70,IF($B$72&gt;=1,$Y$72,$Y$67)))</f>
        <v>2012 Q2</v>
      </c>
      <c r="Z74" t="str">
        <f>IF($B$68&gt;=1,$Z$68,IF($B$70&gt;=1,$Z$70,IF($B$72&gt;=1,$Z$72,$Z$67)))</f>
        <v>2012 Q1</v>
      </c>
      <c r="AA74" t="str">
        <f>IF($B$68&gt;=1,$AA$68,IF($B$70&gt;=1,$AA$70,IF($B$72&gt;=1,$AA$72,$AA$67)))</f>
        <v>2011 Q4</v>
      </c>
      <c r="AB74" t="str">
        <f>IF($B$68&gt;=1,$AB$68,IF($B$70&gt;=1,$AB$70,IF($B$72&gt;=1,$AB$72,$AB$67)))</f>
        <v>2011 Q3</v>
      </c>
      <c r="AC74" t="str">
        <f>IF($B$68&gt;=1,$AC$68,IF($B$70&gt;=1,$AC$70,IF($B$72&gt;=1,$AC$72,$AC$67)))</f>
        <v>2011 Q2</v>
      </c>
      <c r="AD74" t="str">
        <f>IF($B$68&gt;=1,$AD$68,IF($B$70&gt;=1,$AD$70,IF($B$72&gt;=1,$AD$72,$AD$67)))</f>
        <v>2011 Q1</v>
      </c>
      <c r="AE74" t="str">
        <f>IF($B$68&gt;=1,$AE$68,IF($B$70&gt;=1,$AE$70,IF($B$72&gt;=1,$AE$72,$AE$67)))</f>
        <v>2010 Q4</v>
      </c>
      <c r="AF74" t="str">
        <f>IF($B$68&gt;=1,$AF$68,IF($B$70&gt;=1,$AF$70,IF($B$72&gt;=1,$AF$72,$AF$67)))</f>
        <v>2010 Q3</v>
      </c>
      <c r="AG74" t="str">
        <f>IF($B$68&gt;=1,$AG$68,IF($B$70&gt;=1,$AG$70,IF($B$72&gt;=1,$AG$72,$AG$67)))</f>
        <v>2010 Q2</v>
      </c>
      <c r="AH74" t="str">
        <f>IF($B$68&gt;=1,$AH$68,IF($B$70&gt;=1,$AH$70,IF($B$72&gt;=1,$AH$72,$AH$67)))</f>
        <v>2010 Q1</v>
      </c>
      <c r="AI74" t="str">
        <f>IF($B$68&gt;=1,$AI$68,IF($B$70&gt;=1,$AI$70,IF($B$72&gt;=1,$AI$72,$AI$67)))</f>
        <v>2009 Q4</v>
      </c>
      <c r="AJ74" t="str">
        <f>IF($B$68&gt;=1,$AJ$68,IF($B$70&gt;=1,$AJ$70,IF($B$72&gt;=1,$AJ$72,$AJ$67)))</f>
        <v>2009 Q3</v>
      </c>
      <c r="AK74" t="str">
        <f>IF($B$68&gt;=1,$AK$68,IF($B$70&gt;=1,$AK$70,IF($B$72&gt;=1,$AK$72,$AK$67)))</f>
        <v>2009 Q2</v>
      </c>
      <c r="AL74" t="str">
        <f>IF($B$68&gt;=1,$AL$68,IF($B$70&gt;=1,$AL$70,IF($B$72&gt;=1,$AL$72,$AL$67)))</f>
        <v>2009 Q1</v>
      </c>
      <c r="AM74" t="str">
        <f>IF($B$68&gt;=1,$AM$68,IF($B$70&gt;=1,$AM$70,IF($B$72&gt;=1,$AM$72,$AM$67)))</f>
        <v>2008 Q4</v>
      </c>
      <c r="AN74" t="str">
        <f>IF($B$68&gt;=1,$AN$68,IF($B$70&gt;=1,$AN$70,IF($B$72&gt;=1,$AN$72,$AN$67)))</f>
        <v>2008 Q3</v>
      </c>
      <c r="AO74" t="str">
        <f>IF($B$68&gt;=1,$AO$68,IF($B$70&gt;=1,$AO$70,IF($B$72&gt;=1,$AO$72,$AO$67)))</f>
        <v>2008 Q2</v>
      </c>
      <c r="AP74" t="str">
        <f>IF($B$68&gt;=1,$AP$68,IF($B$70&gt;=1,$AP$70,IF($B$72&gt;=1,$AP$72,$AP$67)))</f>
        <v>2008 Q1</v>
      </c>
      <c r="AQ74" t="str">
        <f>IF($B$68&gt;=1,$AQ$68,IF($B$70&gt;=1,$AQ$70,IF($B$72&gt;=1,$AQ$72,$AQ$67)))</f>
        <v>2007 Q4</v>
      </c>
      <c r="AR74" t="str">
        <f>IF($B$68&gt;=1,$AR$68,IF($B$70&gt;=1,$AR$70,IF($B$72&gt;=1,$AR$72,$AR$67)))</f>
        <v>2007 Q3</v>
      </c>
      <c r="AS74" t="str">
        <f>IF($B$68&gt;=1,$AS$68,IF($B$70&gt;=1,$AS$70,IF($B$72&gt;=1,$AS$72,$AS$67)))</f>
        <v>2007 Q2</v>
      </c>
      <c r="AT74" t="str">
        <f>IF($B$68&gt;=1,$AT$68,IF($B$70&gt;=1,$AT$70,IF($B$72&gt;=1,$AT$72,$AT$67)))</f>
        <v>2007 Q1</v>
      </c>
      <c r="AU74" t="str">
        <f>IF($B$68&gt;=1,$AU$68,IF($B$70&gt;=1,$AU$70,IF($B$72&gt;=1,$AU$72,$AU$67)))</f>
        <v>2006 Q4</v>
      </c>
      <c r="AV74" t="str">
        <f>IF($B$68&gt;=1,$AV$68,IF($B$70&gt;=1,$AV$70,IF($B$72&gt;=1,$AV$72,$AV$67)))</f>
        <v>2006 Q3</v>
      </c>
      <c r="AW74" t="str">
        <f>IF($B$68&gt;=1,$AW$68,IF($B$70&gt;=1,$AW$70,IF($B$72&gt;=1,$AW$72,$AW$67)))</f>
        <v>2006 Q2</v>
      </c>
      <c r="AX74" t="str">
        <f>IF($B$68&gt;=1,$AX$68,IF($B$70&gt;=1,$AX$70,IF($B$72&gt;=1,$AX$72,$AX$67)))</f>
        <v>2006 Q1</v>
      </c>
      <c r="AY74" t="str">
        <f>IF($B$68&gt;=1,$AY$68,IF($B$70&gt;=1,$AY$70,IF($B$72&gt;=1,$AY$72,$AY$67)))</f>
        <v>2005 Q4</v>
      </c>
      <c r="AZ74" t="str">
        <f>IF($B$68&gt;=1,$AZ$68,IF($B$70&gt;=1,$AZ$70,IF($B$72&gt;=1,$AZ$72,$AZ$67)))</f>
        <v>2005 Q3</v>
      </c>
      <c r="BA74" t="str">
        <f>IF($B$68&gt;=1,$BA$68,IF($B$70&gt;=1,$BA$70,IF($B$72&gt;=1,$BA$72,$BA$67)))</f>
        <v>2005 Q2</v>
      </c>
      <c r="BB74" t="str">
        <f>IF($B$68&gt;=1,$BB$68,IF($B$70&gt;=1,$BB$70,IF($B$72&gt;=1,$BB$72,$BB$67)))</f>
        <v>2005 Q1</v>
      </c>
      <c r="BC74" t="str">
        <f>IF($B$68&gt;=1,$BC$68,IF($B$70&gt;=1,$BC$70,IF($B$72&gt;=1,$BC$72,$BC$67)))</f>
        <v>2004 Q4</v>
      </c>
      <c r="BD74" t="str">
        <f>IF($B$68&gt;=1,$BD$68,IF($B$70&gt;=1,$BD$70,IF($B$72&gt;=1,$BD$72,$BD$67)))</f>
        <v>2004 Q3</v>
      </c>
      <c r="BE74" t="str">
        <f>IF($B$68&gt;=1,$BE$68,IF($B$70&gt;=1,$BE$70,IF($B$72&gt;=1,$BE$72,$BE$67)))</f>
        <v>2004 Q2</v>
      </c>
      <c r="BF74" t="str">
        <f>IF($B$68&gt;=1,$BF$68,IF($B$70&gt;=1,$BF$70,IF($B$72&gt;=1,$BF$72,$BF$67)))</f>
        <v>2004 Q1</v>
      </c>
      <c r="BG74" t="str">
        <f>IF($B$68&gt;=1,$BG$68,IF($B$70&gt;=1,$BG$70,IF($B$72&gt;=1,$BG$72,$BG$67)))</f>
        <v>2003 Q4</v>
      </c>
      <c r="BH74" t="str">
        <f>IF($B$68&gt;=1,$BH$68,IF($B$70&gt;=1,$BH$70,IF($B$72&gt;=1,$BH$72,$BH$67)))</f>
        <v>2003 Q3</v>
      </c>
      <c r="BI74" t="str">
        <f>IF($B$68&gt;=1,$BI$68,IF($B$70&gt;=1,$BI$70,IF($B$72&gt;=1,$BI$72,$BI$67)))</f>
        <v>2003 Q2</v>
      </c>
      <c r="BJ74" t="str">
        <f>IF($B$68&gt;=1,$BJ$68,IF($B$70&gt;=1,$BJ$70,IF($B$72&gt;=1,$BJ$72,$BJ$67)))</f>
        <v>2003 Q1</v>
      </c>
      <c r="BN74" t="str">
        <f>""</f>
        <v/>
      </c>
      <c r="BO74" t="str">
        <f>""</f>
        <v/>
      </c>
      <c r="BP74" t="str">
        <f>""</f>
        <v/>
      </c>
      <c r="BQ74" t="str">
        <f>""</f>
        <v/>
      </c>
      <c r="BR74" t="str">
        <f>""</f>
        <v/>
      </c>
      <c r="BS74" t="str">
        <f>""</f>
        <v/>
      </c>
      <c r="BT74" t="str">
        <f>""</f>
        <v/>
      </c>
      <c r="BU74" t="str">
        <f>""</f>
        <v/>
      </c>
      <c r="BV74" t="str">
        <f>""</f>
        <v/>
      </c>
      <c r="BW74" t="str">
        <f>""</f>
        <v/>
      </c>
      <c r="BX74" t="str">
        <f>""</f>
        <v/>
      </c>
      <c r="BY74" t="str">
        <f>""</f>
        <v/>
      </c>
      <c r="BZ74" t="str">
        <f>""</f>
        <v/>
      </c>
      <c r="CA74" t="str">
        <f>""</f>
        <v/>
      </c>
      <c r="CB74" t="str">
        <f>""</f>
        <v/>
      </c>
      <c r="CC74" t="str">
        <f>""</f>
        <v/>
      </c>
      <c r="CD74" t="str">
        <f>""</f>
        <v/>
      </c>
      <c r="CE74" t="str">
        <f>""</f>
        <v/>
      </c>
      <c r="CF74" t="str">
        <f>""</f>
        <v/>
      </c>
      <c r="CG74" t="str">
        <f>""</f>
        <v/>
      </c>
      <c r="CH74" t="str">
        <f>""</f>
        <v/>
      </c>
      <c r="CI74" t="str">
        <f>""</f>
        <v/>
      </c>
      <c r="CJ74" t="str">
        <f>""</f>
        <v/>
      </c>
      <c r="CK74" t="str">
        <f>""</f>
        <v/>
      </c>
      <c r="CL74" t="str">
        <f>""</f>
        <v/>
      </c>
      <c r="CM74" t="str">
        <f>""</f>
        <v/>
      </c>
      <c r="CN74" t="str">
        <f>""</f>
        <v/>
      </c>
      <c r="CO74" t="str">
        <f>""</f>
        <v/>
      </c>
      <c r="CP74" t="str">
        <f>""</f>
        <v/>
      </c>
      <c r="CQ74" t="str">
        <f>""</f>
        <v/>
      </c>
      <c r="CR74" t="str">
        <f>""</f>
        <v/>
      </c>
      <c r="CS74" t="str">
        <f>""</f>
        <v/>
      </c>
      <c r="CT74" t="str">
        <f>""</f>
        <v/>
      </c>
      <c r="CU74" t="str">
        <f>""</f>
        <v/>
      </c>
      <c r="CV74" t="str">
        <f>""</f>
        <v/>
      </c>
      <c r="CW74" t="str">
        <f>""</f>
        <v/>
      </c>
      <c r="CX74" t="str">
        <f>""</f>
        <v/>
      </c>
      <c r="CY74" t="str">
        <f>""</f>
        <v/>
      </c>
      <c r="CZ74" t="str">
        <f>""</f>
        <v/>
      </c>
      <c r="DA74" t="str">
        <f>""</f>
        <v/>
      </c>
      <c r="DB74" t="str">
        <f>""</f>
        <v/>
      </c>
      <c r="DC74" t="str">
        <f>""</f>
        <v/>
      </c>
      <c r="DD74" t="str">
        <f>""</f>
        <v/>
      </c>
      <c r="DE74" t="str">
        <f>""</f>
        <v/>
      </c>
      <c r="DF74" t="str">
        <f>""</f>
        <v/>
      </c>
      <c r="DG74" t="str">
        <f>""</f>
        <v/>
      </c>
      <c r="DH74" t="str">
        <f>""</f>
        <v/>
      </c>
      <c r="DI74" t="str">
        <f>""</f>
        <v/>
      </c>
      <c r="DJ74" t="str">
        <f>""</f>
        <v/>
      </c>
      <c r="DK74" t="str">
        <f>""</f>
        <v/>
      </c>
      <c r="DL74" t="str">
        <f>""</f>
        <v/>
      </c>
      <c r="DM74" t="str">
        <f>""</f>
        <v/>
      </c>
      <c r="DN74" t="str">
        <f>""</f>
        <v/>
      </c>
      <c r="DO74" t="str">
        <f>""</f>
        <v/>
      </c>
      <c r="DP74" t="str">
        <f>""</f>
        <v/>
      </c>
      <c r="DQ74" t="str">
        <f>""</f>
        <v/>
      </c>
      <c r="DR74" t="str">
        <f>""</f>
        <v/>
      </c>
      <c r="DS74" t="str">
        <f>""</f>
        <v/>
      </c>
      <c r="DT74" t="str">
        <f>""</f>
        <v/>
      </c>
      <c r="DU74" t="str">
        <f>""</f>
        <v/>
      </c>
    </row>
    <row r="75" spans="1:125">
      <c r="A75" t="str">
        <f>"BDH snapshot title"</f>
        <v>BDH snapshot title</v>
      </c>
      <c r="B75">
        <f>$B$74</f>
        <v>2</v>
      </c>
      <c r="C75" t="str">
        <f>IF(LEN($C$74)&lt;&gt;8,$C$74,RIGHT($C$74,4)&amp;" "&amp;MID($C$74,3,1)&amp;LEFT($C$74,1))</f>
        <v>2017 Q4</v>
      </c>
      <c r="D75" t="str">
        <f>IF(LEN($D$74)&lt;&gt;8,$D$74,RIGHT($D$74,4)&amp;" "&amp;MID($D$74,3,1)&amp;LEFT($D$74,1))</f>
        <v>2017 Q3</v>
      </c>
      <c r="E75" t="str">
        <f>IF(LEN($E$74)&lt;&gt;8,$E$74,RIGHT($E$74,4)&amp;" "&amp;MID($E$74,3,1)&amp;LEFT($E$74,1))</f>
        <v>2017 Q2</v>
      </c>
      <c r="F75" t="str">
        <f>IF(LEN($F$74)&lt;&gt;8,$F$74,RIGHT($F$74,4)&amp;" "&amp;MID($F$74,3,1)&amp;LEFT($F$74,1))</f>
        <v>2017 Q1</v>
      </c>
      <c r="G75" t="str">
        <f>IF(LEN($G$74)&lt;&gt;8,$G$74,RIGHT($G$74,4)&amp;" "&amp;MID($G$74,3,1)&amp;LEFT($G$74,1))</f>
        <v>2016 Q4</v>
      </c>
      <c r="H75" t="str">
        <f>IF(LEN($H$74)&lt;&gt;8,$H$74,RIGHT($H$74,4)&amp;" "&amp;MID($H$74,3,1)&amp;LEFT($H$74,1))</f>
        <v>2016 Q3</v>
      </c>
      <c r="I75" t="str">
        <f>IF(LEN($I$74)&lt;&gt;8,$I$74,RIGHT($I$74,4)&amp;" "&amp;MID($I$74,3,1)&amp;LEFT($I$74,1))</f>
        <v>2016 Q2</v>
      </c>
      <c r="J75" t="str">
        <f>IF(LEN($J$74)&lt;&gt;8,$J$74,RIGHT($J$74,4)&amp;" "&amp;MID($J$74,3,1)&amp;LEFT($J$74,1))</f>
        <v>2016 Q1</v>
      </c>
      <c r="K75" t="str">
        <f>IF(LEN($K$74)&lt;&gt;8,$K$74,RIGHT($K$74,4)&amp;" "&amp;MID($K$74,3,1)&amp;LEFT($K$74,1))</f>
        <v>2015 Q4</v>
      </c>
      <c r="L75" t="str">
        <f>IF(LEN($L$74)&lt;&gt;8,$L$74,RIGHT($L$74,4)&amp;" "&amp;MID($L$74,3,1)&amp;LEFT($L$74,1))</f>
        <v>2015 Q3</v>
      </c>
      <c r="M75" t="str">
        <f>IF(LEN($M$74)&lt;&gt;8,$M$74,RIGHT($M$74,4)&amp;" "&amp;MID($M$74,3,1)&amp;LEFT($M$74,1))</f>
        <v>2015 Q2</v>
      </c>
      <c r="N75" t="str">
        <f>IF(LEN($N$74)&lt;&gt;8,$N$74,RIGHT($N$74,4)&amp;" "&amp;MID($N$74,3,1)&amp;LEFT($N$74,1))</f>
        <v>2015 Q1</v>
      </c>
      <c r="O75" t="str">
        <f>IF(LEN($O$74)&lt;&gt;8,$O$74,RIGHT($O$74,4)&amp;" "&amp;MID($O$74,3,1)&amp;LEFT($O$74,1))</f>
        <v>2014 Q4</v>
      </c>
      <c r="P75" t="str">
        <f>IF(LEN($P$74)&lt;&gt;8,$P$74,RIGHT($P$74,4)&amp;" "&amp;MID($P$74,3,1)&amp;LEFT($P$74,1))</f>
        <v>2014 Q3</v>
      </c>
      <c r="Q75" t="str">
        <f>IF(LEN($Q$74)&lt;&gt;8,$Q$74,RIGHT($Q$74,4)&amp;" "&amp;MID($Q$74,3,1)&amp;LEFT($Q$74,1))</f>
        <v>2014 Q2</v>
      </c>
      <c r="R75" t="str">
        <f>IF(LEN($R$74)&lt;&gt;8,$R$74,RIGHT($R$74,4)&amp;" "&amp;MID($R$74,3,1)&amp;LEFT($R$74,1))</f>
        <v>2014 Q1</v>
      </c>
      <c r="S75" t="str">
        <f>IF(LEN($S$74)&lt;&gt;8,$S$74,RIGHT($S$74,4)&amp;" "&amp;MID($S$74,3,1)&amp;LEFT($S$74,1))</f>
        <v>2013 Q4</v>
      </c>
      <c r="T75" t="str">
        <f>IF(LEN($T$74)&lt;&gt;8,$T$74,RIGHT($T$74,4)&amp;" "&amp;MID($T$74,3,1)&amp;LEFT($T$74,1))</f>
        <v>2013 Q3</v>
      </c>
      <c r="U75" t="str">
        <f>IF(LEN($U$74)&lt;&gt;8,$U$74,RIGHT($U$74,4)&amp;" "&amp;MID($U$74,3,1)&amp;LEFT($U$74,1))</f>
        <v>2013 Q2</v>
      </c>
      <c r="V75" t="str">
        <f>IF(LEN($V$74)&lt;&gt;8,$V$74,RIGHT($V$74,4)&amp;" "&amp;MID($V$74,3,1)&amp;LEFT($V$74,1))</f>
        <v>2013 Q1</v>
      </c>
      <c r="W75" t="str">
        <f>IF(LEN($W$74)&lt;&gt;8,$W$74,RIGHT($W$74,4)&amp;" "&amp;MID($W$74,3,1)&amp;LEFT($W$74,1))</f>
        <v>2012 Q4</v>
      </c>
      <c r="X75" t="str">
        <f>IF(LEN($X$74)&lt;&gt;8,$X$74,RIGHT($X$74,4)&amp;" "&amp;MID($X$74,3,1)&amp;LEFT($X$74,1))</f>
        <v>2012 Q3</v>
      </c>
      <c r="Y75" t="str">
        <f>IF(LEN($Y$74)&lt;&gt;8,$Y$74,RIGHT($Y$74,4)&amp;" "&amp;MID($Y$74,3,1)&amp;LEFT($Y$74,1))</f>
        <v>2012 Q2</v>
      </c>
      <c r="Z75" t="str">
        <f>IF(LEN($Z$74)&lt;&gt;8,$Z$74,RIGHT($Z$74,4)&amp;" "&amp;MID($Z$74,3,1)&amp;LEFT($Z$74,1))</f>
        <v>2012 Q1</v>
      </c>
      <c r="AA75" t="str">
        <f>IF(LEN($AA$74)&lt;&gt;8,$AA$74,RIGHT($AA$74,4)&amp;" "&amp;MID($AA$74,3,1)&amp;LEFT($AA$74,1))</f>
        <v>2011 Q4</v>
      </c>
      <c r="AB75" t="str">
        <f>IF(LEN($AB$74)&lt;&gt;8,$AB$74,RIGHT($AB$74,4)&amp;" "&amp;MID($AB$74,3,1)&amp;LEFT($AB$74,1))</f>
        <v>2011 Q3</v>
      </c>
      <c r="AC75" t="str">
        <f>IF(LEN($AC$74)&lt;&gt;8,$AC$74,RIGHT($AC$74,4)&amp;" "&amp;MID($AC$74,3,1)&amp;LEFT($AC$74,1))</f>
        <v>2011 Q2</v>
      </c>
      <c r="AD75" t="str">
        <f>IF(LEN($AD$74)&lt;&gt;8,$AD$74,RIGHT($AD$74,4)&amp;" "&amp;MID($AD$74,3,1)&amp;LEFT($AD$74,1))</f>
        <v>2011 Q1</v>
      </c>
      <c r="AE75" t="str">
        <f>IF(LEN($AE$74)&lt;&gt;8,$AE$74,RIGHT($AE$74,4)&amp;" "&amp;MID($AE$74,3,1)&amp;LEFT($AE$74,1))</f>
        <v>2010 Q4</v>
      </c>
      <c r="AF75" t="str">
        <f>IF(LEN($AF$74)&lt;&gt;8,$AF$74,RIGHT($AF$74,4)&amp;" "&amp;MID($AF$74,3,1)&amp;LEFT($AF$74,1))</f>
        <v>2010 Q3</v>
      </c>
      <c r="AG75" t="str">
        <f>IF(LEN($AG$74)&lt;&gt;8,$AG$74,RIGHT($AG$74,4)&amp;" "&amp;MID($AG$74,3,1)&amp;LEFT($AG$74,1))</f>
        <v>2010 Q2</v>
      </c>
      <c r="AH75" t="str">
        <f>IF(LEN($AH$74)&lt;&gt;8,$AH$74,RIGHT($AH$74,4)&amp;" "&amp;MID($AH$74,3,1)&amp;LEFT($AH$74,1))</f>
        <v>2010 Q1</v>
      </c>
      <c r="AI75" t="str">
        <f>IF(LEN($AI$74)&lt;&gt;8,$AI$74,RIGHT($AI$74,4)&amp;" "&amp;MID($AI$74,3,1)&amp;LEFT($AI$74,1))</f>
        <v>2009 Q4</v>
      </c>
      <c r="AJ75" t="str">
        <f>IF(LEN($AJ$74)&lt;&gt;8,$AJ$74,RIGHT($AJ$74,4)&amp;" "&amp;MID($AJ$74,3,1)&amp;LEFT($AJ$74,1))</f>
        <v>2009 Q3</v>
      </c>
      <c r="AK75" t="str">
        <f>IF(LEN($AK$74)&lt;&gt;8,$AK$74,RIGHT($AK$74,4)&amp;" "&amp;MID($AK$74,3,1)&amp;LEFT($AK$74,1))</f>
        <v>2009 Q2</v>
      </c>
      <c r="AL75" t="str">
        <f>IF(LEN($AL$74)&lt;&gt;8,$AL$74,RIGHT($AL$74,4)&amp;" "&amp;MID($AL$74,3,1)&amp;LEFT($AL$74,1))</f>
        <v>2009 Q1</v>
      </c>
      <c r="AM75" t="str">
        <f>IF(LEN($AM$74)&lt;&gt;8,$AM$74,RIGHT($AM$74,4)&amp;" "&amp;MID($AM$74,3,1)&amp;LEFT($AM$74,1))</f>
        <v>2008 Q4</v>
      </c>
      <c r="AN75" t="str">
        <f>IF(LEN($AN$74)&lt;&gt;8,$AN$74,RIGHT($AN$74,4)&amp;" "&amp;MID($AN$74,3,1)&amp;LEFT($AN$74,1))</f>
        <v>2008 Q3</v>
      </c>
      <c r="AO75" t="str">
        <f>IF(LEN($AO$74)&lt;&gt;8,$AO$74,RIGHT($AO$74,4)&amp;" "&amp;MID($AO$74,3,1)&amp;LEFT($AO$74,1))</f>
        <v>2008 Q2</v>
      </c>
      <c r="AP75" t="str">
        <f>IF(LEN($AP$74)&lt;&gt;8,$AP$74,RIGHT($AP$74,4)&amp;" "&amp;MID($AP$74,3,1)&amp;LEFT($AP$74,1))</f>
        <v>2008 Q1</v>
      </c>
      <c r="AQ75" t="str">
        <f>IF(LEN($AQ$74)&lt;&gt;8,$AQ$74,RIGHT($AQ$74,4)&amp;" "&amp;MID($AQ$74,3,1)&amp;LEFT($AQ$74,1))</f>
        <v>2007 Q4</v>
      </c>
      <c r="AR75" t="str">
        <f>IF(LEN($AR$74)&lt;&gt;8,$AR$74,RIGHT($AR$74,4)&amp;" "&amp;MID($AR$74,3,1)&amp;LEFT($AR$74,1))</f>
        <v>2007 Q3</v>
      </c>
      <c r="AS75" t="str">
        <f>IF(LEN($AS$74)&lt;&gt;8,$AS$74,RIGHT($AS$74,4)&amp;" "&amp;MID($AS$74,3,1)&amp;LEFT($AS$74,1))</f>
        <v>2007 Q2</v>
      </c>
      <c r="AT75" t="str">
        <f>IF(LEN($AT$74)&lt;&gt;8,$AT$74,RIGHT($AT$74,4)&amp;" "&amp;MID($AT$74,3,1)&amp;LEFT($AT$74,1))</f>
        <v>2007 Q1</v>
      </c>
      <c r="AU75" t="str">
        <f>IF(LEN($AU$74)&lt;&gt;8,$AU$74,RIGHT($AU$74,4)&amp;" "&amp;MID($AU$74,3,1)&amp;LEFT($AU$74,1))</f>
        <v>2006 Q4</v>
      </c>
      <c r="AV75" t="str">
        <f>IF(LEN($AV$74)&lt;&gt;8,$AV$74,RIGHT($AV$74,4)&amp;" "&amp;MID($AV$74,3,1)&amp;LEFT($AV$74,1))</f>
        <v>2006 Q3</v>
      </c>
      <c r="AW75" t="str">
        <f>IF(LEN($AW$74)&lt;&gt;8,$AW$74,RIGHT($AW$74,4)&amp;" "&amp;MID($AW$74,3,1)&amp;LEFT($AW$74,1))</f>
        <v>2006 Q2</v>
      </c>
      <c r="AX75" t="str">
        <f>IF(LEN($AX$74)&lt;&gt;8,$AX$74,RIGHT($AX$74,4)&amp;" "&amp;MID($AX$74,3,1)&amp;LEFT($AX$74,1))</f>
        <v>2006 Q1</v>
      </c>
      <c r="AY75" t="str">
        <f>IF(LEN($AY$74)&lt;&gt;8,$AY$74,RIGHT($AY$74,4)&amp;" "&amp;MID($AY$74,3,1)&amp;LEFT($AY$74,1))</f>
        <v>2005 Q4</v>
      </c>
      <c r="AZ75" t="str">
        <f>IF(LEN($AZ$74)&lt;&gt;8,$AZ$74,RIGHT($AZ$74,4)&amp;" "&amp;MID($AZ$74,3,1)&amp;LEFT($AZ$74,1))</f>
        <v>2005 Q3</v>
      </c>
      <c r="BA75" t="str">
        <f>IF(LEN($BA$74)&lt;&gt;8,$BA$74,RIGHT($BA$74,4)&amp;" "&amp;MID($BA$74,3,1)&amp;LEFT($BA$74,1))</f>
        <v>2005 Q2</v>
      </c>
      <c r="BB75" t="str">
        <f>IF(LEN($BB$74)&lt;&gt;8,$BB$74,RIGHT($BB$74,4)&amp;" "&amp;MID($BB$74,3,1)&amp;LEFT($BB$74,1))</f>
        <v>2005 Q1</v>
      </c>
      <c r="BC75" t="str">
        <f>IF(LEN($BC$74)&lt;&gt;8,$BC$74,RIGHT($BC$74,4)&amp;" "&amp;MID($BC$74,3,1)&amp;LEFT($BC$74,1))</f>
        <v>2004 Q4</v>
      </c>
      <c r="BD75" t="str">
        <f>IF(LEN($BD$74)&lt;&gt;8,$BD$74,RIGHT($BD$74,4)&amp;" "&amp;MID($BD$74,3,1)&amp;LEFT($BD$74,1))</f>
        <v>2004 Q3</v>
      </c>
      <c r="BE75" t="str">
        <f>IF(LEN($BE$74)&lt;&gt;8,$BE$74,RIGHT($BE$74,4)&amp;" "&amp;MID($BE$74,3,1)&amp;LEFT($BE$74,1))</f>
        <v>2004 Q2</v>
      </c>
      <c r="BF75" t="str">
        <f>IF(LEN($BF$74)&lt;&gt;8,$BF$74,RIGHT($BF$74,4)&amp;" "&amp;MID($BF$74,3,1)&amp;LEFT($BF$74,1))</f>
        <v>2004 Q1</v>
      </c>
      <c r="BG75" t="str">
        <f>IF(LEN($BG$74)&lt;&gt;8,$BG$74,RIGHT($BG$74,4)&amp;" "&amp;MID($BG$74,3,1)&amp;LEFT($BG$74,1))</f>
        <v>2003 Q4</v>
      </c>
      <c r="BH75" t="str">
        <f>IF(LEN($BH$74)&lt;&gt;8,$BH$74,RIGHT($BH$74,4)&amp;" "&amp;MID($BH$74,3,1)&amp;LEFT($BH$74,1))</f>
        <v>2003 Q3</v>
      </c>
      <c r="BI75" t="str">
        <f>IF(LEN($BI$74)&lt;&gt;8,$BI$74,RIGHT($BI$74,4)&amp;" "&amp;MID($BI$74,3,1)&amp;LEFT($BI$74,1))</f>
        <v>2003 Q2</v>
      </c>
      <c r="BJ75" t="str">
        <f>IF(LEN($BJ$74)&lt;&gt;8,$BJ$74,RIGHT($BJ$74,4)&amp;" "&amp;MID($BJ$74,3,1)&amp;LEFT($BJ$74,1))</f>
        <v>2003 Q1</v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  <c r="CH75" t="str">
        <f>""</f>
        <v/>
      </c>
      <c r="CI75" t="str">
        <f>""</f>
        <v/>
      </c>
      <c r="CJ75" t="str">
        <f>""</f>
        <v/>
      </c>
      <c r="CK75" t="str">
        <f>""</f>
        <v/>
      </c>
      <c r="CL75" t="str">
        <f>""</f>
        <v/>
      </c>
      <c r="CM75" t="str">
        <f>""</f>
        <v/>
      </c>
      <c r="CN75" t="str">
        <f>""</f>
        <v/>
      </c>
      <c r="CO75" t="str">
        <f>""</f>
        <v/>
      </c>
      <c r="CP75" t="str">
        <f>""</f>
        <v/>
      </c>
      <c r="CQ75" t="str">
        <f>""</f>
        <v/>
      </c>
      <c r="CR75" t="str">
        <f>""</f>
        <v/>
      </c>
      <c r="CS75" t="str">
        <f>""</f>
        <v/>
      </c>
      <c r="CT75" t="str">
        <f>""</f>
        <v/>
      </c>
      <c r="CU75" t="str">
        <f>""</f>
        <v/>
      </c>
      <c r="CV75" t="str">
        <f>""</f>
        <v/>
      </c>
      <c r="CW75" t="str">
        <f>""</f>
        <v/>
      </c>
      <c r="CX75" t="str">
        <f>""</f>
        <v/>
      </c>
      <c r="CY75" t="str">
        <f>""</f>
        <v/>
      </c>
      <c r="CZ75" t="str">
        <f>""</f>
        <v/>
      </c>
      <c r="DA75" t="str">
        <f>""</f>
        <v/>
      </c>
      <c r="DB75" t="str">
        <f>""</f>
        <v/>
      </c>
      <c r="DC75" t="str">
        <f>""</f>
        <v/>
      </c>
      <c r="DD75" t="str">
        <f>""</f>
        <v/>
      </c>
      <c r="DE75" t="str">
        <f>""</f>
        <v/>
      </c>
      <c r="DF75" t="str">
        <f>""</f>
        <v/>
      </c>
      <c r="DG75" t="str">
        <f>""</f>
        <v/>
      </c>
      <c r="DH75" t="str">
        <f>""</f>
        <v/>
      </c>
      <c r="DI75" t="str">
        <f>""</f>
        <v/>
      </c>
      <c r="DJ75" t="str">
        <f>""</f>
        <v/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  <c r="DT75" t="str">
        <f>""</f>
        <v/>
      </c>
      <c r="DU75" t="str">
        <f>""</f>
        <v/>
      </c>
    </row>
    <row r="76" spans="1:125">
      <c r="A76" t="str">
        <f>"BDH dynamic header0"</f>
        <v>BDH dynamic header0</v>
      </c>
      <c r="B76">
        <f ca="1">IF(OR(ISERROR($C$76),ISBLANK($C$76),ISNUMBER(SEARCH("N/A",$C$76) ),ISERROR($C$77),ISBLANK($C$77)),0,1)</f>
        <v>0</v>
      </c>
      <c r="C76" t="str">
        <f ca="1">BDH($B$4,$C$4,$B$36,$B$37,"PER=CQ","Dts=S","DtFmt=FI", "rows=2","Dir=H","Points=60","Sort=R","Days=A","Fill=B","FX=USD" )</f>
        <v>#N/A Authorization</v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  <c r="CH76" t="str">
        <f>""</f>
        <v/>
      </c>
      <c r="CI76" t="str">
        <f>""</f>
        <v/>
      </c>
      <c r="CJ76" t="str">
        <f>""</f>
        <v/>
      </c>
      <c r="CK76" t="str">
        <f>""</f>
        <v/>
      </c>
      <c r="CL76" t="str">
        <f>""</f>
        <v/>
      </c>
      <c r="CM76" t="str">
        <f>""</f>
        <v/>
      </c>
      <c r="CN76" t="str">
        <f>""</f>
        <v/>
      </c>
      <c r="CO76" t="str">
        <f>""</f>
        <v/>
      </c>
      <c r="CP76" t="str">
        <f>""</f>
        <v/>
      </c>
      <c r="CQ76" t="str">
        <f>""</f>
        <v/>
      </c>
      <c r="CR76" t="str">
        <f>""</f>
        <v/>
      </c>
      <c r="CS76" t="str">
        <f>""</f>
        <v/>
      </c>
      <c r="CT76" t="str">
        <f>""</f>
        <v/>
      </c>
      <c r="CU76" t="str">
        <f>""</f>
        <v/>
      </c>
      <c r="CV76" t="str">
        <f>""</f>
        <v/>
      </c>
      <c r="CW76" t="str">
        <f>""</f>
        <v/>
      </c>
      <c r="CX76" t="str">
        <f>""</f>
        <v/>
      </c>
      <c r="CY76" t="str">
        <f>""</f>
        <v/>
      </c>
      <c r="CZ76" t="str">
        <f>""</f>
        <v/>
      </c>
      <c r="DA76" t="str">
        <f>""</f>
        <v/>
      </c>
      <c r="DB76" t="str">
        <f>""</f>
        <v/>
      </c>
      <c r="DC76" t="str">
        <f>""</f>
        <v/>
      </c>
      <c r="DD76" t="str">
        <f>""</f>
        <v/>
      </c>
      <c r="DE76" t="str">
        <f>""</f>
        <v/>
      </c>
      <c r="DF76" t="str">
        <f>""</f>
        <v/>
      </c>
      <c r="DG76" t="str">
        <f>""</f>
        <v/>
      </c>
      <c r="DH76" t="str">
        <f>""</f>
        <v/>
      </c>
      <c r="DI76" t="str">
        <f>""</f>
        <v/>
      </c>
      <c r="DJ76" t="str">
        <f>""</f>
        <v/>
      </c>
      <c r="DK76" t="str">
        <f>""</f>
        <v/>
      </c>
      <c r="DL76" t="str">
        <f>""</f>
        <v/>
      </c>
      <c r="DM76" t="str">
        <f>""</f>
        <v/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  <c r="DT76" t="str">
        <f>""</f>
        <v/>
      </c>
      <c r="DU76" t="str">
        <f>""</f>
        <v/>
      </c>
    </row>
    <row r="77" spans="1:125">
      <c r="A77" t="str">
        <f>"BDH dynamic result0"</f>
        <v>BDH dynamic result0</v>
      </c>
      <c r="BN77" t="str">
        <f>""</f>
        <v/>
      </c>
      <c r="BO77" t="str">
        <f>""</f>
        <v/>
      </c>
      <c r="BP77" t="str">
        <f>""</f>
        <v/>
      </c>
      <c r="BQ77" t="str">
        <f>""</f>
        <v/>
      </c>
      <c r="BR77" t="str">
        <f>""</f>
        <v/>
      </c>
      <c r="BS77" t="str">
        <f>""</f>
        <v/>
      </c>
      <c r="BT77" t="str">
        <f>""</f>
        <v/>
      </c>
      <c r="BU77" t="str">
        <f>""</f>
        <v/>
      </c>
      <c r="BV77" t="str">
        <f>""</f>
        <v/>
      </c>
      <c r="BW77" t="str">
        <f>""</f>
        <v/>
      </c>
      <c r="BX77" t="str">
        <f>""</f>
        <v/>
      </c>
      <c r="BY77" t="str">
        <f>""</f>
        <v/>
      </c>
      <c r="BZ77" t="str">
        <f>""</f>
        <v/>
      </c>
      <c r="CA77" t="str">
        <f>""</f>
        <v/>
      </c>
      <c r="CB77" t="str">
        <f>""</f>
        <v/>
      </c>
      <c r="CC77" t="str">
        <f>""</f>
        <v/>
      </c>
      <c r="CD77" t="str">
        <f>""</f>
        <v/>
      </c>
      <c r="CE77" t="str">
        <f>""</f>
        <v/>
      </c>
      <c r="CF77" t="str">
        <f>""</f>
        <v/>
      </c>
      <c r="CG77" t="str">
        <f>""</f>
        <v/>
      </c>
      <c r="CH77" t="str">
        <f>""</f>
        <v/>
      </c>
      <c r="CI77" t="str">
        <f>""</f>
        <v/>
      </c>
      <c r="CJ77" t="str">
        <f>""</f>
        <v/>
      </c>
      <c r="CK77" t="str">
        <f>""</f>
        <v/>
      </c>
      <c r="CL77" t="str">
        <f>""</f>
        <v/>
      </c>
      <c r="CM77" t="str">
        <f>""</f>
        <v/>
      </c>
      <c r="CN77" t="str">
        <f>""</f>
        <v/>
      </c>
      <c r="CO77" t="str">
        <f>""</f>
        <v/>
      </c>
      <c r="CP77" t="str">
        <f>""</f>
        <v/>
      </c>
      <c r="CQ77" t="str">
        <f>""</f>
        <v/>
      </c>
      <c r="CR77" t="str">
        <f>""</f>
        <v/>
      </c>
      <c r="CS77" t="str">
        <f>""</f>
        <v/>
      </c>
      <c r="CT77" t="str">
        <f>""</f>
        <v/>
      </c>
      <c r="CU77" t="str">
        <f>""</f>
        <v/>
      </c>
      <c r="CV77" t="str">
        <f>""</f>
        <v/>
      </c>
      <c r="CW77" t="str">
        <f>""</f>
        <v/>
      </c>
      <c r="CX77" t="str">
        <f>""</f>
        <v/>
      </c>
      <c r="CY77" t="str">
        <f>""</f>
        <v/>
      </c>
      <c r="CZ77" t="str">
        <f>""</f>
        <v/>
      </c>
      <c r="DA77" t="str">
        <f>""</f>
        <v/>
      </c>
      <c r="DB77" t="str">
        <f>""</f>
        <v/>
      </c>
      <c r="DC77" t="str">
        <f>""</f>
        <v/>
      </c>
      <c r="DD77" t="str">
        <f>""</f>
        <v/>
      </c>
      <c r="DE77" t="str">
        <f>""</f>
        <v/>
      </c>
      <c r="DF77" t="str">
        <f>""</f>
        <v/>
      </c>
      <c r="DG77" t="str">
        <f>""</f>
        <v/>
      </c>
      <c r="DH77" t="str">
        <f>""</f>
        <v/>
      </c>
      <c r="DI77" t="str">
        <f>""</f>
        <v/>
      </c>
      <c r="DJ77" t="str">
        <f>""</f>
        <v/>
      </c>
      <c r="DK77" t="str">
        <f>""</f>
        <v/>
      </c>
      <c r="DL77" t="str">
        <f>""</f>
        <v/>
      </c>
      <c r="DM77" t="str">
        <f>""</f>
        <v/>
      </c>
      <c r="DN77" t="str">
        <f>""</f>
        <v/>
      </c>
      <c r="DO77" t="str">
        <f>""</f>
        <v/>
      </c>
      <c r="DP77" t="str">
        <f>""</f>
        <v/>
      </c>
      <c r="DQ77" t="str">
        <f>""</f>
        <v/>
      </c>
      <c r="DR77" t="str">
        <f>""</f>
        <v/>
      </c>
      <c r="DS77" t="str">
        <f>""</f>
        <v/>
      </c>
      <c r="DT77" t="str">
        <f>""</f>
        <v/>
      </c>
      <c r="DU77" t="str">
        <f>""</f>
        <v/>
      </c>
    </row>
    <row r="78" spans="1:125">
      <c r="A78" t="str">
        <f>"BDH dynamic header1"</f>
        <v>BDH dynamic header1</v>
      </c>
      <c r="B78">
        <f ca="1">IF(OR(ISERROR($C$78),ISBLANK($C$78),ISNUMBER(SEARCH("N/A",$C$78) ),ISERROR($C$79),ISBLANK($C$79)),0,1)</f>
        <v>0</v>
      </c>
      <c r="C78" t="str">
        <f ca="1">BDH($B$5,$C$5,$B$36,$B$37,"PER=CQ","Dts=S","DtFmt=FI", "rows=2","Dir=H","Points=60","Sort=R","Days=A","Fill=B","FX=USD" )</f>
        <v>#N/A Authorization</v>
      </c>
      <c r="BN78" t="str">
        <f>""</f>
        <v/>
      </c>
      <c r="BO78" t="str">
        <f>""</f>
        <v/>
      </c>
      <c r="BP78" t="str">
        <f>""</f>
        <v/>
      </c>
      <c r="BQ78" t="str">
        <f>""</f>
        <v/>
      </c>
      <c r="BR78" t="str">
        <f>""</f>
        <v/>
      </c>
      <c r="BS78" t="str">
        <f>""</f>
        <v/>
      </c>
      <c r="BT78" t="str">
        <f>""</f>
        <v/>
      </c>
      <c r="BU78" t="str">
        <f>""</f>
        <v/>
      </c>
      <c r="BV78" t="str">
        <f>""</f>
        <v/>
      </c>
      <c r="BW78" t="str">
        <f>""</f>
        <v/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  <c r="CH78" t="str">
        <f>""</f>
        <v/>
      </c>
      <c r="CI78" t="str">
        <f>""</f>
        <v/>
      </c>
      <c r="CJ78" t="str">
        <f>""</f>
        <v/>
      </c>
      <c r="CK78" t="str">
        <f>""</f>
        <v/>
      </c>
      <c r="CL78" t="str">
        <f>""</f>
        <v/>
      </c>
      <c r="CM78" t="str">
        <f>""</f>
        <v/>
      </c>
      <c r="CN78" t="str">
        <f>""</f>
        <v/>
      </c>
      <c r="CO78" t="str">
        <f>""</f>
        <v/>
      </c>
      <c r="CP78" t="str">
        <f>""</f>
        <v/>
      </c>
      <c r="CQ78" t="str">
        <f>""</f>
        <v/>
      </c>
      <c r="CR78" t="str">
        <f>""</f>
        <v/>
      </c>
      <c r="CS78" t="str">
        <f>""</f>
        <v/>
      </c>
      <c r="CT78" t="str">
        <f>""</f>
        <v/>
      </c>
      <c r="CU78" t="str">
        <f>""</f>
        <v/>
      </c>
      <c r="CV78" t="str">
        <f>""</f>
        <v/>
      </c>
      <c r="CW78" t="str">
        <f>""</f>
        <v/>
      </c>
      <c r="CX78" t="str">
        <f>""</f>
        <v/>
      </c>
      <c r="CY78" t="str">
        <f>""</f>
        <v/>
      </c>
      <c r="CZ78" t="str">
        <f>""</f>
        <v/>
      </c>
      <c r="DA78" t="str">
        <f>""</f>
        <v/>
      </c>
      <c r="DB78" t="str">
        <f>""</f>
        <v/>
      </c>
      <c r="DC78" t="str">
        <f>""</f>
        <v/>
      </c>
      <c r="DD78" t="str">
        <f>""</f>
        <v/>
      </c>
      <c r="DE78" t="str">
        <f>""</f>
        <v/>
      </c>
      <c r="DF78" t="str">
        <f>""</f>
        <v/>
      </c>
      <c r="DG78" t="str">
        <f>""</f>
        <v/>
      </c>
      <c r="DH78" t="str">
        <f>""</f>
        <v/>
      </c>
      <c r="DI78" t="str">
        <f>""</f>
        <v/>
      </c>
      <c r="DJ78" t="str">
        <f>""</f>
        <v/>
      </c>
      <c r="DK78" t="str">
        <f>""</f>
        <v/>
      </c>
      <c r="DL78" t="str">
        <f>""</f>
        <v/>
      </c>
      <c r="DM78" t="str">
        <f>""</f>
        <v/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  <c r="DT78" t="str">
        <f>""</f>
        <v/>
      </c>
      <c r="DU78" t="str">
        <f>""</f>
        <v/>
      </c>
    </row>
    <row r="79" spans="1:125">
      <c r="A79" t="str">
        <f>"BDH dynamic result1"</f>
        <v>BDH dynamic result1</v>
      </c>
      <c r="BN79" t="str">
        <f>""</f>
        <v/>
      </c>
      <c r="BO79" t="str">
        <f>""</f>
        <v/>
      </c>
      <c r="BP79" t="str">
        <f>""</f>
        <v/>
      </c>
      <c r="BQ79" t="str">
        <f>""</f>
        <v/>
      </c>
      <c r="BR79" t="str">
        <f>""</f>
        <v/>
      </c>
      <c r="BS79" t="str">
        <f>""</f>
        <v/>
      </c>
      <c r="BT79" t="str">
        <f>""</f>
        <v/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  <c r="CH79" t="str">
        <f>""</f>
        <v/>
      </c>
      <c r="CI79" t="str">
        <f>""</f>
        <v/>
      </c>
      <c r="CJ79" t="str">
        <f>""</f>
        <v/>
      </c>
      <c r="CK79" t="str">
        <f>""</f>
        <v/>
      </c>
      <c r="CL79" t="str">
        <f>""</f>
        <v/>
      </c>
      <c r="CM79" t="str">
        <f>""</f>
        <v/>
      </c>
      <c r="CN79" t="str">
        <f>""</f>
        <v/>
      </c>
      <c r="CO79" t="str">
        <f>""</f>
        <v/>
      </c>
      <c r="CP79" t="str">
        <f>""</f>
        <v/>
      </c>
      <c r="CQ79" t="str">
        <f>""</f>
        <v/>
      </c>
      <c r="CR79" t="str">
        <f>""</f>
        <v/>
      </c>
      <c r="CS79" t="str">
        <f>""</f>
        <v/>
      </c>
      <c r="CT79" t="str">
        <f>""</f>
        <v/>
      </c>
      <c r="CU79" t="str">
        <f>""</f>
        <v/>
      </c>
      <c r="CV79" t="str">
        <f>""</f>
        <v/>
      </c>
      <c r="CW79" t="str">
        <f>""</f>
        <v/>
      </c>
      <c r="CX79" t="str">
        <f>""</f>
        <v/>
      </c>
      <c r="CY79" t="str">
        <f>""</f>
        <v/>
      </c>
      <c r="CZ79" t="str">
        <f>""</f>
        <v/>
      </c>
      <c r="DA79" t="str">
        <f>""</f>
        <v/>
      </c>
      <c r="DB79" t="str">
        <f>""</f>
        <v/>
      </c>
      <c r="DC79" t="str">
        <f>""</f>
        <v/>
      </c>
      <c r="DD79" t="str">
        <f>""</f>
        <v/>
      </c>
      <c r="DE79" t="str">
        <f>""</f>
        <v/>
      </c>
      <c r="DF79" t="str">
        <f>""</f>
        <v/>
      </c>
      <c r="DG79" t="str">
        <f>""</f>
        <v/>
      </c>
      <c r="DH79" t="str">
        <f>""</f>
        <v/>
      </c>
      <c r="DI79" t="str">
        <f>""</f>
        <v/>
      </c>
      <c r="DJ79" t="str">
        <f>""</f>
        <v/>
      </c>
      <c r="DK79" t="str">
        <f>""</f>
        <v/>
      </c>
      <c r="DL79" t="str">
        <f>""</f>
        <v/>
      </c>
      <c r="DM79" t="str">
        <f>""</f>
        <v/>
      </c>
      <c r="DN79" t="str">
        <f>""</f>
        <v/>
      </c>
      <c r="DO79" t="str">
        <f>""</f>
        <v/>
      </c>
      <c r="DP79" t="str">
        <f>""</f>
        <v/>
      </c>
      <c r="DQ79" t="str">
        <f>""</f>
        <v/>
      </c>
      <c r="DR79" t="str">
        <f>""</f>
        <v/>
      </c>
      <c r="DS79" t="str">
        <f>""</f>
        <v/>
      </c>
      <c r="DT79" t="str">
        <f>""</f>
        <v/>
      </c>
      <c r="DU79" t="str">
        <f>""</f>
        <v/>
      </c>
    </row>
    <row r="80" spans="1:125">
      <c r="A80" t="str">
        <f>"BDH dynamic header2"</f>
        <v>BDH dynamic header2</v>
      </c>
      <c r="B80">
        <f ca="1">IF(OR(ISERROR($C$80),ISBLANK($C$80),ISNUMBER(SEARCH("N/A",$C$80) ),ISERROR($C$81),ISBLANK($C$81)),0,1)</f>
        <v>0</v>
      </c>
      <c r="C80" t="str">
        <f ca="1">BDH($B$6,$C$6,$B$36,$B$37,"PER=CQ","Dts=S","DtFmt=FI", "rows=2","Dir=H","Points=60","Sort=R","Days=A","Fill=B","FX=USD" )</f>
        <v>#N/A Authorization</v>
      </c>
      <c r="BN80" t="str">
        <f>""</f>
        <v/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  <c r="BT80" t="str">
        <f>""</f>
        <v/>
      </c>
      <c r="BU80" t="str">
        <f>""</f>
        <v/>
      </c>
      <c r="BV80" t="str">
        <f>""</f>
        <v/>
      </c>
      <c r="BW80" t="str">
        <f>""</f>
        <v/>
      </c>
      <c r="BX80" t="str">
        <f>""</f>
        <v/>
      </c>
      <c r="BY80" t="str">
        <f>""</f>
        <v/>
      </c>
      <c r="BZ80" t="str">
        <f>""</f>
        <v/>
      </c>
      <c r="CA80" t="str">
        <f>""</f>
        <v/>
      </c>
      <c r="CB80" t="str">
        <f>""</f>
        <v/>
      </c>
      <c r="CC80" t="str">
        <f>""</f>
        <v/>
      </c>
      <c r="CD80" t="str">
        <f>""</f>
        <v/>
      </c>
      <c r="CE80" t="str">
        <f>""</f>
        <v/>
      </c>
      <c r="CF80" t="str">
        <f>""</f>
        <v/>
      </c>
      <c r="CG80" t="str">
        <f>""</f>
        <v/>
      </c>
      <c r="CH80" t="str">
        <f>""</f>
        <v/>
      </c>
      <c r="CI80" t="str">
        <f>""</f>
        <v/>
      </c>
      <c r="CJ80" t="str">
        <f>""</f>
        <v/>
      </c>
      <c r="CK80" t="str">
        <f>""</f>
        <v/>
      </c>
      <c r="CL80" t="str">
        <f>""</f>
        <v/>
      </c>
      <c r="CM80" t="str">
        <f>""</f>
        <v/>
      </c>
      <c r="CN80" t="str">
        <f>""</f>
        <v/>
      </c>
      <c r="CO80" t="str">
        <f>""</f>
        <v/>
      </c>
      <c r="CP80" t="str">
        <f>""</f>
        <v/>
      </c>
      <c r="CQ80" t="str">
        <f>""</f>
        <v/>
      </c>
      <c r="CR80" t="str">
        <f>""</f>
        <v/>
      </c>
      <c r="CS80" t="str">
        <f>""</f>
        <v/>
      </c>
      <c r="CT80" t="str">
        <f>""</f>
        <v/>
      </c>
      <c r="CU80" t="str">
        <f>""</f>
        <v/>
      </c>
      <c r="CV80" t="str">
        <f>""</f>
        <v/>
      </c>
      <c r="CW80" t="str">
        <f>""</f>
        <v/>
      </c>
      <c r="CX80" t="str">
        <f>""</f>
        <v/>
      </c>
      <c r="CY80" t="str">
        <f>""</f>
        <v/>
      </c>
      <c r="CZ80" t="str">
        <f>""</f>
        <v/>
      </c>
      <c r="DA80" t="str">
        <f>""</f>
        <v/>
      </c>
      <c r="DB80" t="str">
        <f>""</f>
        <v/>
      </c>
      <c r="DC80" t="str">
        <f>""</f>
        <v/>
      </c>
      <c r="DD80" t="str">
        <f>""</f>
        <v/>
      </c>
      <c r="DE80" t="str">
        <f>""</f>
        <v/>
      </c>
      <c r="DF80" t="str">
        <f>""</f>
        <v/>
      </c>
      <c r="DG80" t="str">
        <f>""</f>
        <v/>
      </c>
      <c r="DH80" t="str">
        <f>""</f>
        <v/>
      </c>
      <c r="DI80" t="str">
        <f>""</f>
        <v/>
      </c>
      <c r="DJ80" t="str">
        <f>""</f>
        <v/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</row>
    <row r="81" spans="1:125">
      <c r="A81" t="str">
        <f>"BDH dynamic result2"</f>
        <v>BDH dynamic result2</v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  <c r="CH81" t="str">
        <f>""</f>
        <v/>
      </c>
      <c r="CI81" t="str">
        <f>""</f>
        <v/>
      </c>
      <c r="CJ81" t="str">
        <f>""</f>
        <v/>
      </c>
      <c r="CK81" t="str">
        <f>""</f>
        <v/>
      </c>
      <c r="CL81" t="str">
        <f>""</f>
        <v/>
      </c>
      <c r="CM81" t="str">
        <f>""</f>
        <v/>
      </c>
      <c r="CN81" t="str">
        <f>""</f>
        <v/>
      </c>
      <c r="CO81" t="str">
        <f>""</f>
        <v/>
      </c>
      <c r="CP81" t="str">
        <f>""</f>
        <v/>
      </c>
      <c r="CQ81" t="str">
        <f>""</f>
        <v/>
      </c>
      <c r="CR81" t="str">
        <f>""</f>
        <v/>
      </c>
      <c r="CS81" t="str">
        <f>""</f>
        <v/>
      </c>
      <c r="CT81" t="str">
        <f>""</f>
        <v/>
      </c>
      <c r="CU81" t="str">
        <f>""</f>
        <v/>
      </c>
      <c r="CV81" t="str">
        <f>""</f>
        <v/>
      </c>
      <c r="CW81" t="str">
        <f>""</f>
        <v/>
      </c>
      <c r="CX81" t="str">
        <f>""</f>
        <v/>
      </c>
      <c r="CY81" t="str">
        <f>""</f>
        <v/>
      </c>
      <c r="CZ81" t="str">
        <f>""</f>
        <v/>
      </c>
      <c r="DA81" t="str">
        <f>""</f>
        <v/>
      </c>
      <c r="DB81" t="str">
        <f>""</f>
        <v/>
      </c>
      <c r="DC81" t="str">
        <f>""</f>
        <v/>
      </c>
      <c r="DD81" t="str">
        <f>""</f>
        <v/>
      </c>
      <c r="DE81" t="str">
        <f>""</f>
        <v/>
      </c>
      <c r="DF81" t="str">
        <f>""</f>
        <v/>
      </c>
      <c r="DG81" t="str">
        <f>""</f>
        <v/>
      </c>
      <c r="DH81" t="str">
        <f>""</f>
        <v/>
      </c>
      <c r="DI81" t="str">
        <f>""</f>
        <v/>
      </c>
      <c r="DJ81" t="str">
        <f>""</f>
        <v/>
      </c>
      <c r="DK81" t="str">
        <f>""</f>
        <v/>
      </c>
      <c r="DL81" t="str">
        <f>""</f>
        <v/>
      </c>
      <c r="DM81" t="str">
        <f>""</f>
        <v/>
      </c>
      <c r="DN81" t="str">
        <f>""</f>
        <v/>
      </c>
      <c r="DO81" t="str">
        <f>""</f>
        <v/>
      </c>
      <c r="DP81" t="str">
        <f>""</f>
        <v/>
      </c>
      <c r="DQ81" t="str">
        <f>""</f>
        <v/>
      </c>
      <c r="DR81" t="str">
        <f>""</f>
        <v/>
      </c>
      <c r="DS81" t="str">
        <f>""</f>
        <v/>
      </c>
      <c r="DT81" t="str">
        <f>""</f>
        <v/>
      </c>
      <c r="DU81" t="str">
        <f>""</f>
        <v/>
      </c>
    </row>
    <row r="82" spans="1:125">
      <c r="A82" t="str">
        <f>"BDH dynamic"</f>
        <v>BDH dynamic</v>
      </c>
      <c r="B82">
        <f ca="1">IF($B$76&gt;=1,$B$76,IF($B$78&gt;=1,$B$78,IF($B$80&gt;=1,$B$80,$B$67)))</f>
        <v>2</v>
      </c>
      <c r="C82" t="str">
        <f ca="1">IF($B$76&gt;=1,$C$76,IF($B$78&gt;=1,$C$78,IF($B$80&gt;=1,$C$80,$C$67)))</f>
        <v>2017 Q4</v>
      </c>
      <c r="D82" t="str">
        <f ca="1">IF($B$76&gt;=1,$D$76,IF($B$78&gt;=1,$D$78,IF($B$80&gt;=1,$D$80,$D$67)))</f>
        <v>2017 Q3</v>
      </c>
      <c r="E82" t="str">
        <f ca="1">IF($B$76&gt;=1,$E$76,IF($B$78&gt;=1,$E$78,IF($B$80&gt;=1,$E$80,$E$67)))</f>
        <v>2017 Q2</v>
      </c>
      <c r="F82" t="str">
        <f ca="1">IF($B$76&gt;=1,$F$76,IF($B$78&gt;=1,$F$78,IF($B$80&gt;=1,$F$80,$F$67)))</f>
        <v>2017 Q1</v>
      </c>
      <c r="G82" t="str">
        <f ca="1">IF($B$76&gt;=1,$G$76,IF($B$78&gt;=1,$G$78,IF($B$80&gt;=1,$G$80,$G$67)))</f>
        <v>2016 Q4</v>
      </c>
      <c r="H82" t="str">
        <f ca="1">IF($B$76&gt;=1,$H$76,IF($B$78&gt;=1,$H$78,IF($B$80&gt;=1,$H$80,$H$67)))</f>
        <v>2016 Q3</v>
      </c>
      <c r="I82" t="str">
        <f ca="1">IF($B$76&gt;=1,$I$76,IF($B$78&gt;=1,$I$78,IF($B$80&gt;=1,$I$80,$I$67)))</f>
        <v>2016 Q2</v>
      </c>
      <c r="J82" t="str">
        <f ca="1">IF($B$76&gt;=1,$J$76,IF($B$78&gt;=1,$J$78,IF($B$80&gt;=1,$J$80,$J$67)))</f>
        <v>2016 Q1</v>
      </c>
      <c r="K82" t="str">
        <f ca="1">IF($B$76&gt;=1,$K$76,IF($B$78&gt;=1,$K$78,IF($B$80&gt;=1,$K$80,$K$67)))</f>
        <v>2015 Q4</v>
      </c>
      <c r="L82" t="str">
        <f ca="1">IF($B$76&gt;=1,$L$76,IF($B$78&gt;=1,$L$78,IF($B$80&gt;=1,$L$80,$L$67)))</f>
        <v>2015 Q3</v>
      </c>
      <c r="M82" t="str">
        <f ca="1">IF($B$76&gt;=1,$M$76,IF($B$78&gt;=1,$M$78,IF($B$80&gt;=1,$M$80,$M$67)))</f>
        <v>2015 Q2</v>
      </c>
      <c r="N82" t="str">
        <f ca="1">IF($B$76&gt;=1,$N$76,IF($B$78&gt;=1,$N$78,IF($B$80&gt;=1,$N$80,$N$67)))</f>
        <v>2015 Q1</v>
      </c>
      <c r="O82" t="str">
        <f ca="1">IF($B$76&gt;=1,$O$76,IF($B$78&gt;=1,$O$78,IF($B$80&gt;=1,$O$80,$O$67)))</f>
        <v>2014 Q4</v>
      </c>
      <c r="P82" t="str">
        <f ca="1">IF($B$76&gt;=1,$P$76,IF($B$78&gt;=1,$P$78,IF($B$80&gt;=1,$P$80,$P$67)))</f>
        <v>2014 Q3</v>
      </c>
      <c r="Q82" t="str">
        <f ca="1">IF($B$76&gt;=1,$Q$76,IF($B$78&gt;=1,$Q$78,IF($B$80&gt;=1,$Q$80,$Q$67)))</f>
        <v>2014 Q2</v>
      </c>
      <c r="R82" t="str">
        <f ca="1">IF($B$76&gt;=1,$R$76,IF($B$78&gt;=1,$R$78,IF($B$80&gt;=1,$R$80,$R$67)))</f>
        <v>2014 Q1</v>
      </c>
      <c r="S82" t="str">
        <f ca="1">IF($B$76&gt;=1,$S$76,IF($B$78&gt;=1,$S$78,IF($B$80&gt;=1,$S$80,$S$67)))</f>
        <v>2013 Q4</v>
      </c>
      <c r="T82" t="str">
        <f ca="1">IF($B$76&gt;=1,$T$76,IF($B$78&gt;=1,$T$78,IF($B$80&gt;=1,$T$80,$T$67)))</f>
        <v>2013 Q3</v>
      </c>
      <c r="U82" t="str">
        <f ca="1">IF($B$76&gt;=1,$U$76,IF($B$78&gt;=1,$U$78,IF($B$80&gt;=1,$U$80,$U$67)))</f>
        <v>2013 Q2</v>
      </c>
      <c r="V82" t="str">
        <f ca="1">IF($B$76&gt;=1,$V$76,IF($B$78&gt;=1,$V$78,IF($B$80&gt;=1,$V$80,$V$67)))</f>
        <v>2013 Q1</v>
      </c>
      <c r="W82" t="str">
        <f ca="1">IF($B$76&gt;=1,$W$76,IF($B$78&gt;=1,$W$78,IF($B$80&gt;=1,$W$80,$W$67)))</f>
        <v>2012 Q4</v>
      </c>
      <c r="X82" t="str">
        <f ca="1">IF($B$76&gt;=1,$X$76,IF($B$78&gt;=1,$X$78,IF($B$80&gt;=1,$X$80,$X$67)))</f>
        <v>2012 Q3</v>
      </c>
      <c r="Y82" t="str">
        <f ca="1">IF($B$76&gt;=1,$Y$76,IF($B$78&gt;=1,$Y$78,IF($B$80&gt;=1,$Y$80,$Y$67)))</f>
        <v>2012 Q2</v>
      </c>
      <c r="Z82" t="str">
        <f ca="1">IF($B$76&gt;=1,$Z$76,IF($B$78&gt;=1,$Z$78,IF($B$80&gt;=1,$Z$80,$Z$67)))</f>
        <v>2012 Q1</v>
      </c>
      <c r="AA82" t="str">
        <f ca="1">IF($B$76&gt;=1,$AA$76,IF($B$78&gt;=1,$AA$78,IF($B$80&gt;=1,$AA$80,$AA$67)))</f>
        <v>2011 Q4</v>
      </c>
      <c r="AB82" t="str">
        <f ca="1">IF($B$76&gt;=1,$AB$76,IF($B$78&gt;=1,$AB$78,IF($B$80&gt;=1,$AB$80,$AB$67)))</f>
        <v>2011 Q3</v>
      </c>
      <c r="AC82" t="str">
        <f ca="1">IF($B$76&gt;=1,$AC$76,IF($B$78&gt;=1,$AC$78,IF($B$80&gt;=1,$AC$80,$AC$67)))</f>
        <v>2011 Q2</v>
      </c>
      <c r="AD82" t="str">
        <f ca="1">IF($B$76&gt;=1,$AD$76,IF($B$78&gt;=1,$AD$78,IF($B$80&gt;=1,$AD$80,$AD$67)))</f>
        <v>2011 Q1</v>
      </c>
      <c r="AE82" t="str">
        <f ca="1">IF($B$76&gt;=1,$AE$76,IF($B$78&gt;=1,$AE$78,IF($B$80&gt;=1,$AE$80,$AE$67)))</f>
        <v>2010 Q4</v>
      </c>
      <c r="AF82" t="str">
        <f ca="1">IF($B$76&gt;=1,$AF$76,IF($B$78&gt;=1,$AF$78,IF($B$80&gt;=1,$AF$80,$AF$67)))</f>
        <v>2010 Q3</v>
      </c>
      <c r="AG82" t="str">
        <f ca="1">IF($B$76&gt;=1,$AG$76,IF($B$78&gt;=1,$AG$78,IF($B$80&gt;=1,$AG$80,$AG$67)))</f>
        <v>2010 Q2</v>
      </c>
      <c r="AH82" t="str">
        <f ca="1">IF($B$76&gt;=1,$AH$76,IF($B$78&gt;=1,$AH$78,IF($B$80&gt;=1,$AH$80,$AH$67)))</f>
        <v>2010 Q1</v>
      </c>
      <c r="AI82" t="str">
        <f ca="1">IF($B$76&gt;=1,$AI$76,IF($B$78&gt;=1,$AI$78,IF($B$80&gt;=1,$AI$80,$AI$67)))</f>
        <v>2009 Q4</v>
      </c>
      <c r="AJ82" t="str">
        <f ca="1">IF($B$76&gt;=1,$AJ$76,IF($B$78&gt;=1,$AJ$78,IF($B$80&gt;=1,$AJ$80,$AJ$67)))</f>
        <v>2009 Q3</v>
      </c>
      <c r="AK82" t="str">
        <f ca="1">IF($B$76&gt;=1,$AK$76,IF($B$78&gt;=1,$AK$78,IF($B$80&gt;=1,$AK$80,$AK$67)))</f>
        <v>2009 Q2</v>
      </c>
      <c r="AL82" t="str">
        <f ca="1">IF($B$76&gt;=1,$AL$76,IF($B$78&gt;=1,$AL$78,IF($B$80&gt;=1,$AL$80,$AL$67)))</f>
        <v>2009 Q1</v>
      </c>
      <c r="AM82" t="str">
        <f ca="1">IF($B$76&gt;=1,$AM$76,IF($B$78&gt;=1,$AM$78,IF($B$80&gt;=1,$AM$80,$AM$67)))</f>
        <v>2008 Q4</v>
      </c>
      <c r="AN82" t="str">
        <f ca="1">IF($B$76&gt;=1,$AN$76,IF($B$78&gt;=1,$AN$78,IF($B$80&gt;=1,$AN$80,$AN$67)))</f>
        <v>2008 Q3</v>
      </c>
      <c r="AO82" t="str">
        <f ca="1">IF($B$76&gt;=1,$AO$76,IF($B$78&gt;=1,$AO$78,IF($B$80&gt;=1,$AO$80,$AO$67)))</f>
        <v>2008 Q2</v>
      </c>
      <c r="AP82" t="str">
        <f ca="1">IF($B$76&gt;=1,$AP$76,IF($B$78&gt;=1,$AP$78,IF($B$80&gt;=1,$AP$80,$AP$67)))</f>
        <v>2008 Q1</v>
      </c>
      <c r="AQ82" t="str">
        <f ca="1">IF($B$76&gt;=1,$AQ$76,IF($B$78&gt;=1,$AQ$78,IF($B$80&gt;=1,$AQ$80,$AQ$67)))</f>
        <v>2007 Q4</v>
      </c>
      <c r="AR82" t="str">
        <f ca="1">IF($B$76&gt;=1,$AR$76,IF($B$78&gt;=1,$AR$78,IF($B$80&gt;=1,$AR$80,$AR$67)))</f>
        <v>2007 Q3</v>
      </c>
      <c r="AS82" t="str">
        <f ca="1">IF($B$76&gt;=1,$AS$76,IF($B$78&gt;=1,$AS$78,IF($B$80&gt;=1,$AS$80,$AS$67)))</f>
        <v>2007 Q2</v>
      </c>
      <c r="AT82" t="str">
        <f ca="1">IF($B$76&gt;=1,$AT$76,IF($B$78&gt;=1,$AT$78,IF($B$80&gt;=1,$AT$80,$AT$67)))</f>
        <v>2007 Q1</v>
      </c>
      <c r="AU82" t="str">
        <f ca="1">IF($B$76&gt;=1,$AU$76,IF($B$78&gt;=1,$AU$78,IF($B$80&gt;=1,$AU$80,$AU$67)))</f>
        <v>2006 Q4</v>
      </c>
      <c r="AV82" t="str">
        <f ca="1">IF($B$76&gt;=1,$AV$76,IF($B$78&gt;=1,$AV$78,IF($B$80&gt;=1,$AV$80,$AV$67)))</f>
        <v>2006 Q3</v>
      </c>
      <c r="AW82" t="str">
        <f ca="1">IF($B$76&gt;=1,$AW$76,IF($B$78&gt;=1,$AW$78,IF($B$80&gt;=1,$AW$80,$AW$67)))</f>
        <v>2006 Q2</v>
      </c>
      <c r="AX82" t="str">
        <f ca="1">IF($B$76&gt;=1,$AX$76,IF($B$78&gt;=1,$AX$78,IF($B$80&gt;=1,$AX$80,$AX$67)))</f>
        <v>2006 Q1</v>
      </c>
      <c r="AY82" t="str">
        <f ca="1">IF($B$76&gt;=1,$AY$76,IF($B$78&gt;=1,$AY$78,IF($B$80&gt;=1,$AY$80,$AY$67)))</f>
        <v>2005 Q4</v>
      </c>
      <c r="AZ82" t="str">
        <f ca="1">IF($B$76&gt;=1,$AZ$76,IF($B$78&gt;=1,$AZ$78,IF($B$80&gt;=1,$AZ$80,$AZ$67)))</f>
        <v>2005 Q3</v>
      </c>
      <c r="BA82" t="str">
        <f ca="1">IF($B$76&gt;=1,$BA$76,IF($B$78&gt;=1,$BA$78,IF($B$80&gt;=1,$BA$80,$BA$67)))</f>
        <v>2005 Q2</v>
      </c>
      <c r="BB82" t="str">
        <f ca="1">IF($B$76&gt;=1,$BB$76,IF($B$78&gt;=1,$BB$78,IF($B$80&gt;=1,$BB$80,$BB$67)))</f>
        <v>2005 Q1</v>
      </c>
      <c r="BC82" t="str">
        <f ca="1">IF($B$76&gt;=1,$BC$76,IF($B$78&gt;=1,$BC$78,IF($B$80&gt;=1,$BC$80,$BC$67)))</f>
        <v>2004 Q4</v>
      </c>
      <c r="BD82" t="str">
        <f ca="1">IF($B$76&gt;=1,$BD$76,IF($B$78&gt;=1,$BD$78,IF($B$80&gt;=1,$BD$80,$BD$67)))</f>
        <v>2004 Q3</v>
      </c>
      <c r="BE82" t="str">
        <f ca="1">IF($B$76&gt;=1,$BE$76,IF($B$78&gt;=1,$BE$78,IF($B$80&gt;=1,$BE$80,$BE$67)))</f>
        <v>2004 Q2</v>
      </c>
      <c r="BF82" t="str">
        <f ca="1">IF($B$76&gt;=1,$BF$76,IF($B$78&gt;=1,$BF$78,IF($B$80&gt;=1,$BF$80,$BF$67)))</f>
        <v>2004 Q1</v>
      </c>
      <c r="BG82" t="str">
        <f ca="1">IF($B$76&gt;=1,$BG$76,IF($B$78&gt;=1,$BG$78,IF($B$80&gt;=1,$BG$80,$BG$67)))</f>
        <v>2003 Q4</v>
      </c>
      <c r="BH82" t="str">
        <f ca="1">IF($B$76&gt;=1,$BH$76,IF($B$78&gt;=1,$BH$78,IF($B$80&gt;=1,$BH$80,$BH$67)))</f>
        <v>2003 Q3</v>
      </c>
      <c r="BI82" t="str">
        <f ca="1">IF($B$76&gt;=1,$BI$76,IF($B$78&gt;=1,$BI$78,IF($B$80&gt;=1,$BI$80,$BI$67)))</f>
        <v>2003 Q2</v>
      </c>
      <c r="BJ82" t="str">
        <f ca="1">IF($B$76&gt;=1,$BJ$76,IF($B$78&gt;=1,$BJ$78,IF($B$80&gt;=1,$BJ$80,$BJ$67)))</f>
        <v>2003 Q1</v>
      </c>
      <c r="BN82" t="str">
        <f>""</f>
        <v/>
      </c>
      <c r="BO82" t="str">
        <f>""</f>
        <v/>
      </c>
      <c r="BP82" t="str">
        <f>""</f>
        <v/>
      </c>
      <c r="BQ82" t="str">
        <f>""</f>
        <v/>
      </c>
      <c r="BR82" t="str">
        <f>""</f>
        <v/>
      </c>
      <c r="BS82" t="str">
        <f>""</f>
        <v/>
      </c>
      <c r="BT82" t="str">
        <f>""</f>
        <v/>
      </c>
      <c r="BU82" t="str">
        <f>""</f>
        <v/>
      </c>
      <c r="BV82" t="str">
        <f>""</f>
        <v/>
      </c>
      <c r="BW82" t="str">
        <f>""</f>
        <v/>
      </c>
      <c r="BX82" t="str">
        <f>""</f>
        <v/>
      </c>
      <c r="BY82" t="str">
        <f>""</f>
        <v/>
      </c>
      <c r="BZ82" t="str">
        <f>""</f>
        <v/>
      </c>
      <c r="CA82" t="str">
        <f>""</f>
        <v/>
      </c>
      <c r="CB82" t="str">
        <f>""</f>
        <v/>
      </c>
      <c r="CC82" t="str">
        <f>""</f>
        <v/>
      </c>
      <c r="CD82" t="str">
        <f>""</f>
        <v/>
      </c>
      <c r="CE82" t="str">
        <f>""</f>
        <v/>
      </c>
      <c r="CF82" t="str">
        <f>""</f>
        <v/>
      </c>
      <c r="CG82" t="str">
        <f>""</f>
        <v/>
      </c>
      <c r="CH82" t="str">
        <f>""</f>
        <v/>
      </c>
      <c r="CI82" t="str">
        <f>""</f>
        <v/>
      </c>
      <c r="CJ82" t="str">
        <f>""</f>
        <v/>
      </c>
      <c r="CK82" t="str">
        <f>""</f>
        <v/>
      </c>
      <c r="CL82" t="str">
        <f>""</f>
        <v/>
      </c>
      <c r="CM82" t="str">
        <f>""</f>
        <v/>
      </c>
      <c r="CN82" t="str">
        <f>""</f>
        <v/>
      </c>
      <c r="CO82" t="str">
        <f>""</f>
        <v/>
      </c>
      <c r="CP82" t="str">
        <f>""</f>
        <v/>
      </c>
      <c r="CQ82" t="str">
        <f>""</f>
        <v/>
      </c>
      <c r="CR82" t="str">
        <f>""</f>
        <v/>
      </c>
      <c r="CS82" t="str">
        <f>""</f>
        <v/>
      </c>
      <c r="CT82" t="str">
        <f>""</f>
        <v/>
      </c>
      <c r="CU82" t="str">
        <f>""</f>
        <v/>
      </c>
      <c r="CV82" t="str">
        <f>""</f>
        <v/>
      </c>
      <c r="CW82" t="str">
        <f>""</f>
        <v/>
      </c>
      <c r="CX82" t="str">
        <f>""</f>
        <v/>
      </c>
      <c r="CY82" t="str">
        <f>""</f>
        <v/>
      </c>
      <c r="CZ82" t="str">
        <f>""</f>
        <v/>
      </c>
      <c r="DA82" t="str">
        <f>""</f>
        <v/>
      </c>
      <c r="DB82" t="str">
        <f>""</f>
        <v/>
      </c>
      <c r="DC82" t="str">
        <f>""</f>
        <v/>
      </c>
      <c r="DD82" t="str">
        <f>""</f>
        <v/>
      </c>
      <c r="DE82" t="str">
        <f>""</f>
        <v/>
      </c>
      <c r="DF82" t="str">
        <f>""</f>
        <v/>
      </c>
      <c r="DG82" t="str">
        <f>""</f>
        <v/>
      </c>
      <c r="DH82" t="str">
        <f>""</f>
        <v/>
      </c>
      <c r="DI82" t="str">
        <f>""</f>
        <v/>
      </c>
      <c r="DJ82" t="str">
        <f>""</f>
        <v/>
      </c>
      <c r="DK82" t="str">
        <f>""</f>
        <v/>
      </c>
      <c r="DL82" t="str">
        <f>""</f>
        <v/>
      </c>
      <c r="DM82" t="str">
        <f>""</f>
        <v/>
      </c>
      <c r="DN82" t="str">
        <f>""</f>
        <v/>
      </c>
      <c r="DO82" t="str">
        <f>""</f>
        <v/>
      </c>
      <c r="DP82" t="str">
        <f>""</f>
        <v/>
      </c>
      <c r="DQ82" t="str">
        <f>""</f>
        <v/>
      </c>
      <c r="DR82" t="str">
        <f>""</f>
        <v/>
      </c>
      <c r="DS82" t="str">
        <f>""</f>
        <v/>
      </c>
      <c r="DT82" t="str">
        <f>""</f>
        <v/>
      </c>
      <c r="DU82" t="str">
        <f>""</f>
        <v/>
      </c>
    </row>
    <row r="83" spans="1:125">
      <c r="A83" t="str">
        <f>"BDH dynamic title"</f>
        <v>BDH dynamic title</v>
      </c>
      <c r="B83">
        <f ca="1">$B$82</f>
        <v>2</v>
      </c>
      <c r="C83" t="str">
        <f ca="1">IF(LEN($C$82)&lt;&gt;8,$C$82,RIGHT($C$82,4)&amp;" "&amp;MID($C$82,3,1)&amp;LEFT($C$82,1))</f>
        <v>2017 Q4</v>
      </c>
      <c r="D83" t="str">
        <f ca="1">IF(LEN($D$82)&lt;&gt;8,$D$82,RIGHT($D$82,4)&amp;" "&amp;MID($D$82,3,1)&amp;LEFT($D$82,1))</f>
        <v>2017 Q3</v>
      </c>
      <c r="E83" t="str">
        <f ca="1">IF(LEN($E$82)&lt;&gt;8,$E$82,RIGHT($E$82,4)&amp;" "&amp;MID($E$82,3,1)&amp;LEFT($E$82,1))</f>
        <v>2017 Q2</v>
      </c>
      <c r="F83" t="str">
        <f ca="1">IF(LEN($F$82)&lt;&gt;8,$F$82,RIGHT($F$82,4)&amp;" "&amp;MID($F$82,3,1)&amp;LEFT($F$82,1))</f>
        <v>2017 Q1</v>
      </c>
      <c r="G83" t="str">
        <f ca="1">IF(LEN($G$82)&lt;&gt;8,$G$82,RIGHT($G$82,4)&amp;" "&amp;MID($G$82,3,1)&amp;LEFT($G$82,1))</f>
        <v>2016 Q4</v>
      </c>
      <c r="H83" t="str">
        <f ca="1">IF(LEN($H$82)&lt;&gt;8,$H$82,RIGHT($H$82,4)&amp;" "&amp;MID($H$82,3,1)&amp;LEFT($H$82,1))</f>
        <v>2016 Q3</v>
      </c>
      <c r="I83" t="str">
        <f ca="1">IF(LEN($I$82)&lt;&gt;8,$I$82,RIGHT($I$82,4)&amp;" "&amp;MID($I$82,3,1)&amp;LEFT($I$82,1))</f>
        <v>2016 Q2</v>
      </c>
      <c r="J83" t="str">
        <f ca="1">IF(LEN($J$82)&lt;&gt;8,$J$82,RIGHT($J$82,4)&amp;" "&amp;MID($J$82,3,1)&amp;LEFT($J$82,1))</f>
        <v>2016 Q1</v>
      </c>
      <c r="K83" t="str">
        <f ca="1">IF(LEN($K$82)&lt;&gt;8,$K$82,RIGHT($K$82,4)&amp;" "&amp;MID($K$82,3,1)&amp;LEFT($K$82,1))</f>
        <v>2015 Q4</v>
      </c>
      <c r="L83" t="str">
        <f ca="1">IF(LEN($L$82)&lt;&gt;8,$L$82,RIGHT($L$82,4)&amp;" "&amp;MID($L$82,3,1)&amp;LEFT($L$82,1))</f>
        <v>2015 Q3</v>
      </c>
      <c r="M83" t="str">
        <f ca="1">IF(LEN($M$82)&lt;&gt;8,$M$82,RIGHT($M$82,4)&amp;" "&amp;MID($M$82,3,1)&amp;LEFT($M$82,1))</f>
        <v>2015 Q2</v>
      </c>
      <c r="N83" t="str">
        <f ca="1">IF(LEN($N$82)&lt;&gt;8,$N$82,RIGHT($N$82,4)&amp;" "&amp;MID($N$82,3,1)&amp;LEFT($N$82,1))</f>
        <v>2015 Q1</v>
      </c>
      <c r="O83" t="str">
        <f ca="1">IF(LEN($O$82)&lt;&gt;8,$O$82,RIGHT($O$82,4)&amp;" "&amp;MID($O$82,3,1)&amp;LEFT($O$82,1))</f>
        <v>2014 Q4</v>
      </c>
      <c r="P83" t="str">
        <f ca="1">IF(LEN($P$82)&lt;&gt;8,$P$82,RIGHT($P$82,4)&amp;" "&amp;MID($P$82,3,1)&amp;LEFT($P$82,1))</f>
        <v>2014 Q3</v>
      </c>
      <c r="Q83" t="str">
        <f ca="1">IF(LEN($Q$82)&lt;&gt;8,$Q$82,RIGHT($Q$82,4)&amp;" "&amp;MID($Q$82,3,1)&amp;LEFT($Q$82,1))</f>
        <v>2014 Q2</v>
      </c>
      <c r="R83" t="str">
        <f ca="1">IF(LEN($R$82)&lt;&gt;8,$R$82,RIGHT($R$82,4)&amp;" "&amp;MID($R$82,3,1)&amp;LEFT($R$82,1))</f>
        <v>2014 Q1</v>
      </c>
      <c r="S83" t="str">
        <f ca="1">IF(LEN($S$82)&lt;&gt;8,$S$82,RIGHT($S$82,4)&amp;" "&amp;MID($S$82,3,1)&amp;LEFT($S$82,1))</f>
        <v>2013 Q4</v>
      </c>
      <c r="T83" t="str">
        <f ca="1">IF(LEN($T$82)&lt;&gt;8,$T$82,RIGHT($T$82,4)&amp;" "&amp;MID($T$82,3,1)&amp;LEFT($T$82,1))</f>
        <v>2013 Q3</v>
      </c>
      <c r="U83" t="str">
        <f ca="1">IF(LEN($U$82)&lt;&gt;8,$U$82,RIGHT($U$82,4)&amp;" "&amp;MID($U$82,3,1)&amp;LEFT($U$82,1))</f>
        <v>2013 Q2</v>
      </c>
      <c r="V83" t="str">
        <f ca="1">IF(LEN($V$82)&lt;&gt;8,$V$82,RIGHT($V$82,4)&amp;" "&amp;MID($V$82,3,1)&amp;LEFT($V$82,1))</f>
        <v>2013 Q1</v>
      </c>
      <c r="W83" t="str">
        <f ca="1">IF(LEN($W$82)&lt;&gt;8,$W$82,RIGHT($W$82,4)&amp;" "&amp;MID($W$82,3,1)&amp;LEFT($W$82,1))</f>
        <v>2012 Q4</v>
      </c>
      <c r="X83" t="str">
        <f ca="1">IF(LEN($X$82)&lt;&gt;8,$X$82,RIGHT($X$82,4)&amp;" "&amp;MID($X$82,3,1)&amp;LEFT($X$82,1))</f>
        <v>2012 Q3</v>
      </c>
      <c r="Y83" t="str">
        <f ca="1">IF(LEN($Y$82)&lt;&gt;8,$Y$82,RIGHT($Y$82,4)&amp;" "&amp;MID($Y$82,3,1)&amp;LEFT($Y$82,1))</f>
        <v>2012 Q2</v>
      </c>
      <c r="Z83" t="str">
        <f ca="1">IF(LEN($Z$82)&lt;&gt;8,$Z$82,RIGHT($Z$82,4)&amp;" "&amp;MID($Z$82,3,1)&amp;LEFT($Z$82,1))</f>
        <v>2012 Q1</v>
      </c>
      <c r="AA83" t="str">
        <f ca="1">IF(LEN($AA$82)&lt;&gt;8,$AA$82,RIGHT($AA$82,4)&amp;" "&amp;MID($AA$82,3,1)&amp;LEFT($AA$82,1))</f>
        <v>2011 Q4</v>
      </c>
      <c r="AB83" t="str">
        <f ca="1">IF(LEN($AB$82)&lt;&gt;8,$AB$82,RIGHT($AB$82,4)&amp;" "&amp;MID($AB$82,3,1)&amp;LEFT($AB$82,1))</f>
        <v>2011 Q3</v>
      </c>
      <c r="AC83" t="str">
        <f ca="1">IF(LEN($AC$82)&lt;&gt;8,$AC$82,RIGHT($AC$82,4)&amp;" "&amp;MID($AC$82,3,1)&amp;LEFT($AC$82,1))</f>
        <v>2011 Q2</v>
      </c>
      <c r="AD83" t="str">
        <f ca="1">IF(LEN($AD$82)&lt;&gt;8,$AD$82,RIGHT($AD$82,4)&amp;" "&amp;MID($AD$82,3,1)&amp;LEFT($AD$82,1))</f>
        <v>2011 Q1</v>
      </c>
      <c r="AE83" t="str">
        <f ca="1">IF(LEN($AE$82)&lt;&gt;8,$AE$82,RIGHT($AE$82,4)&amp;" "&amp;MID($AE$82,3,1)&amp;LEFT($AE$82,1))</f>
        <v>2010 Q4</v>
      </c>
      <c r="AF83" t="str">
        <f ca="1">IF(LEN($AF$82)&lt;&gt;8,$AF$82,RIGHT($AF$82,4)&amp;" "&amp;MID($AF$82,3,1)&amp;LEFT($AF$82,1))</f>
        <v>2010 Q3</v>
      </c>
      <c r="AG83" t="str">
        <f ca="1">IF(LEN($AG$82)&lt;&gt;8,$AG$82,RIGHT($AG$82,4)&amp;" "&amp;MID($AG$82,3,1)&amp;LEFT($AG$82,1))</f>
        <v>2010 Q2</v>
      </c>
      <c r="AH83" t="str">
        <f ca="1">IF(LEN($AH$82)&lt;&gt;8,$AH$82,RIGHT($AH$82,4)&amp;" "&amp;MID($AH$82,3,1)&amp;LEFT($AH$82,1))</f>
        <v>2010 Q1</v>
      </c>
      <c r="AI83" t="str">
        <f ca="1">IF(LEN($AI$82)&lt;&gt;8,$AI$82,RIGHT($AI$82,4)&amp;" "&amp;MID($AI$82,3,1)&amp;LEFT($AI$82,1))</f>
        <v>2009 Q4</v>
      </c>
      <c r="AJ83" t="str">
        <f ca="1">IF(LEN($AJ$82)&lt;&gt;8,$AJ$82,RIGHT($AJ$82,4)&amp;" "&amp;MID($AJ$82,3,1)&amp;LEFT($AJ$82,1))</f>
        <v>2009 Q3</v>
      </c>
      <c r="AK83" t="str">
        <f ca="1">IF(LEN($AK$82)&lt;&gt;8,$AK$82,RIGHT($AK$82,4)&amp;" "&amp;MID($AK$82,3,1)&amp;LEFT($AK$82,1))</f>
        <v>2009 Q2</v>
      </c>
      <c r="AL83" t="str">
        <f ca="1">IF(LEN($AL$82)&lt;&gt;8,$AL$82,RIGHT($AL$82,4)&amp;" "&amp;MID($AL$82,3,1)&amp;LEFT($AL$82,1))</f>
        <v>2009 Q1</v>
      </c>
      <c r="AM83" t="str">
        <f ca="1">IF(LEN($AM$82)&lt;&gt;8,$AM$82,RIGHT($AM$82,4)&amp;" "&amp;MID($AM$82,3,1)&amp;LEFT($AM$82,1))</f>
        <v>2008 Q4</v>
      </c>
      <c r="AN83" t="str">
        <f ca="1">IF(LEN($AN$82)&lt;&gt;8,$AN$82,RIGHT($AN$82,4)&amp;" "&amp;MID($AN$82,3,1)&amp;LEFT($AN$82,1))</f>
        <v>2008 Q3</v>
      </c>
      <c r="AO83" t="str">
        <f ca="1">IF(LEN($AO$82)&lt;&gt;8,$AO$82,RIGHT($AO$82,4)&amp;" "&amp;MID($AO$82,3,1)&amp;LEFT($AO$82,1))</f>
        <v>2008 Q2</v>
      </c>
      <c r="AP83" t="str">
        <f ca="1">IF(LEN($AP$82)&lt;&gt;8,$AP$82,RIGHT($AP$82,4)&amp;" "&amp;MID($AP$82,3,1)&amp;LEFT($AP$82,1))</f>
        <v>2008 Q1</v>
      </c>
      <c r="AQ83" t="str">
        <f ca="1">IF(LEN($AQ$82)&lt;&gt;8,$AQ$82,RIGHT($AQ$82,4)&amp;" "&amp;MID($AQ$82,3,1)&amp;LEFT($AQ$82,1))</f>
        <v>2007 Q4</v>
      </c>
      <c r="AR83" t="str">
        <f ca="1">IF(LEN($AR$82)&lt;&gt;8,$AR$82,RIGHT($AR$82,4)&amp;" "&amp;MID($AR$82,3,1)&amp;LEFT($AR$82,1))</f>
        <v>2007 Q3</v>
      </c>
      <c r="AS83" t="str">
        <f ca="1">IF(LEN($AS$82)&lt;&gt;8,$AS$82,RIGHT($AS$82,4)&amp;" "&amp;MID($AS$82,3,1)&amp;LEFT($AS$82,1))</f>
        <v>2007 Q2</v>
      </c>
      <c r="AT83" t="str">
        <f ca="1">IF(LEN($AT$82)&lt;&gt;8,$AT$82,RIGHT($AT$82,4)&amp;" "&amp;MID($AT$82,3,1)&amp;LEFT($AT$82,1))</f>
        <v>2007 Q1</v>
      </c>
      <c r="AU83" t="str">
        <f ca="1">IF(LEN($AU$82)&lt;&gt;8,$AU$82,RIGHT($AU$82,4)&amp;" "&amp;MID($AU$82,3,1)&amp;LEFT($AU$82,1))</f>
        <v>2006 Q4</v>
      </c>
      <c r="AV83" t="str">
        <f ca="1">IF(LEN($AV$82)&lt;&gt;8,$AV$82,RIGHT($AV$82,4)&amp;" "&amp;MID($AV$82,3,1)&amp;LEFT($AV$82,1))</f>
        <v>2006 Q3</v>
      </c>
      <c r="AW83" t="str">
        <f ca="1">IF(LEN($AW$82)&lt;&gt;8,$AW$82,RIGHT($AW$82,4)&amp;" "&amp;MID($AW$82,3,1)&amp;LEFT($AW$82,1))</f>
        <v>2006 Q2</v>
      </c>
      <c r="AX83" t="str">
        <f ca="1">IF(LEN($AX$82)&lt;&gt;8,$AX$82,RIGHT($AX$82,4)&amp;" "&amp;MID($AX$82,3,1)&amp;LEFT($AX$82,1))</f>
        <v>2006 Q1</v>
      </c>
      <c r="AY83" t="str">
        <f ca="1">IF(LEN($AY$82)&lt;&gt;8,$AY$82,RIGHT($AY$82,4)&amp;" "&amp;MID($AY$82,3,1)&amp;LEFT($AY$82,1))</f>
        <v>2005 Q4</v>
      </c>
      <c r="AZ83" t="str">
        <f ca="1">IF(LEN($AZ$82)&lt;&gt;8,$AZ$82,RIGHT($AZ$82,4)&amp;" "&amp;MID($AZ$82,3,1)&amp;LEFT($AZ$82,1))</f>
        <v>2005 Q3</v>
      </c>
      <c r="BA83" t="str">
        <f ca="1">IF(LEN($BA$82)&lt;&gt;8,$BA$82,RIGHT($BA$82,4)&amp;" "&amp;MID($BA$82,3,1)&amp;LEFT($BA$82,1))</f>
        <v>2005 Q2</v>
      </c>
      <c r="BB83" t="str">
        <f ca="1">IF(LEN($BB$82)&lt;&gt;8,$BB$82,RIGHT($BB$82,4)&amp;" "&amp;MID($BB$82,3,1)&amp;LEFT($BB$82,1))</f>
        <v>2005 Q1</v>
      </c>
      <c r="BC83" t="str">
        <f ca="1">IF(LEN($BC$82)&lt;&gt;8,$BC$82,RIGHT($BC$82,4)&amp;" "&amp;MID($BC$82,3,1)&amp;LEFT($BC$82,1))</f>
        <v>2004 Q4</v>
      </c>
      <c r="BD83" t="str">
        <f ca="1">IF(LEN($BD$82)&lt;&gt;8,$BD$82,RIGHT($BD$82,4)&amp;" "&amp;MID($BD$82,3,1)&amp;LEFT($BD$82,1))</f>
        <v>2004 Q3</v>
      </c>
      <c r="BE83" t="str">
        <f ca="1">IF(LEN($BE$82)&lt;&gt;8,$BE$82,RIGHT($BE$82,4)&amp;" "&amp;MID($BE$82,3,1)&amp;LEFT($BE$82,1))</f>
        <v>2004 Q2</v>
      </c>
      <c r="BF83" t="str">
        <f ca="1">IF(LEN($BF$82)&lt;&gt;8,$BF$82,RIGHT($BF$82,4)&amp;" "&amp;MID($BF$82,3,1)&amp;LEFT($BF$82,1))</f>
        <v>2004 Q1</v>
      </c>
      <c r="BG83" t="str">
        <f ca="1">IF(LEN($BG$82)&lt;&gt;8,$BG$82,RIGHT($BG$82,4)&amp;" "&amp;MID($BG$82,3,1)&amp;LEFT($BG$82,1))</f>
        <v>2003 Q4</v>
      </c>
      <c r="BH83" t="str">
        <f ca="1">IF(LEN($BH$82)&lt;&gt;8,$BH$82,RIGHT($BH$82,4)&amp;" "&amp;MID($BH$82,3,1)&amp;LEFT($BH$82,1))</f>
        <v>2003 Q3</v>
      </c>
      <c r="BI83" t="str">
        <f ca="1">IF(LEN($BI$82)&lt;&gt;8,$BI$82,RIGHT($BI$82,4)&amp;" "&amp;MID($BI$82,3,1)&amp;LEFT($BI$82,1))</f>
        <v>2003 Q2</v>
      </c>
      <c r="BJ83" t="str">
        <f ca="1">IF(LEN($BJ$82)&lt;&gt;8,$BJ$82,RIGHT($BJ$82,4)&amp;" "&amp;MID($BJ$82,3,1)&amp;LEFT($BJ$82,1))</f>
        <v>2003 Q1</v>
      </c>
      <c r="BN83" t="str">
        <f>""</f>
        <v/>
      </c>
      <c r="BO83" t="str">
        <f>""</f>
        <v/>
      </c>
      <c r="BP83" t="str">
        <f>""</f>
        <v/>
      </c>
      <c r="BQ83" t="str">
        <f>""</f>
        <v/>
      </c>
      <c r="BR83" t="str">
        <f>""</f>
        <v/>
      </c>
      <c r="BS83" t="str">
        <f>""</f>
        <v/>
      </c>
      <c r="BT83" t="str">
        <f>""</f>
        <v/>
      </c>
      <c r="BU83" t="str">
        <f>""</f>
        <v/>
      </c>
      <c r="BV83" t="str">
        <f>""</f>
        <v/>
      </c>
      <c r="BW83" t="str">
        <f>""</f>
        <v/>
      </c>
      <c r="BX83" t="str">
        <f>""</f>
        <v/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 t="str">
        <f>""</f>
        <v/>
      </c>
      <c r="CD83" t="str">
        <f>""</f>
        <v/>
      </c>
      <c r="CE83" t="str">
        <f>""</f>
        <v/>
      </c>
      <c r="CF83" t="str">
        <f>""</f>
        <v/>
      </c>
      <c r="CG83" t="str">
        <f>""</f>
        <v/>
      </c>
      <c r="CH83" t="str">
        <f>""</f>
        <v/>
      </c>
      <c r="CI83" t="str">
        <f>""</f>
        <v/>
      </c>
      <c r="CJ83" t="str">
        <f>""</f>
        <v/>
      </c>
      <c r="CK83" t="str">
        <f>""</f>
        <v/>
      </c>
      <c r="CL83" t="str">
        <f>""</f>
        <v/>
      </c>
      <c r="CM83" t="str">
        <f>""</f>
        <v/>
      </c>
      <c r="CN83" t="str">
        <f>""</f>
        <v/>
      </c>
      <c r="CO83" t="str">
        <f>""</f>
        <v/>
      </c>
      <c r="CP83" t="str">
        <f>""</f>
        <v/>
      </c>
      <c r="CQ83" t="str">
        <f>""</f>
        <v/>
      </c>
      <c r="CR83" t="str">
        <f>""</f>
        <v/>
      </c>
      <c r="CS83" t="str">
        <f>""</f>
        <v/>
      </c>
      <c r="CT83" t="str">
        <f>""</f>
        <v/>
      </c>
      <c r="CU83" t="str">
        <f>""</f>
        <v/>
      </c>
      <c r="CV83" t="str">
        <f>""</f>
        <v/>
      </c>
      <c r="CW83" t="str">
        <f>""</f>
        <v/>
      </c>
      <c r="CX83" t="str">
        <f>""</f>
        <v/>
      </c>
      <c r="CY83" t="str">
        <f>""</f>
        <v/>
      </c>
      <c r="CZ83" t="str">
        <f>""</f>
        <v/>
      </c>
      <c r="DA83" t="str">
        <f>""</f>
        <v/>
      </c>
      <c r="DB83" t="str">
        <f>""</f>
        <v/>
      </c>
      <c r="DC83" t="str">
        <f>""</f>
        <v/>
      </c>
      <c r="DD83" t="str">
        <f>""</f>
        <v/>
      </c>
      <c r="DE83" t="str">
        <f>""</f>
        <v/>
      </c>
      <c r="DF83" t="str">
        <f>""</f>
        <v/>
      </c>
      <c r="DG83" t="str">
        <f>""</f>
        <v/>
      </c>
      <c r="DH83" t="str">
        <f>""</f>
        <v/>
      </c>
      <c r="DI83" t="str">
        <f>""</f>
        <v/>
      </c>
      <c r="DJ83" t="str">
        <f>""</f>
        <v/>
      </c>
      <c r="DK83" t="str">
        <f>""</f>
        <v/>
      </c>
      <c r="DL83" t="str">
        <f>""</f>
        <v/>
      </c>
      <c r="DM83" t="str">
        <f>""</f>
        <v/>
      </c>
      <c r="DN83" t="str">
        <f>""</f>
        <v/>
      </c>
      <c r="DO83" t="str">
        <f>""</f>
        <v/>
      </c>
      <c r="DP83" t="str">
        <f>""</f>
        <v/>
      </c>
      <c r="DQ83" t="str">
        <f>""</f>
        <v/>
      </c>
      <c r="DR83" t="str">
        <f>""</f>
        <v/>
      </c>
      <c r="DS83" t="str">
        <f>""</f>
        <v/>
      </c>
      <c r="DT83" t="str">
        <f>""</f>
        <v/>
      </c>
      <c r="DU83" t="str">
        <f>""</f>
        <v/>
      </c>
    </row>
    <row r="84" spans="1:125">
      <c r="A84" t="str">
        <f>"No error found"</f>
        <v>No error found</v>
      </c>
      <c r="B84" t="str">
        <f>""</f>
        <v/>
      </c>
      <c r="C84" t="str">
        <f>""</f>
        <v/>
      </c>
      <c r="D84" t="str">
        <f>""</f>
        <v/>
      </c>
      <c r="E84" t="str">
        <f>""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  <c r="BT84" t="str">
        <f>""</f>
        <v/>
      </c>
      <c r="BU84" t="str">
        <f>""</f>
        <v/>
      </c>
      <c r="BV84" t="str">
        <f>""</f>
        <v/>
      </c>
      <c r="BW84" t="str">
        <f>""</f>
        <v/>
      </c>
      <c r="BX84" t="str">
        <f>""</f>
        <v/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  <c r="CH84" t="str">
        <f>""</f>
        <v/>
      </c>
      <c r="CI84" t="str">
        <f>""</f>
        <v/>
      </c>
      <c r="CJ84" t="str">
        <f>""</f>
        <v/>
      </c>
      <c r="CK84" t="str">
        <f>""</f>
        <v/>
      </c>
      <c r="CL84" t="str">
        <f>""</f>
        <v/>
      </c>
      <c r="CM84" t="str">
        <f>""</f>
        <v/>
      </c>
      <c r="CN84" t="str">
        <f>""</f>
        <v/>
      </c>
      <c r="CO84" t="str">
        <f>""</f>
        <v/>
      </c>
      <c r="CP84" t="str">
        <f>""</f>
        <v/>
      </c>
      <c r="CQ84" t="str">
        <f>""</f>
        <v/>
      </c>
      <c r="CR84" t="str">
        <f>""</f>
        <v/>
      </c>
      <c r="CS84" t="str">
        <f>""</f>
        <v/>
      </c>
      <c r="CT84" t="str">
        <f>""</f>
        <v/>
      </c>
      <c r="CU84" t="str">
        <f>""</f>
        <v/>
      </c>
      <c r="CV84" t="str">
        <f>""</f>
        <v/>
      </c>
      <c r="CW84" t="str">
        <f>""</f>
        <v/>
      </c>
      <c r="CX84" t="str">
        <f>""</f>
        <v/>
      </c>
      <c r="CY84" t="str">
        <f>""</f>
        <v/>
      </c>
      <c r="CZ84" t="str">
        <f>""</f>
        <v/>
      </c>
      <c r="DA84" t="str">
        <f>""</f>
        <v/>
      </c>
      <c r="DB84" t="str">
        <f>""</f>
        <v/>
      </c>
      <c r="DC84" t="str">
        <f>""</f>
        <v/>
      </c>
      <c r="DD84" t="str">
        <f>""</f>
        <v/>
      </c>
      <c r="DE84" t="str">
        <f>""</f>
        <v/>
      </c>
      <c r="DF84" t="str">
        <f>""</f>
        <v/>
      </c>
      <c r="DG84" t="str">
        <f>""</f>
        <v/>
      </c>
      <c r="DH84" t="str">
        <f>""</f>
        <v/>
      </c>
      <c r="DI84" t="str">
        <f>""</f>
        <v/>
      </c>
      <c r="DJ84" t="str">
        <f>""</f>
        <v/>
      </c>
      <c r="DK84" t="str">
        <f>""</f>
        <v/>
      </c>
      <c r="DL84" t="str">
        <f>""</f>
        <v/>
      </c>
      <c r="DM84" t="str">
        <f>""</f>
        <v/>
      </c>
      <c r="DN84" t="str">
        <f>""</f>
        <v/>
      </c>
      <c r="DO84" t="str">
        <f>""</f>
        <v/>
      </c>
      <c r="DP84" t="str">
        <f>""</f>
        <v/>
      </c>
      <c r="DQ84" t="str">
        <f>""</f>
        <v/>
      </c>
      <c r="DR84" t="str">
        <f>""</f>
        <v/>
      </c>
      <c r="DS84" t="str">
        <f>""</f>
        <v/>
      </c>
      <c r="DT84" t="str">
        <f>""</f>
        <v/>
      </c>
      <c r="DU84" t="str">
        <f>""</f>
        <v/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5"/>
  <sheetViews>
    <sheetView workbookViewId="0"/>
  </sheetViews>
  <sheetFormatPr defaultRowHeight="13.5"/>
  <cols>
    <col min="1" max="1" width="9.125" bestFit="1" customWidth="1"/>
  </cols>
  <sheetData>
    <row r="1" spans="1:1" ht="15">
      <c r="A1" s="1"/>
    </row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帮助-参考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lenovo</cp:lastModifiedBy>
  <dcterms:created xsi:type="dcterms:W3CDTF">2013-04-03T15:49:21Z</dcterms:created>
  <dcterms:modified xsi:type="dcterms:W3CDTF">2018-03-14T02:52:45Z</dcterms:modified>
</cp:coreProperties>
</file>